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namedSheetViews/namedSheetView17.xml" ContentType="application/vnd.ms-excel.namedsheetviews+xml"/>
  <Override PartName="/xl/comments3.xml" ContentType="application/vnd.openxmlformats-officedocument.spreadsheetml.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persons/person.xml" ContentType="application/vnd.ms-excel.person+xml"/>
  <Override PartName="/xl/richData/rdRichValueTypes.xml" ContentType="application/vnd.ms-excel.rdrichvaluetypes+xml"/>
  <Override PartName="/xl/richData/rdrichvaluestructure.xml" ContentType="application/vnd.ms-excel.rdrichvaluestructure+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levansy\Downloads\"/>
    </mc:Choice>
  </mc:AlternateContent>
  <xr:revisionPtr revIDLastSave="0" documentId="13_ncr:1_{942C94EA-5A73-4570-A5CD-5446EFC87B62}" xr6:coauthVersionLast="47" xr6:coauthVersionMax="47" xr10:uidLastSave="{00000000-0000-0000-0000-000000000000}"/>
  <bookViews>
    <workbookView xWindow="-109" yWindow="-109" windowWidth="26301" windowHeight="14169" firstSheet="52"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state="hidden"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6" hidden="1">'LỊCH TÀU - 08.2025'!$A$3:$P$3</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54" hidden="1">'LỊCH TÀU - 09.2025 '!$A$3:$N$3</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53" hidden="1">'LỊCH TÀU - 10.2025 '!$A$3:$AI$3</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52" hidden="1">'LỊCH TÀU - 11.2025'!$A$3:$AI$3</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51" hidden="1">'LỊCH TÀU - 12.2025'!$A$3:$AI$247</definedName>
    <definedName name="_xlnm._FilterDatabase" localSheetId="22" hidden="1">'LỊCH TÀU - 12.21'!$A$4:$Q$27</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51">'LỊCH TÀU - 12.2025'!$A$1:$P$3</definedName>
    <definedName name="_xlnm.Print_Area" localSheetId="22">'LỊCH TÀU - 12.21'!$A$4:$H$27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80" i="69" l="1"/>
  <c r="V4" i="61"/>
  <c r="V5" i="61"/>
  <c r="V6" i="61"/>
  <c r="V7" i="61"/>
  <c r="V8" i="61"/>
  <c r="V9" i="61"/>
  <c r="B211" i="68"/>
  <c r="B79" i="69"/>
  <c r="B78" i="69"/>
  <c r="B259" i="68"/>
  <c r="B262" i="68"/>
  <c r="B263" i="68"/>
  <c r="B260" i="68"/>
  <c r="B261" i="68"/>
  <c r="M261" i="68"/>
  <c r="L26" i="61" s="1"/>
  <c r="M11" i="69"/>
  <c r="M57" i="69"/>
  <c r="B258" i="68"/>
  <c r="X2" i="61"/>
  <c r="U2" i="61"/>
  <c r="N26" i="61"/>
  <c r="N25" i="61"/>
  <c r="N24" i="61"/>
  <c r="N23" i="61"/>
  <c r="N22" i="61"/>
  <c r="N20" i="61"/>
  <c r="Z27" i="61"/>
  <c r="Q19" i="61"/>
  <c r="Q21" i="61"/>
  <c r="Q22" i="61"/>
  <c r="Q23" i="61"/>
  <c r="Q24" i="61"/>
  <c r="Q25" i="61"/>
  <c r="Q26" i="61"/>
  <c r="Q20" i="61"/>
  <c r="P17" i="61"/>
  <c r="B178" i="68"/>
  <c r="B179" i="68"/>
  <c r="B4" i="69"/>
  <c r="B5" i="69"/>
  <c r="B25" i="69"/>
  <c r="B26" i="69"/>
  <c r="B6" i="69"/>
  <c r="B7" i="69"/>
  <c r="B8" i="69"/>
  <c r="B9" i="69"/>
  <c r="B10" i="69"/>
  <c r="B11" i="69"/>
  <c r="B12" i="69"/>
  <c r="B13" i="69"/>
  <c r="B14" i="69"/>
  <c r="B15" i="69"/>
  <c r="B16" i="69"/>
  <c r="M16" i="69"/>
  <c r="B17" i="69"/>
  <c r="B18" i="69"/>
  <c r="B19" i="69"/>
  <c r="B20" i="69"/>
  <c r="B21" i="69"/>
  <c r="B22" i="69"/>
  <c r="B23" i="69"/>
  <c r="B24" i="69"/>
  <c r="B103" i="69"/>
  <c r="B104" i="69"/>
  <c r="B117" i="69"/>
  <c r="B118" i="69"/>
  <c r="B119" i="69"/>
  <c r="B120" i="69"/>
  <c r="B101" i="69"/>
  <c r="B95" i="69"/>
  <c r="B82" i="69"/>
  <c r="B76" i="69"/>
  <c r="B74" i="69"/>
  <c r="B83" i="69"/>
  <c r="B77" i="69"/>
  <c r="B62" i="69"/>
  <c r="B61" i="69"/>
  <c r="B60" i="69"/>
  <c r="B59" i="69"/>
  <c r="B58" i="69"/>
  <c r="B57" i="69"/>
  <c r="B255" i="68"/>
  <c r="B256" i="68"/>
  <c r="B109" i="69"/>
  <c r="M232" i="68"/>
  <c r="B226" i="68"/>
  <c r="M225" i="68"/>
  <c r="B195" i="68"/>
  <c r="B222" i="68"/>
  <c r="B209" i="68"/>
  <c r="B203" i="68"/>
  <c r="B167" i="68"/>
  <c r="B227" i="68"/>
  <c r="B196" i="68"/>
  <c r="B162" i="68"/>
  <c r="B161" i="68"/>
  <c r="B157" i="68"/>
  <c r="B143" i="68"/>
  <c r="B93" i="68"/>
  <c r="B94" i="68"/>
  <c r="B75" i="69"/>
  <c r="B84" i="69"/>
  <c r="B81" i="69"/>
  <c r="B185" i="68"/>
  <c r="B146" i="68"/>
  <c r="B96" i="69"/>
  <c r="B97" i="69"/>
  <c r="B98" i="69"/>
  <c r="B150" i="68"/>
  <c r="B158" i="68"/>
  <c r="B202" i="68"/>
  <c r="B187" i="68"/>
  <c r="B201" i="68"/>
  <c r="B154" i="68"/>
  <c r="B86" i="69"/>
  <c r="B210" i="68"/>
  <c r="B186" i="68"/>
  <c r="B171" i="68"/>
  <c r="B159" i="68"/>
  <c r="B215" i="68"/>
  <c r="B217" i="68"/>
  <c r="B160" i="68"/>
  <c r="B45" i="69"/>
  <c r="B152" i="68"/>
  <c r="B219" i="68"/>
  <c r="B218" i="68"/>
  <c r="B153" i="68"/>
  <c r="B173" i="68"/>
  <c r="B52" i="69"/>
  <c r="M7" i="61"/>
  <c r="B164" i="68"/>
  <c r="B182" i="68"/>
  <c r="B245" i="68"/>
  <c r="B241" i="68"/>
  <c r="Y33" i="61"/>
  <c r="V20" i="61"/>
  <c r="X34" i="61"/>
  <c r="Z34" i="61" s="1"/>
  <c r="X32" i="61"/>
  <c r="Z32" i="61"/>
  <c r="T20" i="61"/>
  <c r="V35" i="61"/>
  <c r="U33" i="61"/>
  <c r="B165" i="68"/>
  <c r="B183" i="68"/>
  <c r="B91" i="69"/>
  <c r="B51" i="69"/>
  <c r="B148" i="68"/>
  <c r="B231" i="68"/>
  <c r="B181" i="68"/>
  <c r="B189" i="68"/>
  <c r="B208" i="68"/>
  <c r="B205" i="68"/>
  <c r="B237" i="68"/>
  <c r="B236" i="68"/>
  <c r="B207" i="68"/>
  <c r="B204" i="68"/>
  <c r="B246" i="68"/>
  <c r="B47" i="69"/>
  <c r="B46" i="69"/>
  <c r="B40" i="69"/>
  <c r="B39" i="69"/>
  <c r="B38" i="69"/>
  <c r="B37" i="69"/>
  <c r="B147" i="68"/>
  <c r="B36" i="69"/>
  <c r="B35" i="69"/>
  <c r="B34" i="69"/>
  <c r="B33" i="69"/>
  <c r="B238"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05" i="69"/>
  <c r="B124" i="69"/>
  <c r="B123" i="69"/>
  <c r="B122" i="69"/>
  <c r="B121" i="69"/>
  <c r="B102" i="69"/>
  <c r="B116" i="69"/>
  <c r="B115" i="69"/>
  <c r="B114" i="69"/>
  <c r="B90" i="69"/>
  <c r="B113" i="69"/>
  <c r="B112" i="69"/>
  <c r="B111" i="69"/>
  <c r="B110" i="69"/>
  <c r="B108" i="69"/>
  <c r="B107" i="69"/>
  <c r="B106" i="69"/>
  <c r="B64" i="69"/>
  <c r="B63" i="69"/>
  <c r="B43" i="69"/>
  <c r="B42" i="69"/>
  <c r="B73" i="69"/>
  <c r="B100" i="69"/>
  <c r="B99" i="69"/>
  <c r="B94" i="69"/>
  <c r="B72" i="69"/>
  <c r="B41" i="69"/>
  <c r="B71" i="69"/>
  <c r="B70" i="69"/>
  <c r="B44" i="69"/>
  <c r="B69" i="69"/>
  <c r="B68" i="69"/>
  <c r="B67" i="69"/>
  <c r="B66" i="69"/>
  <c r="B89" i="69"/>
  <c r="B88" i="69"/>
  <c r="B87" i="69"/>
  <c r="B65" i="69"/>
  <c r="B85" i="69"/>
  <c r="B50" i="69"/>
  <c r="B49" i="69"/>
  <c r="B48" i="69"/>
  <c r="B56" i="69"/>
  <c r="B55" i="69"/>
  <c r="B54" i="69"/>
  <c r="B93" i="69"/>
  <c r="B92" i="69"/>
  <c r="B53" i="69"/>
  <c r="M2" i="69"/>
  <c r="L2" i="69"/>
  <c r="D2" i="69"/>
  <c r="B112" i="68"/>
  <c r="B139" i="68"/>
  <c r="D2" i="68"/>
  <c r="B129" i="68"/>
  <c r="B175" i="68"/>
  <c r="B176" i="68"/>
  <c r="B197" i="68"/>
  <c r="B190" i="68"/>
  <c r="B169" i="68"/>
  <c r="B191" i="68"/>
  <c r="B188" i="68"/>
  <c r="B174" i="68"/>
  <c r="B228" i="68"/>
  <c r="B124" i="68"/>
  <c r="B254" i="68"/>
  <c r="B257" i="68"/>
  <c r="B126" i="68"/>
  <c r="B230" i="68"/>
  <c r="B214" i="68"/>
  <c r="B141" i="68"/>
  <c r="B216" i="68"/>
  <c r="B212" i="68"/>
  <c r="M105" i="68"/>
  <c r="C8" i="61" s="1"/>
  <c r="E8" i="61" s="1"/>
  <c r="B142" i="68"/>
  <c r="B138" i="68"/>
  <c r="B109" i="68"/>
  <c r="B108" i="68"/>
  <c r="B134" i="68"/>
  <c r="B135" i="68"/>
  <c r="B120" i="68"/>
  <c r="B121" i="68"/>
  <c r="P27" i="61"/>
  <c r="B229" i="68"/>
  <c r="B140" i="68"/>
  <c r="B166" i="68"/>
  <c r="B238" i="68"/>
  <c r="B128" i="68"/>
  <c r="B133" i="68"/>
  <c r="B113" i="68"/>
  <c r="B83" i="68"/>
  <c r="B206" i="68"/>
  <c r="B123" i="68"/>
  <c r="B119" i="68"/>
  <c r="B115" i="68"/>
  <c r="B132" i="68"/>
  <c r="B221" i="68"/>
  <c r="B80" i="68"/>
  <c r="B73" i="68"/>
  <c r="B30" i="68"/>
  <c r="B4" i="68"/>
  <c r="B145" i="68"/>
  <c r="B87" i="68"/>
  <c r="B64" i="68"/>
  <c r="B110" i="68"/>
  <c r="B137" i="68"/>
  <c r="B29" i="68"/>
  <c r="B77" i="68"/>
  <c r="B8" i="61"/>
  <c r="B102" i="68"/>
  <c r="B198" i="68"/>
  <c r="B89" i="68"/>
  <c r="B90" i="68"/>
  <c r="B91" i="68"/>
  <c r="B104" i="68"/>
  <c r="B199" i="68"/>
  <c r="B74" i="68"/>
  <c r="B72" i="68"/>
  <c r="B75" i="68"/>
  <c r="B114" i="68"/>
  <c r="B234" i="64"/>
  <c r="B70" i="68"/>
  <c r="B42" i="68"/>
  <c r="B82" i="68"/>
  <c r="B125" i="68"/>
  <c r="B66" i="68"/>
  <c r="B79" i="68"/>
  <c r="B61" i="68"/>
  <c r="B242" i="68"/>
  <c r="B243" i="68"/>
  <c r="B244" i="68"/>
  <c r="B247" i="68"/>
  <c r="D8" i="61"/>
  <c r="B7" i="61"/>
  <c r="B51" i="68"/>
  <c r="B249" i="68"/>
  <c r="B52" i="68"/>
  <c r="B50" i="68"/>
  <c r="L25" i="61"/>
  <c r="W8" i="61" s="1"/>
  <c r="L24" i="61"/>
  <c r="W7" i="61" s="1"/>
  <c r="U24" i="61"/>
  <c r="X24" i="61"/>
  <c r="L23" i="61"/>
  <c r="W6" i="61" s="1"/>
  <c r="U23" i="61"/>
  <c r="X23" i="61"/>
  <c r="L21" i="61"/>
  <c r="W4" i="61" s="1"/>
  <c r="B62" i="68"/>
  <c r="B100" i="68"/>
  <c r="B5" i="68"/>
  <c r="B6" i="68"/>
  <c r="B7" i="68"/>
  <c r="B8" i="68"/>
  <c r="B9" i="68"/>
  <c r="B10" i="68"/>
  <c r="B11" i="68"/>
  <c r="B12" i="68"/>
  <c r="B13" i="68"/>
  <c r="B14" i="68"/>
  <c r="B76" i="68"/>
  <c r="B252" i="68"/>
  <c r="B253" i="68"/>
  <c r="M194" i="65"/>
  <c r="D7" i="61"/>
  <c r="B60" i="68"/>
  <c r="B88" i="68"/>
  <c r="B92" i="68"/>
  <c r="B131" i="68"/>
  <c r="B86" i="68"/>
  <c r="B56" i="68"/>
  <c r="B277" i="65"/>
  <c r="B46" i="68"/>
  <c r="B45" i="68"/>
  <c r="B193" i="65"/>
  <c r="B53" i="68"/>
  <c r="B274" i="65"/>
  <c r="B84" i="68"/>
  <c r="B49" i="68"/>
  <c r="B58" i="68"/>
  <c r="B275" i="65"/>
  <c r="B103" i="68"/>
  <c r="B69" i="68"/>
  <c r="B68" i="68"/>
  <c r="B200" i="68"/>
  <c r="B81" i="68"/>
  <c r="B251" i="68"/>
  <c r="B251" i="65"/>
  <c r="B246" i="65"/>
  <c r="B196" i="65"/>
  <c r="B197" i="65"/>
  <c r="B198" i="65"/>
  <c r="B199" i="65"/>
  <c r="B200" i="65"/>
  <c r="B201" i="65"/>
  <c r="B55" i="68"/>
  <c r="B71" i="68"/>
  <c r="B23" i="68"/>
  <c r="B20" i="68"/>
  <c r="B21" i="68"/>
  <c r="L20" i="61"/>
  <c r="W3" i="61" s="1"/>
  <c r="U20" i="61"/>
  <c r="B59" i="68"/>
  <c r="B95" i="68"/>
  <c r="B106" i="68"/>
  <c r="B271" i="65"/>
  <c r="B116" i="68"/>
  <c r="B117" i="68"/>
  <c r="B248" i="65"/>
  <c r="B249" i="65"/>
  <c r="B250" i="65"/>
  <c r="B48" i="68"/>
  <c r="B272" i="65"/>
  <c r="B270" i="65"/>
  <c r="B39" i="68"/>
  <c r="B40" i="68"/>
  <c r="B273" i="65"/>
  <c r="B257" i="65"/>
  <c r="B247" i="65"/>
  <c r="B248" i="68"/>
  <c r="B250"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R26" i="61"/>
  <c r="R25" i="61"/>
  <c r="R20" i="61"/>
  <c r="B194" i="65"/>
  <c r="B182" i="65"/>
  <c r="B183" i="65"/>
  <c r="B193" i="68"/>
  <c r="B99" i="68"/>
  <c r="B6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26" i="65"/>
  <c r="B176" i="65"/>
  <c r="B177" i="65"/>
  <c r="B220" i="68"/>
  <c r="B256" i="65"/>
  <c r="B165" i="65"/>
  <c r="B18" i="68"/>
  <c r="B19" i="68"/>
  <c r="B22" i="68"/>
  <c r="B26" i="68"/>
  <c r="B27" i="68"/>
  <c r="B28" i="68"/>
  <c r="B31" i="68"/>
  <c r="B32" i="68"/>
  <c r="B37" i="68"/>
  <c r="B38" i="68"/>
  <c r="B41" i="68"/>
  <c r="B170" i="68"/>
  <c r="B96" i="68"/>
  <c r="B97" i="68"/>
  <c r="B98" i="68"/>
  <c r="B130" i="68"/>
  <c r="B111" i="68"/>
  <c r="B63" i="68"/>
  <c r="B101" i="68"/>
  <c r="B192" i="68"/>
  <c r="B194" i="68"/>
  <c r="B67" i="68"/>
  <c r="B149" i="68"/>
  <c r="B163" i="68"/>
  <c r="B127" i="68"/>
  <c r="B155" i="68"/>
  <c r="B156" i="68"/>
  <c r="B151" i="68"/>
  <c r="B235" i="68"/>
  <c r="B136" i="68"/>
  <c r="B144" i="68"/>
  <c r="B224" i="68"/>
  <c r="B172" i="68"/>
  <c r="B234" i="68"/>
  <c r="B232" i="68"/>
  <c r="B233" i="68"/>
  <c r="B213" i="68"/>
  <c r="B118" i="68"/>
  <c r="B107" i="68"/>
  <c r="B180" i="68"/>
  <c r="B184" i="68"/>
  <c r="B168" i="68"/>
  <c r="B223" i="68"/>
  <c r="B225" i="68"/>
  <c r="B240" i="68"/>
  <c r="B239"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B4" i="62"/>
  <c r="B121" i="64"/>
  <c r="B246" i="64"/>
  <c r="B248" i="64"/>
  <c r="B200" i="64"/>
  <c r="B260" i="64"/>
  <c r="B251" i="64"/>
  <c r="D278" i="65"/>
  <c r="D2" i="65"/>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R21" i="61"/>
  <c r="R22" i="61"/>
  <c r="R23" i="61"/>
  <c r="R24"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J21" i="61"/>
  <c r="C7" i="61"/>
  <c r="E7" i="61"/>
  <c r="Q27" i="61"/>
  <c r="J27" i="61"/>
  <c r="K20" i="61"/>
  <c r="H6" i="61"/>
  <c r="H7" i="61"/>
  <c r="H8" i="61"/>
  <c r="J31" i="61"/>
  <c r="K26" i="61"/>
  <c r="K25" i="61"/>
  <c r="K24" i="61"/>
  <c r="K23" i="61"/>
  <c r="K22" i="61"/>
  <c r="K21" i="61"/>
  <c r="W9" i="61" l="1"/>
  <c r="U26" i="61"/>
  <c r="X26" i="61" s="1"/>
  <c r="U21" i="61"/>
  <c r="X21" i="61" s="1"/>
  <c r="L22" i="61"/>
  <c r="X20" i="61"/>
  <c r="M2" i="68"/>
  <c r="K8" i="61"/>
  <c r="H9" i="61" s="1"/>
  <c r="K9" i="61" s="1"/>
  <c r="U25" i="61"/>
  <c r="X25" i="61" s="1"/>
  <c r="N21" i="61"/>
  <c r="N27" i="61"/>
  <c r="K4" i="61"/>
  <c r="H5" i="61" s="1"/>
  <c r="X33" i="61"/>
  <c r="Z33" i="61" s="1"/>
  <c r="U35" i="61"/>
  <c r="X35" i="61" s="1"/>
  <c r="Z35" i="61"/>
  <c r="S20" i="61"/>
  <c r="S26" i="61"/>
  <c r="S25" i="61"/>
  <c r="S24" i="61"/>
  <c r="S23" i="61"/>
  <c r="S22" i="61"/>
  <c r="S21" i="61"/>
  <c r="W5" i="61" l="1"/>
  <c r="U22" i="61"/>
  <c r="X22" i="61" s="1"/>
  <c r="L27" i="61"/>
  <c r="U27" i="61"/>
  <c r="N31" i="61"/>
  <c r="O20" i="61"/>
  <c r="O21" i="61"/>
  <c r="O22" i="61"/>
  <c r="O23" i="61"/>
  <c r="O24" i="61"/>
  <c r="O25" i="61"/>
  <c r="O26" i="61"/>
  <c r="V3" i="61"/>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A7" i="53"/>
  <c r="A6" i="53"/>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8" i="40"/>
  <c r="A7" i="40"/>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47" i="42"/>
  <c r="A46" i="42"/>
  <c r="A45" i="42"/>
  <c r="A44" i="42"/>
  <c r="A43" i="42"/>
  <c r="A42" i="42"/>
  <c r="A41" i="42"/>
  <c r="A40" i="42"/>
  <c r="A39" i="42"/>
  <c r="A38" i="42"/>
  <c r="A37" i="42"/>
  <c r="A36" i="42"/>
  <c r="A35" i="42"/>
  <c r="A34" i="42"/>
  <c r="A33" i="42"/>
  <c r="A32" i="42"/>
  <c r="A31" i="42"/>
  <c r="A30" i="42"/>
  <c r="A29" i="42"/>
  <c r="A28" i="42"/>
  <c r="A27" i="42"/>
  <c r="A26" i="42"/>
  <c r="A25" i="42"/>
  <c r="A24" i="42"/>
  <c r="A23" i="42"/>
  <c r="A22" i="42"/>
  <c r="A21" i="42"/>
  <c r="A20" i="42"/>
  <c r="A19" i="42"/>
  <c r="A18" i="42"/>
  <c r="A17" i="42"/>
  <c r="A16" i="42"/>
  <c r="A15" i="42"/>
  <c r="A14" i="42"/>
  <c r="A13" i="42"/>
  <c r="A12" i="42"/>
  <c r="A11" i="42"/>
  <c r="A10" i="42"/>
  <c r="A9" i="42"/>
  <c r="A8" i="42"/>
  <c r="A7" i="42"/>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7" i="43"/>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24" i="28"/>
  <c r="A23" i="28"/>
  <c r="A22" i="28"/>
  <c r="A21" i="28"/>
  <c r="A20" i="28"/>
  <c r="A19" i="28"/>
  <c r="A18" i="28"/>
  <c r="A17" i="28"/>
  <c r="A16" i="28"/>
  <c r="A15" i="28"/>
  <c r="A14" i="28"/>
  <c r="A13" i="28"/>
  <c r="A12" i="28"/>
  <c r="A11" i="28"/>
  <c r="A10" i="28"/>
  <c r="A9" i="28"/>
  <c r="A8" i="28"/>
  <c r="A7" i="28"/>
  <c r="A6" i="28"/>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 r="M24" i="61" l="1"/>
  <c r="M25" i="61"/>
  <c r="L31" i="61"/>
  <c r="M26" i="61"/>
  <c r="M23" i="61"/>
  <c r="M21" i="61"/>
  <c r="M20" i="61"/>
  <c r="M22"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r>
      </text>
    </comment>
    <comment ref="J30" authorId="1" shapeId="0" xr:uid="{F0457D83-4668-4451-B831-67F06EF789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<sst xmlns="http://schemas.openxmlformats.org/spreadsheetml/2006/main" count="31830" uniqueCount="9643">
  <si>
    <t>Từ ngày 1-10 (Nhịp 1), từ ngày 11-21 (Nhịp 2), từ ngày 22 - hết tháng (nhịp 3)</t>
  </si>
  <si>
    <t>T11</t>
  </si>
  <si>
    <t>ĐIỀU CHỈNH</t>
  </si>
  <si>
    <t>TỶ LỆ ĐẠT ĐƯỢC</t>
  </si>
  <si>
    <t>T12</t>
  </si>
  <si>
    <t>Tháng</t>
  </si>
  <si>
    <t>Tổng</t>
  </si>
  <si>
    <t>Kế hoạch update 03/06</t>
  </si>
  <si>
    <t>SLG update NGÀY 12/6</t>
  </si>
  <si>
    <t>Tồn kho đầu kỳ</t>
  </si>
  <si>
    <t>SLSX HRC KH</t>
  </si>
  <si>
    <t>SLSX thực tế</t>
  </si>
  <si>
    <t>Tồn kho cuối kỳ</t>
  </si>
  <si>
    <t>Mục tiêu QT25</t>
  </si>
  <si>
    <t>HPS</t>
  </si>
  <si>
    <t>GIỮ</t>
  </si>
  <si>
    <t>Việt Thành</t>
  </si>
  <si>
    <t>GIỮ, CHƯA TÍNH 05-01</t>
  </si>
  <si>
    <t>Thiên Phúc</t>
  </si>
  <si>
    <t>VẪN KT ĐC TÀU TO</t>
  </si>
  <si>
    <t>VTB Hải Dương</t>
  </si>
  <si>
    <t>KO TÀU TO</t>
  </si>
  <si>
    <t>MT Hà Nội</t>
  </si>
  <si>
    <t>VẪN KT ĐC TÀU TO + khc</t>
  </si>
  <si>
    <t>Mặt Trời</t>
  </si>
  <si>
    <t xml:space="preserve">KO TÀU TO, giảm sản lượng tháng sau đúng bằng lượng bị phạt </t>
  </si>
  <si>
    <t>Nam Phát</t>
  </si>
  <si>
    <t>check lại xem có giữ Nam Phát 268 ko, nếu giữ thì đủ</t>
  </si>
  <si>
    <t>THEO MIN 460</t>
  </si>
  <si>
    <t>Đại lý</t>
  </si>
  <si>
    <t>Sản lượng</t>
  </si>
  <si>
    <t xml:space="preserve">Tỉ lệ </t>
  </si>
  <si>
    <t>Chị Lan Anh ơi đang chia tạm tháng mới nha</t>
  </si>
  <si>
    <t>ok</t>
  </si>
  <si>
    <t>sản lượng tàu KHC</t>
  </si>
  <si>
    <t>Thiên Phúc không khai thác được Trường Nguyên</t>
  </si>
  <si>
    <t>thêm ít nhất 2 lượt Trường Nguyên 135</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</si>
  <si>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</si>
  <si>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</si>
  <si>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</si>
  <si>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</si>
  <si>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</si>
  <si>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</si>
  <si>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</si>
  <si>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</si>
  <si>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</si>
  <si>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</si>
  <si>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</si>
  <si>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</si>
  <si>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</si>
  <si>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</si>
  <si>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</si>
  <si>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</si>
  <si>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</si>
  <si>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</si>
  <si>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</si>
  <si>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</si>
  <si>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</si>
  <si>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</si>
  <si>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</si>
  <si>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</si>
  <si>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</si>
  <si>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</si>
  <si>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</si>
  <si>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</si>
  <si>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</si>
  <si>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</si>
  <si>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</si>
  <si>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</si>
  <si>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</si>
  <si>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</si>
  <si>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</si>
  <si>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</si>
  <si>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</si>
  <si>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</si>
  <si>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</si>
  <si>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</si>
  <si>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</si>
  <si>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</si>
  <si>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</si>
  <si>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</si>
  <si>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</si>
  <si>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</si>
  <si>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</si>
  <si>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</si>
  <si>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</si>
  <si>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</si>
  <si>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</si>
  <si>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</si>
  <si>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</si>
  <si>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</si>
  <si>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</si>
  <si>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</si>
  <si>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</si>
  <si>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</si>
  <si>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</si>
  <si>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</si>
  <si>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</si>
  <si>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</si>
  <si>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</si>
  <si>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</si>
  <si>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</si>
  <si>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</si>
  <si>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</si>
  <si>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</si>
  <si>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</si>
  <si>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</si>
  <si>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</si>
  <si>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</si>
  <si>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</si>
  <si>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</si>
  <si>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</si>
  <si>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</si>
  <si>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</si>
  <si>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</si>
  <si>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</si>
  <si>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</si>
  <si>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</si>
  <si>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</si>
  <si>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</si>
  <si>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</si>
  <si>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</si>
  <si>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</si>
  <si>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</si>
  <si>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</si>
  <si>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</si>
  <si>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</si>
  <si>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</si>
  <si>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</si>
  <si>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</si>
  <si>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</si>
  <si>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</si>
  <si>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</si>
  <si>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</si>
  <si>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</si>
  <si>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</si>
  <si>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</si>
  <si>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</si>
  <si>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</si>
  <si>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</si>
  <si>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</si>
  <si>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</si>
  <si>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</si>
  <si>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</si>
  <si>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</si>
  <si>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</si>
  <si>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</si>
  <si>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</si>
  <si>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</si>
  <si>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</si>
  <si>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</si>
  <si>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</si>
  <si>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</si>
  <si>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</si>
  <si>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</si>
  <si>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</si>
  <si>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</si>
  <si>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</si>
  <si>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</si>
  <si>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</si>
  <si>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</si>
  <si>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</si>
  <si>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</si>
  <si>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</si>
  <si>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</si>
  <si>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</si>
  <si>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</si>
  <si>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</si>
  <si>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</si>
  <si>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</si>
  <si>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</si>
  <si>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</si>
  <si>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</si>
  <si>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</si>
  <si>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</si>
  <si>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</si>
  <si>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</si>
  <si>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</si>
  <si>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</si>
  <si>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</si>
  <si>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</si>
  <si>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</si>
  <si>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</si>
  <si>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</si>
  <si>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</si>
  <si>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</si>
  <si>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</si>
  <si>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</si>
  <si>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</si>
  <si>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</si>
  <si>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</si>
  <si>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</si>
  <si>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</si>
  <si>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</si>
  <si>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</si>
  <si>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</si>
  <si>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</si>
  <si>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</si>
  <si>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</si>
  <si>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</si>
  <si>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</si>
  <si>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</si>
  <si>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</si>
  <si>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</si>
  <si>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</si>
  <si>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</si>
  <si>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</si>
  <si>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</si>
  <si>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</si>
  <si>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</si>
  <si>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</si>
  <si>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</si>
  <si>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</si>
  <si>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</si>
  <si>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</si>
  <si>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</si>
  <si>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</si>
  <si>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</si>
  <si>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</si>
  <si>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</si>
  <si>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</si>
  <si>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</si>
  <si>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</si>
  <si>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</si>
  <si>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</si>
  <si>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</si>
  <si>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</si>
  <si>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</si>
  <si>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</si>
  <si>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</si>
  <si>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</si>
  <si>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</si>
  <si>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</si>
  <si>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</si>
  <si>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</si>
  <si>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</si>
  <si>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</si>
  <si>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</si>
  <si>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</si>
  <si>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</si>
  <si>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</si>
  <si>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</si>
  <si>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</si>
  <si>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</si>
  <si>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</si>
  <si>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</si>
  <si>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</si>
  <si>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</si>
  <si>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</si>
  <si>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</si>
  <si>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</si>
  <si>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</si>
  <si>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</si>
  <si>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</si>
  <si>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</si>
  <si>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</si>
  <si>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</si>
  <si>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</si>
  <si>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</si>
  <si>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</si>
  <si>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</si>
  <si>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</si>
  <si>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</si>
  <si>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</si>
  <si>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</si>
  <si>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</si>
  <si>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</si>
  <si>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</si>
  <si>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</si>
  <si>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</si>
  <si>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</si>
  <si>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</si>
  <si>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</si>
  <si>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</si>
  <si>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</si>
  <si>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</si>
  <si>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</si>
  <si>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</si>
  <si>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</si>
  <si>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</si>
  <si>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</si>
  <si>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</si>
  <si>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</si>
  <si>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</si>
  <si>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</si>
  <si>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</si>
  <si>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</si>
  <si>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</si>
  <si>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</si>
  <si>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</si>
  <si>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</si>
  <si>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</si>
  <si>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</si>
  <si>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</si>
  <si>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</si>
  <si>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</si>
  <si>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</si>
  <si>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</si>
  <si>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</si>
  <si>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</si>
  <si>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</si>
  <si>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</si>
  <si>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</si>
  <si>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</si>
  <si>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</si>
  <si>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</si>
  <si>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</si>
  <si>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</si>
  <si>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</si>
  <si>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</si>
  <si>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</si>
  <si>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</si>
  <si>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</si>
  <si>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</si>
  <si>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</si>
  <si>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</si>
  <si>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</si>
  <si>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</si>
  <si>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</si>
  <si>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</si>
  <si>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</si>
  <si>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</si>
  <si>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</si>
  <si>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</si>
  <si>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</si>
  <si>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</si>
  <si>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</si>
  <si>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</si>
  <si>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</si>
  <si>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</si>
  <si>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</si>
  <si>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</si>
  <si>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</si>
  <si>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</si>
  <si>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</si>
  <si>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</si>
  <si>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</si>
  <si>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</si>
  <si>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</si>
  <si>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</si>
  <si>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</si>
  <si>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</si>
  <si>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</si>
  <si>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</si>
  <si>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</si>
  <si>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</si>
  <si>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</si>
  <si>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</si>
  <si>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</si>
  <si>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</si>
  <si>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</si>
  <si>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</si>
  <si>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</si>
  <si>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</si>
  <si>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</si>
  <si>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</si>
  <si>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</si>
  <si>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</si>
  <si>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</si>
  <si>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</si>
  <si>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</si>
  <si>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</si>
  <si>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</si>
  <si>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</si>
  <si>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</si>
  <si>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</si>
  <si>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</si>
  <si>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</si>
  <si>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</si>
  <si>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</si>
  <si>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</si>
  <si>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</si>
  <si>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</si>
  <si>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</si>
  <si>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</si>
  <si>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</si>
  <si>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</si>
  <si>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</si>
  <si>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</si>
  <si>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</si>
  <si>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</si>
  <si>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</si>
  <si>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</si>
  <si>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</si>
  <si>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</si>
  <si>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</si>
  <si>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</si>
  <si>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</si>
  <si>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</si>
  <si>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</si>
  <si>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</si>
  <si>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</si>
  <si>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</si>
  <si>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</si>
  <si>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</si>
  <si>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</si>
  <si>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</si>
  <si>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</si>
  <si>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</si>
  <si>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</si>
  <si>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</si>
  <si>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</si>
  <si>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</si>
  <si>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</si>
  <si>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</si>
  <si>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</si>
  <si>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</si>
  <si>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</si>
  <si>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</si>
  <si>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</si>
  <si>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</si>
  <si>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</si>
  <si>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</si>
  <si>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</si>
  <si>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</si>
  <si>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</si>
  <si>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</si>
  <si>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</si>
  <si>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</si>
  <si>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</si>
  <si>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</si>
  <si>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</si>
  <si>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</si>
  <si>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</si>
  <si>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</si>
  <si>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</si>
  <si>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</si>
  <si>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</si>
  <si>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</si>
  <si>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</si>
  <si>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</si>
  <si>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</si>
  <si>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</si>
  <si>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</si>
  <si>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</si>
  <si>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</si>
  <si>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</si>
  <si>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</si>
  <si>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</si>
  <si>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</si>
  <si>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</si>
  <si>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</si>
  <si>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</si>
  <si>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</si>
  <si>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</si>
  <si>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</si>
  <si>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</si>
  <si>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</si>
  <si>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</si>
  <si>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</si>
  <si>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</si>
  <si>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</si>
  <si>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</si>
  <si>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</si>
  <si>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</si>
  <si>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</si>
  <si>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</si>
  <si>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</si>
  <si>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</si>
  <si>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</si>
  <si>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</si>
  <si>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</si>
  <si>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</si>
  <si>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</si>
  <si>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</si>
  <si>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</si>
  <si>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</si>
  <si>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</si>
  <si>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</si>
  <si>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</si>
  <si>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</si>
  <si>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</si>
  <si>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</si>
  <si>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</si>
  <si>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</si>
  <si>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</si>
  <si>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</si>
  <si>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</si>
  <si>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</si>
  <si>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</si>
  <si>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</si>
  <si>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</si>
  <si>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</si>
  <si>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</si>
  <si>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</si>
  <si>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</si>
  <si>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</si>
  <si>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</si>
  <si>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</si>
  <si>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</si>
  <si>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</si>
  <si>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</si>
  <si>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</si>
  <si>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</si>
  <si>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</si>
  <si>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</si>
  <si>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</si>
  <si>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</si>
  <si>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</si>
  <si>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</si>
  <si>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</si>
  <si>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</si>
  <si>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</si>
  <si>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</si>
  <si>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</si>
  <si>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</si>
  <si>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</si>
  <si>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</si>
  <si>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</si>
  <si>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</si>
  <si>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</si>
  <si>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</si>
  <si>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</si>
  <si>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</si>
  <si>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</si>
  <si>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</si>
  <si>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</si>
  <si>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</si>
  <si>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</si>
  <si>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</si>
  <si>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</si>
  <si>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</si>
  <si>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</si>
  <si>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</si>
  <si>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</si>
  <si>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</si>
  <si>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</si>
  <si>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</si>
  <si>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</si>
  <si>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</si>
  <si>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</si>
  <si>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</si>
  <si>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</si>
  <si>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</si>
  <si>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</si>
  <si>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</si>
  <si>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</si>
  <si>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</si>
  <si>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</si>
  <si>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</si>
  <si>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</si>
  <si>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</si>
  <si>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</si>
  <si>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</si>
  <si>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</si>
  <si>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</si>
  <si>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</si>
  <si>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</si>
  <si>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</si>
  <si>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</si>
  <si>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</si>
  <si>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</si>
  <si>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</si>
  <si>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</si>
  <si>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</si>
  <si>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</si>
  <si>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</si>
  <si>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</si>
  <si>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</si>
  <si>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</si>
  <si>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</si>
  <si>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</si>
  <si>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</si>
  <si>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</si>
  <si>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</si>
  <si>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</si>
  <si>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</si>
  <si>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</si>
  <si>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</si>
  <si>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</si>
  <si>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</si>
  <si>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</si>
  <si>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</si>
  <si>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</si>
  <si>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</si>
  <si>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</si>
  <si>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</si>
  <si>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</si>
  <si>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</si>
  <si>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</si>
  <si>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</si>
  <si>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</si>
  <si>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</si>
  <si>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</si>
  <si>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</si>
  <si>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</si>
  <si>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</si>
  <si>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</si>
  <si>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</si>
  <si>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</si>
  <si>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</si>
  <si>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</si>
  <si>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</si>
  <si>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</si>
  <si>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</si>
  <si>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</si>
  <si>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</si>
  <si>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</si>
  <si>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</si>
  <si>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</si>
  <si>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</si>
  <si>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</si>
  <si>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</si>
  <si>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</si>
  <si>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</si>
  <si>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</si>
  <si>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</si>
  <si>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</si>
  <si>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</si>
  <si>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</si>
  <si>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</si>
  <si>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</si>
  <si>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</si>
  <si>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</si>
  <si>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</si>
  <si>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</si>
  <si>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</si>
  <si>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</si>
  <si>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</si>
  <si>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</si>
  <si>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</si>
  <si>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</si>
  <si>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</si>
  <si>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</si>
  <si>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</si>
  <si>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</si>
  <si>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</si>
  <si>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</si>
  <si>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</si>
  <si>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</si>
  <si>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</si>
  <si>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</si>
  <si>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</si>
  <si>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</si>
  <si>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</si>
  <si>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</si>
  <si>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</si>
  <si>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</si>
  <si>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</si>
  <si>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</si>
  <si>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</si>
  <si>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</si>
  <si>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</si>
  <si>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</si>
  <si>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</si>
  <si>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</si>
  <si>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</si>
  <si>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</si>
  <si>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</si>
  <si>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</si>
  <si>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</si>
  <si>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</si>
  <si>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</si>
  <si>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</si>
  <si>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</si>
  <si>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</si>
  <si>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</si>
  <si>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</si>
  <si>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</si>
  <si>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</si>
  <si>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</si>
  <si>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</si>
  <si>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</si>
  <si>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</si>
  <si>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</si>
  <si>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</si>
  <si>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</si>
  <si>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</si>
  <si>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</si>
  <si>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</si>
  <si>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</si>
  <si>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</si>
  <si>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</si>
  <si>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</si>
  <si>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</si>
  <si>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</si>
  <si>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</si>
  <si>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</si>
  <si>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</si>
  <si>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</si>
  <si>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</si>
  <si>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</si>
  <si>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</si>
  <si>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</si>
  <si>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</si>
  <si>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</si>
  <si>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</si>
  <si>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</si>
  <si>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</si>
  <si>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</si>
  <si>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</si>
  <si>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</si>
  <si>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</si>
  <si>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</si>
  <si>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</si>
  <si>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</si>
  <si>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</si>
  <si>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</si>
  <si>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</si>
  <si>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</si>
  <si>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</si>
  <si>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</si>
  <si>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</si>
  <si>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</si>
  <si>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</si>
  <si>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</si>
  <si>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</si>
  <si>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</si>
  <si>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</si>
  <si>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</si>
  <si>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</si>
  <si>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</si>
  <si>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</si>
  <si>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</si>
  <si>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</si>
  <si>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</si>
  <si>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</si>
  <si>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</si>
  <si>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</si>
  <si>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</si>
  <si>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</si>
  <si>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</si>
  <si>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</si>
  <si>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</si>
  <si>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</si>
  <si>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</si>
  <si>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</si>
  <si>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</si>
  <si>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</si>
  <si>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</si>
  <si>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</si>
  <si>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</si>
  <si>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</si>
  <si>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</si>
  <si>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</si>
  <si>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</si>
  <si>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</si>
  <si>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</si>
  <si>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</si>
  <si>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</si>
  <si>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</si>
  <si>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</si>
  <si>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</si>
  <si>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</si>
  <si>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</si>
  <si>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</si>
  <si>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</si>
  <si>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</si>
  <si>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</si>
  <si>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</si>
  <si>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</si>
  <si>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</si>
  <si>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</si>
  <si>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</si>
  <si>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</si>
  <si>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</si>
  <si>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</si>
  <si>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</si>
  <si>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</si>
  <si>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</si>
  <si>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</si>
  <si>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</si>
  <si>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</si>
  <si>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</si>
  <si>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</si>
  <si>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</si>
  <si>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</si>
  <si>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</si>
  <si>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</si>
  <si>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</si>
  <si>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</si>
  <si>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</si>
  <si>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</si>
  <si>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</si>
  <si>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</si>
  <si>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</si>
  <si>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</si>
  <si>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</si>
  <si>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</si>
  <si>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</si>
  <si>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</si>
  <si>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</si>
  <si>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</si>
  <si>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</si>
  <si>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</si>
  <si>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</si>
  <si>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</si>
  <si>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</si>
  <si>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</si>
  <si>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</si>
  <si>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</si>
  <si>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</si>
  <si>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</si>
  <si>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</si>
  <si>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</si>
  <si>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</si>
  <si>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</si>
  <si>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</si>
  <si>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</si>
  <si>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</si>
  <si>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</si>
  <si>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</si>
  <si>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</si>
  <si>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</si>
  <si>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</si>
  <si>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</si>
  <si>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</si>
  <si>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</si>
  <si>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</si>
  <si>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</si>
  <si>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</si>
  <si>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</si>
  <si>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</si>
  <si>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</si>
  <si>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</si>
  <si>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</si>
  <si>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</si>
  <si>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</si>
  <si>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</si>
  <si>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</si>
  <si>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</si>
  <si>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</si>
  <si>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</si>
  <si>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</si>
  <si>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</si>
  <si>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</si>
  <si>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</si>
  <si>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</si>
  <si>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</si>
  <si>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</si>
  <si>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</si>
  <si>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</si>
  <si>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</si>
  <si>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</si>
  <si>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</si>
  <si>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</si>
  <si>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</si>
  <si>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</si>
  <si>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</si>
  <si>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</si>
  <si>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</si>
  <si>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</si>
  <si>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</si>
  <si>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</si>
  <si>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</si>
  <si>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</si>
  <si>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</si>
  <si>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</si>
  <si>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</si>
  <si>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</si>
  <si>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</si>
  <si>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</si>
  <si>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</si>
  <si>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</si>
  <si>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</si>
  <si>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</si>
  <si>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</si>
  <si>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</si>
  <si>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</si>
  <si>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</si>
  <si>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</si>
  <si>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</si>
  <si>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</si>
  <si>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</si>
  <si>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</si>
  <si>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</si>
  <si>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</si>
  <si>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</si>
  <si>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</si>
  <si>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</si>
  <si>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</si>
  <si>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</si>
  <si>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</si>
  <si>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</si>
  <si>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</si>
  <si>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</si>
  <si>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</si>
  <si>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</si>
  <si>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</si>
  <si>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</si>
  <si>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</si>
  <si>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</si>
  <si>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</si>
  <si>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</si>
  <si>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</si>
  <si>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</si>
  <si>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</si>
  <si>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</si>
  <si>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</si>
  <si>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</si>
  <si>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</si>
  <si>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</si>
  <si>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</si>
  <si>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</si>
  <si>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</si>
  <si>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</si>
  <si>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</si>
  <si>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</si>
  <si>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</si>
  <si>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</si>
  <si>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</si>
  <si>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</si>
  <si>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</si>
  <si>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</si>
  <si>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</si>
  <si>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</si>
  <si>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</si>
  <si>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</si>
  <si>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</si>
  <si>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</si>
  <si>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</si>
  <si>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</si>
  <si>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</si>
  <si>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</si>
  <si>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</si>
  <si>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</si>
  <si>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</si>
  <si>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</si>
  <si>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</si>
  <si>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</si>
  <si>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</si>
  <si>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</si>
  <si>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</si>
  <si>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</si>
  <si>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</si>
  <si>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</si>
  <si>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</si>
  <si>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</si>
  <si>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</si>
  <si>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</si>
  <si>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</si>
  <si>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</si>
  <si>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</si>
  <si>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</si>
  <si>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</si>
  <si>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</si>
  <si>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</si>
  <si>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</si>
  <si>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</si>
  <si>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</si>
  <si>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</si>
  <si>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</si>
  <si>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</si>
  <si>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</si>
  <si>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</si>
  <si>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</si>
  <si>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</si>
  <si>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</si>
  <si>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</si>
  <si>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</si>
  <si>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</si>
  <si>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</si>
  <si>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</si>
  <si>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</si>
  <si>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</si>
  <si>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</si>
  <si>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</si>
  <si>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</si>
  <si>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</si>
  <si>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</si>
  <si>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</si>
  <si>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</si>
  <si>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</si>
  <si>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</si>
  <si>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</si>
  <si>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</si>
  <si>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</si>
  <si>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</si>
  <si>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</si>
  <si>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</si>
  <si>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</si>
  <si>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</si>
  <si>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</si>
  <si>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</si>
  <si>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</si>
  <si>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</si>
  <si>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</si>
  <si>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</si>
  <si>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</si>
  <si>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</si>
  <si>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</si>
  <si>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</si>
  <si>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</si>
  <si>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</si>
  <si>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</si>
  <si>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</si>
  <si>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</si>
  <si>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</si>
  <si>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</si>
  <si>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</si>
  <si>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</si>
  <si>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</si>
  <si>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</si>
  <si>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</si>
  <si>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</si>
  <si>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</si>
  <si>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</si>
  <si>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</si>
  <si>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</si>
  <si>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</si>
  <si>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</si>
  <si>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</si>
  <si>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</si>
  <si>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</si>
  <si>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</si>
  <si>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</si>
  <si>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</si>
  <si>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</si>
  <si>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</si>
  <si>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</si>
  <si>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</si>
  <si>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</si>
  <si>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</si>
  <si>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</si>
  <si>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</si>
  <si>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</si>
  <si>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</si>
  <si>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</si>
  <si>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</si>
  <si>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</si>
  <si>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</si>
  <si>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</si>
  <si>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</si>
  <si>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</si>
  <si>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</si>
  <si>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</si>
  <si>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</si>
  <si>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</si>
  <si>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</si>
  <si>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</si>
  <si>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</si>
  <si>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</si>
  <si>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</si>
  <si>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</si>
  <si>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</si>
  <si>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</si>
  <si>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</si>
  <si>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</si>
  <si>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</si>
  <si>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</si>
  <si>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</si>
  <si>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</si>
  <si>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</si>
  <si>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</si>
  <si>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</si>
  <si>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</si>
  <si>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</si>
  <si>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</si>
  <si>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</si>
  <si>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</si>
  <si>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</si>
  <si>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</si>
  <si>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</si>
  <si>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</si>
  <si>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</si>
  <si>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</si>
  <si>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</si>
  <si>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</si>
  <si>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</si>
  <si>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</si>
  <si>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</si>
  <si>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</si>
  <si>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</si>
  <si>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</si>
  <si>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</si>
  <si>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</si>
  <si>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</si>
  <si>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</si>
  <si>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</si>
  <si>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</si>
  <si>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</si>
  <si>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</si>
  <si>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</si>
  <si>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</si>
  <si>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</si>
  <si>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</si>
  <si>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</si>
  <si>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</si>
  <si>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</si>
  <si>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</si>
  <si>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</si>
  <si>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</si>
  <si>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</si>
  <si>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</si>
  <si>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</si>
  <si>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</si>
  <si>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</si>
  <si>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</si>
  <si>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</si>
  <si>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</si>
  <si>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</si>
  <si>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</si>
  <si>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</si>
  <si>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</si>
  <si>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</si>
  <si>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</si>
  <si>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</si>
  <si>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</si>
  <si>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</si>
  <si>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</si>
  <si>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</si>
  <si>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</si>
  <si>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</si>
  <si>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</si>
  <si>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</si>
  <si>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</si>
  <si>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</si>
  <si>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</si>
  <si>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</si>
  <si>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</si>
  <si>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</si>
  <si>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</si>
  <si>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</si>
  <si>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</si>
  <si>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</si>
  <si>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</si>
  <si>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</si>
  <si>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</si>
  <si>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</si>
  <si>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</si>
  <si>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</si>
  <si>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</si>
  <si>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</si>
  <si>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</si>
  <si>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</si>
  <si>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</si>
  <si>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</si>
  <si>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</si>
  <si>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</si>
  <si>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</si>
  <si>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</si>
  <si>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</si>
  <si>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</si>
  <si>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</si>
  <si>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</si>
  <si>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</si>
  <si>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</si>
  <si>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</si>
  <si>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</si>
  <si>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</si>
  <si>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</si>
  <si>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</si>
  <si>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</si>
  <si>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</si>
  <si>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</si>
  <si>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</si>
  <si>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</si>
  <si>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</si>
  <si>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</si>
  <si>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</si>
  <si>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</si>
  <si>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</si>
  <si>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</si>
  <si>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</si>
  <si>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</si>
  <si>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</si>
  <si>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</si>
  <si>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</si>
  <si>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</si>
  <si>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</si>
  <si>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</si>
  <si>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</si>
  <si>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</si>
  <si>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</si>
  <si>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</si>
  <si>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</si>
  <si>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</si>
  <si>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</si>
  <si>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</si>
  <si>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</si>
  <si>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</si>
  <si>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</si>
  <si>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</si>
  <si>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</si>
  <si>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</si>
  <si>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</si>
  <si>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</si>
  <si>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</si>
  <si>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</si>
  <si>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</si>
  <si>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</si>
  <si>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</si>
  <si>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</si>
  <si>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</si>
  <si>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</si>
  <si>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</si>
  <si>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</si>
  <si>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</si>
  <si>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</si>
  <si>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</si>
  <si>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</si>
  <si>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</si>
  <si>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</si>
  <si>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</si>
  <si>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</si>
  <si>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</si>
  <si>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</si>
  <si>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</si>
  <si>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</si>
  <si>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</si>
  <si>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</si>
  <si>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</si>
  <si>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</si>
  <si>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</si>
  <si>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</si>
  <si>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</si>
  <si>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</si>
  <si>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</si>
  <si>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</si>
  <si>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</si>
  <si>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</si>
  <si>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</si>
  <si>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</si>
  <si>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</si>
  <si>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</si>
  <si>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</si>
  <si>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</si>
  <si>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</si>
  <si>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</si>
  <si>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</si>
  <si>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</si>
  <si>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</si>
  <si>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</si>
  <si>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</si>
  <si>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</si>
  <si>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</si>
  <si>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</si>
  <si>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</si>
  <si>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</si>
  <si>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</si>
  <si>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</si>
  <si>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</si>
  <si>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</si>
  <si>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</si>
  <si>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</si>
  <si>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</si>
  <si>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</si>
  <si>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</si>
  <si>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</si>
  <si>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</si>
  <si>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</si>
  <si>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</si>
  <si>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</si>
  <si>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</si>
  <si>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</si>
  <si>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</si>
  <si>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</si>
  <si>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</si>
  <si>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</si>
  <si>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</si>
  <si>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</si>
  <si>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</si>
  <si>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</si>
  <si>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</si>
  <si>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</si>
  <si>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</si>
  <si>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</si>
  <si>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</si>
  <si>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</si>
  <si>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</si>
  <si>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</si>
  <si>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</si>
  <si>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</si>
  <si>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</si>
  <si>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</si>
  <si>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</si>
  <si>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</si>
  <si>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</si>
  <si>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</si>
  <si>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</si>
  <si>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</si>
  <si>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</si>
  <si>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</si>
  <si>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</si>
  <si>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</si>
  <si>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</si>
  <si>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</si>
  <si>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</si>
  <si>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</si>
  <si>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</si>
  <si>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</si>
  <si>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</si>
  <si>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</si>
  <si>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</si>
  <si>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</si>
  <si>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</si>
  <si>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</si>
  <si>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</si>
  <si>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</si>
  <si>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</si>
  <si>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</si>
  <si>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</si>
  <si>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</si>
  <si>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</si>
  <si>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</si>
  <si>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</si>
  <si>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</si>
  <si>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</si>
  <si>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</si>
  <si>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</si>
  <si>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</si>
  <si>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</si>
  <si>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</si>
  <si>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</si>
  <si>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</si>
  <si>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</si>
  <si>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</si>
  <si>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</si>
  <si>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</si>
  <si>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</si>
  <si>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</si>
  <si>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</si>
  <si>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</si>
  <si>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</si>
  <si>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</si>
  <si>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</si>
  <si>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</si>
  <si>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</si>
  <si>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</si>
  <si>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</si>
  <si>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</si>
  <si>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</si>
  <si>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</si>
  <si>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</si>
  <si>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</si>
  <si>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</si>
  <si>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</si>
  <si>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</si>
  <si>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</si>
  <si>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</si>
  <si>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</si>
  <si>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</si>
  <si>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</si>
  <si>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</si>
  <si>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</si>
  <si>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</si>
  <si>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</si>
  <si>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</si>
  <si>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</si>
  <si>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</si>
  <si>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</si>
  <si>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</si>
  <si>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</si>
  <si>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</si>
  <si>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</si>
  <si>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</si>
  <si>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</si>
  <si>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</si>
  <si>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</si>
  <si>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</si>
  <si>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</si>
  <si>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</si>
  <si>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</si>
  <si>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</si>
  <si>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</si>
  <si>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</si>
  <si>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</si>
  <si>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</si>
  <si>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</si>
  <si>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</si>
  <si>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</si>
  <si>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</si>
  <si>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</si>
  <si>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</si>
  <si>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</si>
  <si>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</si>
  <si>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</si>
  <si>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</si>
  <si>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</si>
  <si>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</si>
  <si>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</si>
  <si>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</si>
  <si>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</si>
  <si>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</si>
  <si>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</si>
  <si>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</si>
  <si>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</si>
  <si>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</si>
  <si>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</si>
  <si>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</si>
  <si>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</si>
  <si>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</si>
  <si>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</si>
  <si>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</si>
  <si>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</si>
  <si>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</si>
  <si>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</si>
  <si>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</si>
  <si>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</si>
  <si>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</si>
  <si>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</si>
  <si>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</si>
  <si>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</si>
  <si>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</si>
  <si>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</si>
  <si>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</si>
  <si>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</si>
  <si>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</si>
  <si>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</si>
  <si>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</si>
  <si>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</si>
  <si>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</si>
  <si>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</si>
  <si>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</si>
  <si>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</si>
  <si>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</si>
  <si>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</si>
  <si>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</si>
  <si>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</si>
  <si>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</si>
  <si>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</si>
  <si>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</si>
  <si>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</si>
  <si>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</si>
  <si>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</si>
  <si>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</si>
  <si>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</si>
  <si>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</si>
  <si>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</si>
  <si>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</si>
  <si>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</si>
  <si>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</si>
  <si>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</si>
  <si>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</si>
  <si>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</si>
  <si>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</si>
  <si>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</si>
  <si>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</si>
  <si>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</si>
  <si>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</si>
  <si>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</si>
  <si>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</si>
  <si>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</si>
  <si>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</si>
  <si>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</si>
  <si>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</si>
  <si>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</si>
  <si>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</si>
  <si>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</si>
  <si>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</si>
  <si>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</si>
  <si>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</si>
  <si>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</si>
  <si>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</si>
  <si>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</si>
  <si>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</si>
  <si>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</si>
  <si>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</si>
  <si>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</si>
  <si>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</si>
  <si>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</si>
  <si>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</si>
  <si>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</si>
  <si>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</si>
  <si>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</si>
  <si>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</si>
  <si>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</si>
  <si>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</si>
  <si>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</si>
  <si>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</si>
  <si>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</si>
  <si>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</si>
  <si>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</si>
  <si>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</si>
  <si>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</si>
  <si>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</si>
  <si>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</si>
  <si>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</si>
  <si>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</si>
  <si>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</si>
  <si>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</si>
  <si>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</si>
  <si>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</si>
  <si>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</si>
  <si>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</si>
  <si>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</si>
  <si>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</si>
  <si>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</si>
  <si>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</si>
  <si>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</si>
  <si>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</si>
  <si>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</si>
  <si>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</si>
  <si>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</si>
  <si>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</si>
  <si>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</si>
  <si>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</si>
  <si>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</si>
  <si>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</si>
  <si>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</si>
  <si>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</si>
  <si>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</si>
  <si>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</si>
  <si>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</si>
  <si>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</si>
  <si>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</si>
  <si>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</si>
  <si>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</si>
  <si>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</si>
  <si>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</si>
  <si>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</si>
  <si>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</si>
  <si>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</si>
  <si>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</si>
  <si>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</si>
  <si>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</si>
  <si>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</si>
  <si>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</si>
  <si>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</si>
  <si>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</si>
  <si>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</si>
  <si>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</si>
  <si>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</si>
  <si>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</si>
  <si>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</si>
  <si>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</si>
  <si>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</si>
  <si>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</si>
  <si>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</si>
  <si>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</si>
  <si>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</si>
  <si>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</si>
  <si>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</si>
  <si>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</si>
  <si>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</si>
  <si>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</si>
  <si>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</si>
  <si>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</si>
  <si>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</si>
  <si>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</si>
  <si>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</si>
  <si>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</si>
  <si>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</si>
  <si>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</si>
  <si>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</si>
  <si>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</si>
  <si>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</si>
  <si>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</si>
  <si>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</si>
  <si>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</si>
  <si>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</si>
  <si>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</si>
  <si>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</si>
  <si>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</si>
  <si>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</si>
  <si>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</si>
  <si>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</si>
  <si>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</si>
  <si>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</si>
  <si>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</si>
  <si>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</si>
  <si>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</si>
  <si>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</si>
  <si>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</si>
  <si>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</si>
  <si>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</si>
  <si>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</si>
  <si>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</si>
  <si>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</si>
  <si>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</si>
  <si>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</si>
  <si>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</si>
  <si>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</si>
  <si>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</si>
  <si>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</si>
  <si>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</si>
  <si>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</si>
  <si>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</si>
  <si>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</si>
  <si>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</si>
  <si>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</si>
  <si>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</si>
  <si>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</si>
  <si>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</si>
  <si>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</si>
  <si>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</si>
  <si>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</si>
  <si>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</si>
  <si>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</si>
  <si>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</si>
  <si>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</si>
  <si>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</si>
  <si>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</si>
  <si>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</si>
  <si>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</si>
  <si>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</si>
  <si>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</si>
  <si>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</si>
  <si>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</si>
  <si>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</si>
  <si>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</si>
  <si>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</si>
  <si>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</si>
  <si>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</si>
  <si>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</si>
  <si>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</si>
  <si>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</si>
  <si>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</si>
  <si>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</si>
  <si>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</si>
  <si>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</si>
  <si>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</si>
  <si>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</si>
  <si>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</si>
  <si>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</si>
  <si>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</si>
  <si>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</si>
  <si>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</si>
  <si>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</si>
  <si>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</si>
  <si>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</si>
  <si>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</si>
  <si>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</si>
  <si>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</si>
  <si>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</si>
  <si>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</si>
  <si>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</si>
  <si>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</si>
  <si>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</si>
  <si>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</si>
  <si>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</si>
  <si>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</si>
  <si>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</si>
  <si>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</si>
  <si>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</si>
  <si>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</si>
  <si>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</si>
  <si>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</si>
  <si>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</si>
  <si>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</si>
  <si>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</si>
  <si>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</si>
  <si>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</si>
  <si>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</si>
  <si>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</si>
  <si>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</si>
  <si>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</si>
  <si>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</si>
  <si>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</si>
  <si>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</si>
  <si>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</si>
  <si>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</si>
  <si>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</si>
  <si>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</si>
  <si>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</si>
  <si>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</si>
  <si>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</si>
  <si>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</si>
  <si>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</si>
  <si>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</si>
  <si>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</si>
  <si>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</si>
  <si>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</si>
  <si>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</si>
  <si>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</si>
  <si>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</si>
  <si>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</si>
  <si>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</si>
  <si>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</si>
  <si>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</si>
  <si>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</si>
  <si>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</si>
  <si>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</si>
  <si>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</si>
  <si>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</si>
  <si>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</si>
  <si>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</si>
  <si>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</si>
  <si>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</si>
  <si>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</si>
  <si>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</si>
  <si>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</si>
  <si>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</si>
  <si>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</si>
  <si>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</si>
  <si>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</si>
  <si>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</si>
  <si>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</si>
  <si>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</si>
  <si>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</si>
  <si>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</si>
  <si>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</si>
  <si>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</si>
  <si>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</si>
  <si>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</si>
  <si>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</si>
  <si>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</si>
  <si>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</si>
  <si>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</si>
  <si>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</si>
  <si>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</si>
  <si>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</si>
  <si>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</si>
  <si>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</si>
  <si>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</si>
  <si>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</si>
  <si>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</si>
  <si>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</si>
  <si>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</si>
  <si>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</si>
  <si>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</si>
  <si>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</si>
  <si>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</si>
  <si>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</si>
  <si>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</si>
  <si>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</si>
  <si>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</si>
  <si>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</si>
  <si>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</si>
  <si>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</si>
  <si>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</si>
  <si>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</si>
  <si>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</si>
  <si>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</si>
  <si>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</si>
  <si>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</si>
  <si>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</si>
  <si>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</si>
  <si>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</si>
  <si>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</si>
  <si>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</si>
  <si>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</si>
  <si>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</si>
  <si>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</si>
  <si>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</si>
  <si>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</si>
  <si>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</si>
  <si>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</si>
  <si>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</si>
  <si>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</si>
  <si>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</si>
  <si>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</si>
  <si>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</si>
  <si>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</si>
  <si>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</si>
  <si>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</si>
  <si>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</si>
  <si>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</si>
  <si>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</si>
  <si>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</si>
  <si>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</si>
  <si>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</si>
  <si>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</si>
  <si>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</si>
  <si>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</si>
  <si>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</si>
  <si>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</si>
  <si>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</si>
  <si>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</si>
  <si>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</si>
  <si>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</si>
  <si>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</si>
  <si>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</si>
  <si>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</si>
  <si>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</si>
  <si>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</si>
  <si>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</si>
  <si>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</si>
  <si>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</si>
  <si>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</si>
  <si>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</si>
  <si>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</si>
  <si>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</si>
  <si>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</si>
  <si>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</si>
  <si>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</si>
  <si>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</si>
  <si>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</si>
  <si>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</si>
  <si>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</si>
  <si>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</si>
  <si>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</si>
  <si>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</si>
  <si>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</si>
  <si>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</si>
  <si>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</si>
  <si>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</si>
  <si>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</si>
  <si>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</si>
  <si>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</si>
  <si>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</si>
  <si>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</si>
  <si>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</si>
  <si>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</si>
  <si>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</si>
  <si>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</si>
  <si>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</si>
  <si>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</si>
  <si>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</si>
  <si>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</si>
  <si>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</si>
  <si>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</si>
  <si>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</si>
  <si>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</si>
  <si>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</si>
  <si>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</si>
  <si>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</si>
  <si>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</si>
  <si>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</si>
  <si>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</si>
  <si>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</si>
  <si>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</si>
  <si>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</si>
  <si>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</si>
  <si>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</si>
  <si>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</si>
  <si>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</si>
  <si>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</si>
  <si>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</si>
  <si>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</si>
  <si>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</si>
  <si>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</si>
  <si>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</si>
  <si>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</si>
  <si>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</si>
  <si>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</si>
  <si>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</si>
  <si>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</si>
  <si>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</si>
  <si>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</si>
  <si>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</si>
  <si>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</si>
  <si>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</si>
  <si>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</si>
  <si>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</si>
  <si>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</si>
  <si>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</si>
  <si>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</si>
  <si>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</si>
  <si>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</si>
  <si>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</si>
  <si>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</si>
  <si>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</si>
  <si>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</si>
  <si>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</si>
  <si>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</si>
  <si>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</si>
  <si>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</si>
  <si>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</si>
  <si>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</si>
  <si>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</si>
  <si>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</si>
  <si>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</si>
  <si>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</si>
  <si>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</si>
  <si>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</si>
  <si>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</si>
  <si>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</si>
  <si>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</si>
  <si>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</si>
  <si>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</si>
  <si>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</si>
  <si>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</si>
  <si>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</si>
  <si>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</si>
  <si>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</si>
  <si>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</si>
  <si>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</si>
  <si>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</si>
  <si>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</si>
  <si>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</si>
  <si>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</si>
  <si>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</si>
  <si>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</si>
  <si>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</si>
  <si>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</si>
  <si>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</si>
  <si>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</si>
  <si>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</si>
  <si>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</si>
  <si>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</si>
  <si>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</si>
  <si>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</si>
  <si>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</si>
  <si>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</si>
  <si>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</si>
  <si>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</si>
  <si>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</si>
  <si>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</si>
  <si>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</si>
  <si>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</si>
  <si>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</si>
  <si>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</si>
  <si>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</si>
  <si>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</si>
  <si>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</si>
  <si>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</si>
  <si>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</si>
  <si>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</si>
  <si>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</si>
  <si>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</si>
  <si>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</si>
  <si>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</si>
  <si>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</si>
  <si>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</si>
  <si>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</si>
  <si>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</si>
  <si>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</si>
  <si>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</si>
  <si>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</si>
  <si>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</si>
  <si>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</si>
  <si>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</si>
  <si>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</si>
  <si>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</si>
  <si>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</si>
  <si>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</si>
  <si>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</si>
  <si>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</si>
  <si>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</si>
  <si>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</si>
  <si>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</si>
  <si>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</si>
  <si>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</si>
  <si>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</si>
  <si>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</si>
  <si>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</si>
  <si>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</si>
  <si>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</si>
  <si>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</si>
  <si>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</si>
  <si>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</si>
  <si>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</si>
  <si>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</si>
  <si>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</si>
  <si>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</si>
  <si>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</si>
  <si>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</si>
  <si>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</si>
  <si>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</si>
  <si>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</si>
  <si>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</si>
  <si>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</si>
  <si>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</si>
  <si>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</si>
  <si>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</si>
  <si>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</si>
  <si>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</si>
  <si>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</si>
  <si>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</si>
  <si>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</si>
  <si>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</si>
  <si>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</si>
  <si>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</si>
  <si>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</si>
  <si>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</si>
  <si>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</si>
  <si>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</si>
  <si>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</si>
  <si>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</si>
  <si>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</si>
  <si>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</si>
  <si>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</si>
  <si>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</si>
  <si>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</si>
  <si>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</si>
  <si>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</si>
  <si>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</si>
  <si>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</si>
  <si>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</si>
  <si>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</si>
  <si>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</si>
  <si>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</si>
  <si>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</si>
  <si>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</si>
  <si>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</si>
  <si>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</si>
  <si>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</si>
  <si>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</si>
  <si>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</si>
  <si>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</si>
  <si>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</si>
  <si>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</si>
  <si>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</si>
  <si>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</si>
  <si>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</si>
  <si>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</si>
  <si>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</si>
  <si>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</si>
  <si>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</si>
  <si>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</si>
  <si>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</si>
  <si>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</si>
  <si>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</si>
  <si>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</si>
  <si>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</si>
  <si>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</si>
  <si>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</si>
  <si>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</si>
  <si>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</si>
  <si>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</si>
  <si>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</si>
  <si>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</si>
  <si>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</si>
  <si>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</si>
  <si>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</si>
  <si>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</si>
  <si>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</si>
  <si>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</si>
  <si>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</si>
  <si>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</si>
  <si>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</si>
  <si>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</si>
  <si>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</si>
  <si>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</si>
  <si>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</si>
  <si>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</si>
  <si>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</si>
  <si>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</si>
  <si>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</si>
  <si>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</si>
  <si>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</si>
  <si>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</si>
  <si>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</si>
  <si>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</si>
  <si>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</si>
  <si>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</si>
  <si>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</si>
  <si>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</si>
  <si>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</si>
  <si>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</si>
  <si>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</si>
  <si>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</si>
  <si>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</si>
  <si>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</si>
  <si>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</si>
  <si>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</si>
  <si>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</si>
  <si>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</si>
  <si>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</si>
  <si>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</si>
  <si>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</si>
  <si>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</si>
  <si>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</si>
  <si>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</si>
  <si>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</si>
  <si>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</si>
  <si>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</si>
  <si>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</si>
  <si>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</si>
  <si>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</si>
  <si>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</si>
  <si>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</si>
  <si>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</si>
  <si>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</si>
  <si>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</si>
  <si>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</si>
  <si>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</si>
  <si>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</si>
  <si>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</si>
  <si>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</si>
  <si>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</si>
  <si>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</si>
  <si>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</si>
  <si>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</si>
  <si>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</si>
  <si>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</si>
  <si>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</si>
  <si>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</si>
  <si>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</si>
  <si>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</si>
  <si>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</si>
  <si>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</si>
  <si>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</si>
  <si>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</si>
  <si>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</si>
  <si>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</si>
  <si>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</si>
  <si>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</si>
  <si>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</si>
  <si>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</si>
  <si>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</si>
  <si>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</si>
  <si>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</si>
  <si>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</si>
  <si>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</si>
  <si>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</si>
  <si>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</si>
  <si>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</si>
  <si>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</si>
  <si>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</si>
  <si>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</si>
  <si>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</si>
  <si>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</si>
  <si>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</si>
  <si>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</si>
  <si>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</si>
  <si>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</si>
  <si>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</si>
  <si>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</si>
  <si>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</si>
  <si>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</si>
  <si>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</si>
  <si>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</si>
  <si>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</si>
  <si>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</si>
  <si>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</si>
  <si>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</si>
  <si>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</si>
  <si>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</si>
  <si>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</si>
  <si>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</si>
  <si>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</si>
  <si>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</si>
  <si>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</si>
  <si>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</si>
  <si>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</si>
  <si>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</si>
  <si>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</si>
  <si>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</si>
  <si>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</si>
  <si>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</si>
  <si>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</si>
  <si>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</si>
  <si>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</si>
  <si>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</si>
  <si>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</si>
  <si>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</si>
  <si>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</si>
  <si>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</si>
  <si>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</si>
  <si>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</si>
  <si>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</si>
  <si>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</si>
  <si>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</si>
  <si>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</si>
  <si>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</si>
  <si>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</si>
  <si>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</si>
  <si>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</si>
  <si>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</si>
  <si>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</si>
  <si>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</si>
  <si>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</si>
  <si>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</si>
  <si>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</si>
  <si>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</si>
  <si>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</si>
  <si>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</si>
  <si>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</si>
  <si>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</si>
  <si>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</si>
  <si>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</si>
  <si>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</si>
  <si>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</si>
  <si>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</si>
  <si>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</si>
  <si>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</si>
  <si>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</si>
  <si>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</si>
  <si>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</si>
  <si>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</si>
  <si>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</si>
  <si>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</si>
  <si>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</si>
  <si>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</si>
  <si>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</si>
  <si>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</si>
  <si>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</si>
  <si>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</si>
  <si>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</si>
  <si>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</si>
  <si>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</si>
  <si>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</si>
  <si>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</si>
  <si>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</si>
  <si>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</si>
  <si>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</si>
  <si>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</si>
  <si>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</si>
  <si>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</si>
  <si>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</si>
  <si>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</si>
  <si>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</si>
  <si>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</si>
  <si>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</si>
  <si>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</si>
  <si>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</si>
  <si>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</si>
  <si>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</si>
  <si>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</si>
  <si>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</si>
  <si>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</si>
  <si>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</si>
  <si>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</si>
  <si>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</si>
  <si>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</si>
  <si>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</si>
  <si>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</si>
  <si>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</si>
  <si>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</si>
  <si>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</si>
  <si>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</si>
  <si>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</si>
  <si>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</si>
  <si>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</si>
  <si>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</si>
  <si>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</si>
  <si>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</si>
  <si>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</si>
  <si>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</si>
  <si>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</si>
  <si>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</si>
  <si>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</si>
  <si>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</si>
  <si>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</si>
  <si>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</si>
  <si>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</si>
  <si>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</si>
  <si>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</si>
  <si>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</si>
  <si>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</si>
  <si>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</si>
  <si>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</si>
  <si>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</si>
  <si>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</si>
  <si>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</si>
  <si>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</si>
  <si>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</si>
  <si>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</si>
  <si>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</si>
  <si>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</si>
  <si>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</si>
  <si>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</si>
  <si>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</si>
  <si>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</si>
  <si>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</si>
  <si>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</si>
  <si>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</si>
  <si>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</si>
  <si>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</si>
  <si>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</si>
  <si>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</si>
  <si>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</si>
  <si>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</si>
  <si>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</si>
  <si>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</si>
  <si>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</si>
  <si>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</si>
  <si>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</si>
  <si>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</si>
  <si>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</si>
  <si>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</si>
  <si>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</si>
  <si>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</si>
  <si>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</si>
  <si>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</si>
  <si>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</si>
  <si>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</si>
  <si>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</si>
  <si>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</si>
  <si>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</si>
  <si>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</si>
  <si>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</si>
  <si>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</si>
  <si>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</si>
  <si>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</si>
  <si>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</si>
  <si>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</si>
  <si>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</si>
  <si>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</si>
  <si>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</si>
  <si>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</si>
  <si>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</si>
  <si>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</si>
  <si>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</si>
  <si>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</si>
  <si>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</si>
  <si>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</si>
  <si>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</si>
  <si>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</si>
  <si>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</si>
  <si>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</si>
  <si>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</si>
  <si>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</si>
  <si>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</si>
  <si>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</si>
  <si>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</si>
  <si>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</si>
  <si>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</si>
  <si>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</si>
  <si>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</si>
  <si>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</si>
  <si>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</si>
  <si>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</si>
  <si>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</si>
  <si>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</si>
  <si>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</si>
  <si>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</si>
  <si>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</si>
  <si>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</si>
  <si>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</si>
  <si>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</si>
  <si>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</si>
  <si>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</si>
  <si>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</si>
  <si>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</si>
  <si>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</si>
  <si>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</si>
  <si>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</si>
  <si>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</si>
  <si>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</si>
  <si>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</si>
  <si>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</si>
  <si>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</si>
  <si>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</si>
  <si>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</si>
  <si>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</si>
  <si>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</si>
  <si>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</si>
  <si>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</si>
  <si>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</si>
  <si>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</si>
  <si>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</si>
  <si>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</si>
  <si>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</si>
  <si>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</si>
  <si>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</si>
  <si>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</si>
  <si>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</si>
  <si>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</si>
  <si>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</si>
  <si>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</si>
  <si>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</si>
  <si>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</si>
  <si>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</si>
  <si>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</si>
  <si>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</si>
  <si>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</si>
  <si>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</si>
  <si>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</si>
  <si>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</si>
  <si>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</si>
  <si>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</si>
  <si>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</si>
  <si>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</si>
  <si>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</si>
  <si>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</si>
  <si>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</si>
  <si>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</si>
  <si>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</si>
  <si>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</si>
  <si>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</si>
  <si>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</si>
  <si>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</si>
  <si>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</si>
  <si>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</si>
  <si>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</si>
  <si>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</si>
  <si>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</si>
  <si>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</si>
  <si>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</si>
  <si>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</si>
  <si>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</si>
  <si>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</si>
  <si>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</si>
  <si>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</si>
  <si>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</si>
  <si>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</si>
  <si>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</si>
  <si>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</si>
  <si>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</si>
  <si>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</si>
  <si>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</si>
  <si>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</si>
  <si>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</si>
  <si>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</si>
  <si>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</si>
  <si>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</si>
  <si>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</si>
  <si>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</si>
  <si>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</si>
  <si>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</si>
  <si>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</si>
  <si>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</si>
  <si>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</si>
  <si>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</si>
  <si>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</si>
  <si>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</si>
  <si>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</si>
  <si>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</si>
  <si>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</si>
  <si>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</si>
  <si>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</si>
  <si>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</si>
  <si>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</si>
  <si>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</si>
  <si>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</si>
  <si>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</si>
  <si>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</si>
  <si>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</si>
  <si>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</si>
  <si>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</si>
  <si>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</si>
  <si>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</si>
  <si>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</si>
  <si>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</si>
  <si>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</si>
  <si>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</si>
  <si>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</si>
  <si>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</si>
  <si>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</si>
  <si>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</si>
  <si>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</si>
  <si>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</si>
  <si>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</si>
  <si>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</si>
  <si>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</si>
  <si>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</si>
  <si>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</si>
  <si>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</si>
  <si>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</si>
  <si>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</si>
  <si>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</si>
  <si>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</si>
  <si>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</si>
  <si>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</si>
  <si>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</si>
  <si>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</si>
  <si>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</si>
  <si>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</si>
  <si>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</si>
  <si>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</si>
  <si>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</si>
  <si>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</si>
  <si>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</si>
  <si>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</si>
  <si>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</si>
  <si>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</si>
  <si>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</si>
  <si>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</si>
  <si>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</si>
  <si>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</si>
  <si>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</si>
  <si>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</si>
  <si>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</si>
  <si>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</si>
  <si>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</si>
  <si>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</si>
  <si>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</si>
  <si>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</si>
  <si>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</si>
  <si>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</si>
  <si>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</si>
  <si>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</si>
  <si>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</si>
  <si>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</si>
  <si>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</si>
  <si>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</si>
  <si>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</si>
  <si>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</si>
  <si>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</si>
  <si>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</si>
  <si>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</si>
  <si>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</si>
  <si>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</si>
  <si>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</si>
  <si>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</si>
  <si>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</si>
  <si>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</si>
  <si>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</si>
  <si>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</si>
  <si>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</si>
  <si>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</si>
  <si>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</si>
  <si>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</si>
  <si>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</si>
  <si>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</si>
  <si>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</si>
  <si>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</si>
  <si>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</si>
  <si>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</si>
  <si>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</si>
  <si>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</si>
  <si>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</si>
  <si>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</si>
  <si>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</si>
  <si>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</si>
  <si>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</si>
  <si>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</si>
  <si>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</si>
  <si>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</si>
  <si>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</si>
  <si>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</si>
  <si>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</si>
  <si>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</si>
  <si>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</si>
  <si>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</si>
  <si>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</si>
  <si>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</si>
  <si>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</si>
  <si>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</si>
  <si>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</si>
  <si>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</si>
  <si>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</si>
  <si>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</si>
  <si>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</si>
  <si>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</si>
  <si>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</si>
  <si>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</si>
  <si>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</si>
  <si>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</si>
  <si>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</si>
  <si>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</si>
  <si>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</si>
  <si>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</si>
  <si>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</si>
  <si>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</si>
  <si>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</si>
  <si>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</si>
  <si>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</si>
  <si>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</si>
  <si>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</si>
  <si>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</si>
  <si>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</si>
  <si>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</si>
  <si>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</si>
  <si>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</si>
  <si>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</si>
  <si>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</si>
  <si>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</si>
  <si>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</si>
  <si>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</si>
  <si>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</si>
  <si>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</si>
  <si>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</si>
  <si>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</si>
  <si>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</si>
  <si>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</si>
  <si>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</si>
  <si>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</si>
  <si>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</si>
  <si>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</si>
  <si>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</si>
  <si>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</si>
  <si>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</si>
  <si>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</si>
  <si>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</si>
  <si>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</si>
  <si>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</si>
  <si>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</si>
  <si>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</si>
  <si>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</si>
  <si>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</si>
  <si>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</si>
  <si>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</si>
  <si>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</si>
  <si>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</si>
  <si>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</si>
  <si>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</si>
  <si>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</si>
  <si>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</si>
  <si>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</si>
  <si>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</si>
  <si>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</si>
  <si>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</si>
  <si>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</si>
  <si>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</si>
  <si>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</si>
  <si>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</si>
  <si>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</si>
  <si>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</si>
  <si>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</si>
  <si>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</si>
  <si>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</si>
  <si>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</si>
  <si>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</si>
  <si>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</si>
  <si>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</si>
  <si>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</si>
  <si>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</si>
  <si>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</si>
  <si>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</si>
  <si>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</si>
  <si>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</si>
  <si>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</si>
  <si>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</si>
  <si>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</si>
  <si>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</si>
  <si>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</si>
  <si>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</si>
  <si>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</si>
  <si>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</si>
  <si>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</si>
  <si>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</si>
  <si>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</si>
  <si>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</si>
  <si>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</si>
  <si>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</si>
  <si>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</si>
  <si>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</si>
  <si>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</si>
  <si>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</si>
  <si>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</si>
  <si>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</si>
  <si>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</si>
  <si>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</si>
  <si>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</si>
  <si>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</si>
  <si>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</si>
  <si>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</si>
  <si>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</si>
  <si>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</si>
  <si>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</si>
  <si>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</si>
  <si>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</si>
  <si>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</si>
  <si>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</si>
  <si>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</si>
  <si>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</si>
  <si>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</si>
  <si>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</si>
  <si>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</si>
  <si>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</si>
  <si>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</si>
  <si>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</si>
  <si>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</si>
  <si>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</si>
  <si>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</si>
  <si>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</si>
  <si>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</si>
  <si>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</si>
  <si>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</si>
  <si>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</si>
  <si>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</si>
  <si>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</si>
  <si>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</si>
  <si>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</si>
  <si>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</si>
  <si>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</si>
  <si>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</si>
  <si>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</si>
  <si>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</si>
  <si>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</si>
  <si>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</si>
  <si>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</si>
  <si>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</si>
  <si>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</si>
  <si>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</si>
  <si>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</si>
  <si>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</si>
  <si>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</si>
  <si>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</si>
  <si>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</si>
  <si>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</si>
  <si>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</si>
  <si>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</si>
  <si>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</si>
  <si>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</si>
  <si>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</si>
  <si>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</si>
  <si>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</si>
  <si>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</si>
  <si>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</si>
  <si>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</si>
  <si>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</si>
  <si>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</si>
  <si>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</si>
  <si>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</si>
  <si>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</si>
  <si>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</si>
  <si>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</si>
  <si>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</si>
  <si>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</si>
  <si>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</si>
  <si>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</si>
  <si>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</si>
  <si>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</si>
  <si>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</si>
  <si>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</si>
  <si>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</si>
  <si>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</si>
  <si>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</si>
  <si>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</si>
  <si>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</si>
  <si>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</si>
  <si>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</si>
  <si>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</si>
  <si>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</si>
  <si>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</si>
  <si>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</si>
  <si>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</si>
  <si>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</si>
  <si>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</si>
  <si>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</si>
  <si>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</si>
  <si>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</si>
  <si>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</si>
  <si>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</si>
  <si>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</si>
  <si>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</si>
  <si>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</si>
  <si>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</si>
  <si>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</si>
  <si>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</si>
  <si>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</si>
  <si>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</si>
  <si>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</si>
  <si>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</si>
  <si>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</si>
  <si>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</si>
  <si>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</si>
  <si>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</si>
  <si>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</si>
  <si>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</si>
  <si>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</si>
  <si>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</si>
  <si>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</si>
  <si>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</si>
  <si>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</si>
  <si>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</si>
  <si>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</si>
  <si>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</si>
  <si>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</si>
  <si>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</si>
  <si>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</si>
  <si>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</si>
  <si>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</si>
  <si>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</si>
  <si>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</si>
  <si>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</si>
  <si>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</si>
  <si>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</si>
  <si>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</si>
  <si>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</si>
  <si>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</si>
  <si>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</si>
  <si>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</si>
  <si>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</si>
  <si>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</si>
  <si>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</si>
  <si>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</si>
  <si>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</si>
  <si>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</si>
  <si>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</si>
  <si>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</si>
  <si>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</si>
  <si>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</si>
  <si>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</si>
  <si>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</si>
  <si>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</si>
  <si>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</si>
  <si>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</si>
  <si>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</si>
  <si>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</si>
  <si>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</si>
  <si>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</si>
  <si>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</si>
  <si>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</si>
  <si>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</si>
  <si>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</si>
  <si>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</si>
  <si>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</si>
  <si>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</si>
  <si>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</si>
  <si>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</si>
  <si>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</si>
  <si>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</si>
  <si>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</si>
  <si>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</si>
  <si>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</si>
  <si>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</si>
  <si>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</si>
  <si>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</si>
  <si>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</si>
  <si>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</si>
  <si>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</si>
  <si>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</si>
  <si>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</si>
  <si>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</si>
  <si>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</si>
  <si>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</si>
  <si>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</si>
  <si>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</si>
  <si>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</si>
  <si>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</si>
  <si>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</si>
  <si>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</si>
  <si>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</si>
  <si>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</si>
  <si>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</si>
  <si>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</si>
  <si>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</si>
  <si>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</si>
  <si>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</si>
  <si>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</si>
  <si>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</si>
  <si>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</si>
  <si>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</si>
  <si>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</si>
  <si>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</si>
  <si>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</si>
  <si>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</si>
  <si>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</si>
  <si>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</si>
  <si>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</si>
  <si>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</si>
  <si>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</si>
  <si>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</si>
  <si>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</si>
  <si>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</si>
  <si>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</si>
  <si>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</si>
  <si>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</si>
  <si>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</si>
  <si>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</si>
  <si>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</si>
  <si>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</si>
  <si>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</si>
  <si>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</si>
  <si>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</si>
  <si>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</si>
  <si>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</si>
  <si>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</si>
  <si>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</si>
  <si>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</si>
  <si>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</si>
  <si>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</si>
  <si>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</si>
  <si>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</si>
  <si>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</si>
  <si>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</si>
  <si>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</si>
  <si>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</si>
  <si>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</si>
  <si>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</si>
  <si>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</si>
  <si>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</si>
  <si>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</si>
  <si>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</si>
  <si>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</si>
  <si>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</si>
  <si>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</si>
  <si>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</si>
  <si>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</si>
  <si>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</si>
  <si>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</si>
  <si>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</si>
  <si>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</si>
  <si>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</si>
  <si>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</si>
  <si>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</si>
  <si>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</si>
  <si>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</si>
  <si>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</si>
  <si>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</si>
  <si>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</si>
  <si>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</si>
  <si>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</si>
  <si>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</si>
  <si>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</si>
  <si>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</si>
  <si>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</si>
  <si>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</si>
  <si>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</si>
  <si>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</si>
  <si>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</si>
  <si>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</si>
  <si>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</si>
  <si>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</si>
  <si>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</si>
  <si>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</si>
  <si>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</si>
  <si>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</si>
  <si>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</si>
  <si>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</si>
  <si>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</si>
  <si>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</si>
  <si>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</si>
  <si>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</si>
  <si>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</si>
  <si>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</si>
  <si>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</si>
  <si>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</si>
  <si>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</si>
  <si>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</si>
  <si>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</si>
  <si>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</si>
  <si>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</si>
  <si>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</si>
  <si>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</si>
  <si>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</si>
  <si>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</si>
  <si>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</si>
  <si>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</si>
  <si>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</si>
  <si>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</si>
  <si>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</si>
  <si>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</si>
  <si>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</si>
  <si>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</si>
  <si>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</si>
  <si>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</si>
  <si>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</si>
  <si>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</si>
  <si>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</si>
  <si>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</si>
  <si>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</si>
  <si>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</si>
  <si>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</si>
  <si>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</si>
  <si>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</si>
  <si>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</si>
  <si>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</si>
  <si>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</si>
  <si>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</si>
  <si>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</si>
  <si>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</si>
  <si>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</si>
  <si>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</si>
  <si>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</si>
  <si>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</si>
  <si>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</si>
  <si>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</si>
  <si>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</si>
  <si>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</si>
  <si>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</si>
  <si>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</si>
  <si>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</si>
  <si>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</si>
  <si>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</si>
  <si>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</si>
  <si>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</si>
  <si>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</si>
  <si>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</si>
  <si>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</si>
  <si>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</si>
  <si>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</si>
  <si>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</si>
  <si>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</si>
  <si>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</si>
  <si>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</si>
  <si>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</si>
  <si>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</si>
  <si>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</si>
  <si>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</si>
  <si>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</si>
  <si>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</si>
  <si>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</si>
  <si>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</si>
  <si>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</si>
  <si>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</si>
  <si>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</si>
  <si>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</si>
  <si>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</si>
  <si>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</si>
  <si>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</si>
  <si>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</si>
  <si>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</si>
  <si>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</si>
  <si>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</si>
  <si>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</si>
  <si>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</si>
  <si>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</si>
  <si>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</si>
  <si>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</si>
  <si>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</si>
  <si>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</si>
  <si>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</si>
  <si>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</si>
  <si>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</si>
  <si>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</si>
  <si>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</si>
  <si>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</si>
  <si>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</si>
  <si>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</si>
  <si>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</si>
  <si>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</si>
  <si>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</si>
  <si>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</si>
  <si>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</si>
  <si>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</si>
  <si>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</si>
  <si>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</si>
  <si>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</si>
  <si>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</si>
  <si>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</si>
  <si>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</si>
  <si>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</si>
  <si>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</si>
  <si>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</si>
  <si>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</si>
  <si>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</si>
  <si>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</si>
  <si>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</si>
  <si>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</si>
  <si>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</si>
  <si>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</si>
  <si>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</si>
  <si>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</si>
  <si>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</si>
  <si>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</si>
  <si>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</si>
  <si>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</si>
  <si>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</si>
  <si>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</si>
  <si>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</si>
  <si>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</si>
  <si>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</si>
  <si>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</si>
  <si>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</si>
  <si>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</si>
  <si>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</si>
  <si>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</si>
  <si>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</si>
  <si>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</si>
  <si>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</si>
  <si>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</si>
  <si>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</si>
  <si>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</si>
  <si>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</si>
  <si>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</si>
  <si>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</si>
  <si>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</si>
  <si>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</si>
  <si>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</si>
  <si>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</si>
  <si>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</si>
  <si>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</si>
  <si>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</si>
  <si>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</si>
  <si>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</si>
  <si>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</si>
  <si>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</si>
  <si>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</si>
  <si>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</si>
  <si>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</si>
  <si>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</si>
  <si>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</si>
  <si>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</si>
  <si>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</si>
  <si>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</si>
  <si>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</si>
  <si>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</si>
  <si>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</si>
  <si>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</si>
  <si>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</si>
  <si>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</si>
  <si>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</si>
  <si>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</si>
  <si>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</si>
  <si>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</si>
  <si>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</si>
  <si>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</si>
  <si>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</si>
  <si>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</si>
  <si>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</si>
  <si>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</si>
  <si>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</si>
  <si>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</si>
  <si>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</si>
  <si>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</si>
  <si>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</si>
  <si>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</si>
  <si>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</si>
  <si>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</si>
  <si>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</si>
  <si>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</si>
  <si>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</si>
  <si>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</si>
  <si>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</si>
  <si>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</si>
  <si>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</si>
  <si>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</si>
  <si>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</si>
  <si>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</si>
  <si>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</si>
  <si>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</si>
  <si>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</si>
  <si>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</si>
  <si>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</si>
  <si>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</si>
  <si>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</si>
  <si>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</si>
  <si>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</si>
  <si>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</si>
  <si>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</si>
  <si>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</si>
  <si>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</si>
  <si>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</si>
  <si>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</si>
  <si>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</si>
  <si>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</si>
  <si>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</si>
  <si>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</si>
  <si>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</si>
  <si>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</si>
  <si>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</si>
  <si>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</si>
  <si>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</si>
  <si>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</si>
  <si>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</si>
  <si>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</si>
  <si>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</si>
  <si>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</si>
  <si>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</si>
  <si>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</si>
  <si>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</si>
  <si>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</si>
  <si>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</si>
  <si>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</si>
  <si>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</si>
  <si>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</si>
  <si>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</si>
  <si>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</si>
  <si>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</si>
  <si>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</si>
  <si>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</si>
  <si>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</si>
  <si>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</si>
  <si>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</si>
  <si>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</si>
  <si>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</si>
  <si>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</si>
  <si>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</si>
  <si>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</si>
  <si>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</si>
  <si>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</si>
  <si>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</si>
  <si>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</si>
  <si>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</si>
  <si>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</si>
  <si>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</si>
  <si>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</si>
  <si>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</si>
  <si>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</si>
  <si>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</si>
  <si>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</si>
  <si>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</si>
  <si>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</si>
  <si>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</si>
  <si>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</si>
  <si>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</si>
  <si>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</si>
  <si>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</si>
  <si>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</si>
  <si>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</si>
  <si>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</si>
  <si>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</si>
  <si>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</si>
  <si>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</si>
  <si>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</si>
  <si>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</si>
  <si>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</si>
  <si>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</si>
  <si>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</si>
  <si>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</si>
  <si>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</si>
  <si>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</si>
  <si>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</si>
  <si>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</si>
  <si>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</si>
  <si>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</si>
  <si>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</si>
  <si>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</si>
  <si>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</si>
  <si>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</si>
  <si>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</si>
  <si>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</si>
  <si>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</si>
  <si>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</si>
  <si>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</si>
  <si>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</si>
  <si>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</si>
  <si>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</si>
  <si>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</si>
  <si>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</si>
  <si>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</si>
  <si>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</si>
  <si>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</si>
  <si>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</si>
  <si>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</si>
  <si>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</si>
  <si>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</si>
  <si>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</si>
  <si>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</si>
  <si>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</si>
  <si>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</si>
  <si>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</si>
  <si>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</si>
  <si>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</si>
  <si>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</si>
  <si>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</si>
  <si>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</si>
  <si>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</si>
  <si>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</si>
  <si>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</si>
  <si>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</si>
  <si>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</si>
  <si>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</si>
  <si>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</si>
  <si>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</si>
  <si>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</si>
  <si>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</si>
  <si>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</si>
  <si>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</si>
  <si>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</si>
  <si>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</si>
  <si>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</si>
  <si>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</si>
  <si>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</si>
  <si>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</si>
  <si>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</si>
  <si>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</si>
  <si>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</si>
  <si>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</si>
  <si>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</si>
  <si>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</si>
  <si>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</si>
  <si>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</si>
  <si>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</si>
  <si>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</si>
  <si>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</si>
  <si>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</si>
  <si>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</si>
  <si>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</si>
  <si>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</si>
  <si>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</si>
  <si>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</si>
  <si>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</si>
  <si>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</si>
  <si>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</si>
  <si>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</si>
  <si>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</si>
  <si>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</si>
  <si>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</si>
  <si>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</si>
  <si>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</si>
  <si>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</si>
  <si>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</si>
  <si>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</si>
  <si>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</si>
  <si>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</si>
  <si>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</si>
  <si>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</si>
  <si>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</si>
  <si>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</si>
  <si>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</si>
  <si>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</si>
  <si>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</si>
  <si>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</si>
  <si>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</si>
  <si>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</si>
  <si>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</si>
  <si>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</si>
  <si>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</si>
  <si>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</si>
  <si>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</si>
  <si>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</si>
  <si>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</si>
  <si>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</si>
  <si>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</si>
  <si>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</si>
  <si>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</si>
  <si>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</si>
  <si>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</si>
  <si>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</si>
  <si>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</si>
  <si>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</si>
  <si>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</si>
  <si>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</si>
  <si>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</si>
  <si>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</si>
  <si>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</si>
  <si>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</si>
  <si>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</si>
  <si>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</si>
  <si>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</si>
  <si>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</si>
  <si>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</si>
  <si>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</si>
  <si>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</si>
  <si>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</si>
  <si>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</si>
  <si>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</si>
  <si>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</si>
  <si>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</si>
  <si>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</si>
  <si>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</si>
  <si>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</si>
  <si>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</si>
  <si>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</si>
  <si>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</si>
  <si>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</si>
  <si>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</si>
  <si>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</si>
  <si>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</si>
  <si>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</si>
  <si>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</si>
  <si>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</si>
  <si>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</si>
  <si>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</si>
  <si>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</si>
  <si>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</si>
  <si>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</si>
  <si>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</si>
  <si>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</si>
  <si>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</si>
  <si>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</si>
  <si>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</si>
  <si>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</si>
  <si>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</si>
  <si>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</si>
  <si>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</si>
  <si>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</si>
  <si>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</si>
  <si>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</si>
  <si>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</si>
  <si>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</si>
  <si>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</si>
  <si>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</si>
  <si>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</si>
  <si>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</si>
  <si>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</si>
  <si>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</si>
  <si>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</si>
  <si>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</si>
  <si>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</si>
  <si>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</si>
  <si>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</si>
  <si>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</si>
  <si>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</si>
  <si>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</si>
  <si>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</si>
  <si>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</si>
  <si>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</si>
  <si>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</si>
  <si>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</si>
  <si>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</si>
  <si>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</si>
  <si>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</si>
  <si>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</si>
  <si>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</si>
  <si>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</si>
  <si>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</si>
  <si>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</si>
  <si>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</si>
  <si>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</si>
  <si>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</si>
  <si>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</si>
  <si>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</si>
  <si>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</si>
  <si>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</si>
  <si>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</si>
  <si>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</si>
  <si>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</si>
  <si>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</si>
  <si>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</si>
  <si>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</si>
  <si>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</si>
  <si>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</si>
  <si>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</si>
  <si>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</si>
  <si>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</si>
  <si>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</si>
  <si>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</si>
  <si>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</si>
  <si>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</si>
  <si>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</si>
  <si>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</si>
  <si>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</si>
  <si>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</si>
  <si>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</si>
  <si>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</si>
  <si>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</si>
  <si>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</si>
  <si>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</si>
  <si>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</si>
  <si>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</si>
  <si>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</si>
  <si>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</si>
  <si>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</si>
  <si>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</si>
  <si>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</si>
  <si>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</si>
  <si>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</si>
  <si>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</si>
  <si>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</si>
  <si>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</si>
  <si>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</si>
  <si>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</si>
  <si>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</si>
  <si>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</si>
  <si>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</si>
  <si>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</si>
  <si>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</si>
  <si>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</si>
  <si>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</si>
  <si>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</si>
  <si>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</si>
  <si>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</si>
  <si>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</si>
  <si>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</si>
  <si>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</si>
  <si>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</si>
  <si>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</si>
  <si>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</si>
  <si>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</si>
  <si>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</si>
  <si>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</si>
  <si>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</si>
  <si>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</si>
  <si>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</si>
  <si>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</si>
  <si>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</si>
  <si>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</si>
  <si>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</si>
  <si>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</si>
  <si>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</si>
  <si>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</si>
  <si>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</si>
  <si>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</si>
  <si>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</si>
  <si>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</si>
  <si>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</si>
  <si>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</si>
  <si>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</si>
  <si>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</si>
  <si>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</si>
  <si>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</si>
  <si>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</si>
  <si>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</si>
  <si>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</si>
  <si>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</si>
  <si>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</si>
  <si>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</si>
  <si>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</si>
  <si>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</si>
  <si>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</si>
  <si>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</si>
  <si>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</si>
  <si>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</si>
  <si>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</si>
  <si>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</si>
  <si>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</si>
  <si>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</si>
  <si>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</si>
  <si>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</si>
  <si>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</si>
  <si>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</si>
  <si>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</si>
  <si>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</si>
  <si>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</si>
  <si>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</si>
  <si>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</si>
  <si>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</si>
  <si>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</si>
  <si>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</si>
  <si>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</si>
  <si>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</si>
  <si>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</si>
  <si>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</si>
  <si>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</si>
  <si>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</si>
  <si>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</si>
  <si>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</si>
  <si>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</si>
  <si>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</si>
  <si>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</si>
  <si>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</si>
  <si>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</si>
  <si>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</si>
  <si>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</si>
  <si>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</si>
  <si>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</si>
  <si>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</si>
  <si>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</si>
  <si>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</si>
  <si>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</si>
  <si>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</si>
  <si>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</si>
  <si>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</si>
  <si>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</si>
  <si>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</si>
  <si>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</si>
  <si>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</si>
  <si>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</si>
  <si>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</si>
  <si>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</si>
  <si>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</si>
  <si>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</si>
  <si>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</si>
  <si>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</si>
  <si>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</si>
  <si>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</si>
  <si>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</si>
  <si>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</si>
  <si>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</si>
  <si>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</si>
  <si>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</si>
  <si>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</si>
  <si>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</si>
  <si>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</si>
  <si>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</si>
  <si>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</si>
  <si>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</si>
  <si>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</si>
  <si>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</si>
  <si>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</si>
  <si>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</si>
  <si>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</si>
  <si>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</si>
  <si>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</si>
  <si>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</si>
  <si>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</si>
  <si>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</si>
  <si>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</si>
  <si>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</si>
  <si>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</si>
  <si>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</si>
  <si>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</si>
  <si>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</si>
  <si>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</si>
  <si>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</si>
  <si>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</si>
  <si>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</si>
  <si>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</si>
  <si>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</si>
  <si>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</si>
  <si>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</si>
  <si>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</si>
  <si>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</si>
  <si>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</si>
  <si>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</si>
  <si>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</si>
  <si>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</si>
  <si>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</si>
  <si>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</si>
  <si>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</si>
  <si>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</si>
  <si>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</si>
  <si>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</si>
  <si>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</si>
  <si>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</si>
  <si>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</si>
  <si>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</si>
  <si>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</si>
  <si>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</si>
  <si>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</si>
  <si>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</si>
  <si>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</si>
  <si>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</si>
  <si>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</si>
  <si>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</si>
  <si>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</si>
  <si>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</si>
  <si>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</si>
  <si>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</si>
  <si>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</si>
  <si>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</si>
  <si>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</si>
  <si>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</si>
  <si>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</si>
  <si>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</si>
  <si>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</si>
  <si>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</si>
  <si>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</si>
  <si>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</si>
  <si>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</si>
  <si>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</si>
  <si>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</si>
  <si>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</si>
  <si>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</si>
  <si>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</si>
  <si>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</si>
  <si>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</si>
  <si>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</si>
  <si>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</si>
  <si>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</si>
  <si>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</si>
  <si>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</si>
  <si>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</si>
  <si>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</si>
  <si>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</si>
  <si>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</si>
  <si>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</si>
  <si>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</si>
  <si>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</si>
  <si>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</si>
  <si>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</si>
  <si>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</si>
  <si>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</si>
  <si>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</si>
  <si>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</si>
  <si>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</si>
  <si>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</si>
  <si>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</si>
  <si>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</si>
  <si>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</si>
  <si>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</si>
  <si>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</si>
  <si>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</si>
  <si>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</si>
  <si>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</si>
  <si>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</si>
  <si>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</si>
  <si>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</si>
  <si>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</si>
  <si>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</si>
  <si>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</si>
  <si>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</si>
  <si>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</si>
  <si>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</si>
  <si>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</si>
  <si>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</si>
  <si>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</si>
  <si>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</si>
  <si>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</si>
  <si>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</si>
  <si>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</si>
  <si>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</si>
  <si>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</si>
  <si>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</si>
  <si>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</si>
  <si>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</si>
  <si>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</si>
  <si>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</si>
  <si>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</si>
  <si>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</si>
  <si>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</si>
  <si>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</si>
  <si>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</si>
  <si>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</si>
  <si>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</si>
  <si>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</si>
  <si>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</si>
  <si>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</si>
  <si>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</si>
  <si>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</si>
  <si>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</si>
  <si>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</si>
  <si>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</si>
  <si>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</si>
  <si>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</si>
  <si>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</si>
  <si>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</si>
  <si>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</si>
  <si>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</si>
  <si>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</si>
  <si>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</si>
  <si>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</si>
  <si>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</si>
  <si>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</si>
  <si>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</si>
  <si>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</si>
  <si>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</si>
  <si>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</si>
  <si>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</si>
  <si>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</si>
  <si>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</si>
  <si>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</si>
  <si>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</si>
  <si>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</si>
  <si>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</si>
  <si>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</si>
  <si>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</si>
  <si>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</si>
  <si>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</si>
  <si>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</si>
  <si>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</si>
  <si>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</si>
  <si>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</si>
  <si>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</si>
  <si>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</si>
  <si>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</si>
  <si>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</si>
  <si>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</si>
  <si>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</si>
  <si>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</si>
  <si>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</si>
  <si>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</si>
  <si>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</si>
  <si>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</si>
  <si>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</si>
  <si>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</si>
  <si>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</si>
  <si>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</si>
  <si>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</si>
  <si>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</si>
  <si>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</si>
  <si>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</si>
  <si>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</si>
  <si>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</si>
  <si>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</si>
  <si>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</si>
  <si>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</si>
  <si>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</si>
  <si>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</si>
  <si>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</si>
  <si>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</si>
  <si>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</si>
  <si>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</si>
  <si>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</si>
  <si>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</si>
  <si>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</si>
  <si>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</si>
  <si>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</si>
  <si>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</si>
  <si>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</si>
  <si>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</si>
  <si>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</si>
  <si>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</si>
  <si>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</si>
  <si>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</si>
  <si>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</si>
  <si>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</si>
  <si>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</si>
  <si>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</si>
  <si>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</si>
  <si>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</si>
  <si>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</si>
  <si>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</si>
  <si>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</si>
  <si>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</si>
  <si>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</si>
  <si>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</si>
  <si>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</si>
  <si>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</si>
  <si>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</si>
  <si>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</si>
  <si>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</si>
  <si>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</si>
  <si>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</si>
  <si>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</si>
  <si>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</si>
  <si>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</si>
  <si>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</si>
  <si>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</si>
  <si>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</si>
  <si>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</si>
  <si>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</si>
  <si>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</si>
  <si>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</si>
  <si>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</si>
  <si>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</si>
  <si>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</si>
  <si>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</si>
  <si>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</si>
  <si>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</si>
  <si>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</si>
  <si>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</si>
  <si>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</si>
  <si>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</si>
  <si>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</si>
  <si>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</si>
  <si>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</si>
  <si>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</si>
  <si>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</si>
  <si>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</si>
  <si>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</si>
  <si>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</si>
  <si>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</si>
  <si>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</si>
  <si>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</si>
  <si>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</si>
  <si>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</si>
  <si>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</si>
  <si>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</si>
  <si>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</si>
  <si>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</si>
  <si>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</si>
  <si>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</si>
  <si>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</si>
  <si>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</si>
  <si>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</si>
  <si>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</si>
  <si>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</si>
  <si>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</si>
  <si>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</si>
  <si>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</si>
  <si>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</si>
  <si>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</si>
  <si>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</si>
  <si>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</si>
  <si>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</si>
  <si>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</si>
  <si>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</si>
  <si>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</si>
  <si>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</si>
  <si>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</si>
  <si>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</si>
  <si>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</si>
  <si>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</si>
  <si>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</si>
  <si>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</si>
  <si>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</si>
  <si>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</si>
  <si>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</si>
  <si>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</si>
  <si>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</si>
  <si>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</si>
  <si>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</si>
  <si>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</si>
  <si>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</si>
  <si>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</si>
  <si>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</si>
  <si>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</si>
  <si>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</si>
  <si>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</si>
  <si>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</si>
  <si>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</si>
  <si>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</si>
  <si>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</si>
  <si>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</si>
  <si>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</si>
  <si>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</si>
  <si>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</si>
  <si>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</si>
  <si>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</si>
  <si>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</si>
  <si>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</si>
  <si>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</si>
  <si>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</si>
  <si>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</si>
  <si>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</si>
  <si>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</si>
  <si>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</si>
  <si>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</si>
  <si>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</si>
  <si>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</si>
  <si>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</si>
  <si>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</si>
  <si>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</si>
  <si>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</si>
  <si>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</si>
  <si>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</si>
  <si>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</si>
  <si>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</si>
  <si>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</si>
  <si>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</si>
  <si>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</si>
  <si>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</si>
  <si>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</si>
  <si>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</si>
  <si>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</si>
  <si>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</si>
  <si>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</si>
  <si>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</si>
  <si>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</si>
  <si>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</si>
  <si>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</si>
  <si>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</si>
  <si>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</si>
  <si>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</si>
  <si>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</si>
  <si>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</si>
  <si>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</si>
  <si>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</si>
  <si>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</si>
  <si>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</si>
  <si>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</si>
  <si>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</si>
  <si>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</si>
  <si>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</si>
  <si>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</si>
  <si>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</si>
  <si>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</si>
  <si>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</si>
  <si>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</si>
  <si>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</si>
  <si>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</si>
  <si>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</si>
  <si>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</si>
  <si>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</si>
  <si>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</si>
  <si>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</si>
  <si>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</si>
  <si>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</si>
  <si>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</si>
  <si>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</si>
  <si>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</si>
  <si>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</si>
  <si>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</si>
  <si>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</si>
  <si>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</si>
  <si>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</si>
  <si>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</si>
  <si>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</si>
  <si>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</si>
  <si>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</si>
  <si>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</si>
  <si>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</si>
  <si>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</si>
  <si>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</si>
  <si>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</si>
  <si>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</si>
  <si>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</si>
  <si>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</si>
  <si>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</si>
  <si>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</si>
  <si>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</si>
  <si>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</si>
  <si>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</si>
  <si>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</si>
  <si>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</si>
  <si>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</si>
  <si>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</si>
  <si>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</si>
  <si>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</si>
  <si>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</si>
  <si>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</si>
  <si>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</si>
  <si>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</si>
  <si>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</si>
  <si>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</si>
  <si>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</si>
  <si>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</si>
  <si>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</si>
  <si>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</si>
  <si>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</si>
  <si>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</si>
  <si>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</si>
  <si>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</si>
  <si>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</si>
  <si>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</si>
  <si>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</si>
  <si>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</si>
  <si>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</si>
  <si>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</si>
  <si>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</si>
  <si>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</si>
  <si>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</si>
  <si>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</si>
  <si>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</si>
  <si>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</si>
  <si>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</si>
  <si>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</si>
  <si>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</si>
  <si>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</si>
  <si>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</si>
  <si>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</si>
  <si>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</si>
  <si>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</si>
  <si>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</si>
  <si>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</si>
  <si>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</si>
  <si>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</si>
  <si>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</si>
  <si>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</si>
  <si>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</si>
  <si>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</si>
  <si>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</si>
  <si>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</si>
  <si>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</si>
  <si>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</si>
  <si>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</si>
  <si>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</si>
  <si>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</si>
  <si>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</si>
  <si>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</si>
  <si>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</si>
  <si>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</si>
  <si>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</si>
  <si>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</si>
  <si>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</si>
  <si>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</si>
  <si>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</si>
  <si>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</si>
  <si>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</si>
  <si>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</si>
  <si>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</si>
  <si>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</si>
  <si>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</si>
  <si>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</si>
  <si>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</si>
  <si>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</si>
  <si>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</si>
  <si>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</si>
  <si>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</si>
  <si>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</si>
  <si>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</si>
  <si>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</si>
  <si>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</si>
  <si>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</si>
  <si>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</si>
  <si>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</si>
  <si>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</si>
  <si>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</si>
  <si>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</si>
  <si>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</si>
  <si>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</si>
  <si>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</si>
  <si>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</si>
  <si>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</si>
  <si>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</si>
  <si>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</si>
  <si>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</si>
  <si>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</si>
  <si>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</si>
  <si>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</si>
  <si>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</si>
  <si>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</si>
  <si>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</si>
  <si>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</si>
  <si>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</si>
  <si>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</si>
  <si>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</si>
  <si>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</si>
  <si>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</si>
  <si>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</si>
  <si>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</si>
  <si>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</si>
  <si>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</si>
  <si>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</si>
  <si>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</si>
  <si>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</si>
  <si>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</si>
  <si>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</si>
  <si>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</si>
  <si>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</si>
  <si>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</si>
  <si>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</si>
  <si>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</si>
  <si>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</si>
  <si>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</si>
  <si>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</si>
  <si>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</si>
  <si>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</si>
  <si>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</si>
  <si>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</si>
  <si>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</si>
  <si>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</si>
  <si>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</si>
  <si>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</si>
  <si>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</si>
  <si>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</si>
  <si>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</si>
  <si>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</si>
  <si>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</si>
  <si>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</si>
  <si>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</si>
  <si>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</si>
  <si>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</si>
  <si>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</si>
  <si>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</si>
  <si>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</si>
  <si>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</si>
  <si>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</si>
  <si>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</si>
  <si>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</si>
  <si>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</si>
  <si>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</si>
  <si>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</si>
  <si>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</si>
  <si>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</si>
  <si>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</si>
  <si>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</si>
  <si>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</si>
  <si>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</si>
  <si>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</si>
  <si>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</si>
  <si>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</si>
  <si>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</si>
  <si>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</si>
  <si>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</si>
  <si>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</si>
  <si>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</si>
  <si>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</si>
  <si>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</si>
  <si>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</si>
  <si>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</si>
  <si>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</si>
  <si>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</si>
  <si>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</si>
  <si>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</si>
  <si>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</si>
  <si>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</si>
  <si>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</si>
  <si>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</si>
  <si>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</si>
  <si>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</si>
  <si>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</si>
  <si>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</si>
  <si>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</si>
  <si>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</si>
  <si>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</si>
  <si>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</si>
  <si>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</si>
  <si>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</si>
  <si>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</si>
  <si>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</si>
  <si>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</si>
  <si>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</si>
  <si>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</si>
  <si>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</si>
  <si>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</si>
  <si>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</si>
  <si>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</si>
  <si>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</si>
  <si>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</si>
  <si>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</si>
  <si>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</si>
  <si>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</si>
  <si>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</si>
  <si>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</si>
  <si>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</si>
  <si>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</si>
  <si>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</si>
  <si>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</si>
  <si>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</si>
  <si>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</si>
  <si>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</si>
  <si>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</si>
  <si>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</si>
  <si>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</si>
  <si>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</si>
  <si>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</si>
  <si>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</si>
  <si>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</si>
  <si>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</si>
  <si>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</si>
  <si>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</si>
  <si>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</si>
  <si>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</si>
  <si>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</si>
  <si>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</si>
  <si>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</si>
  <si>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</si>
  <si>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</si>
  <si>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</si>
  <si>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</si>
  <si>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</si>
  <si>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</si>
  <si>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</si>
  <si>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</si>
  <si>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</si>
  <si>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</si>
  <si>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</si>
  <si>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</si>
  <si>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</si>
  <si>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</si>
  <si>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</si>
  <si>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</si>
  <si>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</si>
  <si>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</si>
  <si>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</si>
  <si>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</si>
  <si>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</si>
  <si>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</si>
  <si>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</si>
  <si>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</si>
  <si>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</si>
  <si>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</si>
  <si>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</si>
  <si>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</si>
  <si>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</si>
  <si>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</si>
  <si>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</si>
  <si>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</si>
  <si>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</si>
  <si>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</si>
  <si>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</si>
  <si>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</si>
  <si>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</si>
  <si>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</si>
  <si>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</si>
  <si>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</si>
  <si>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</si>
  <si>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</si>
  <si>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</si>
  <si>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</si>
  <si>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</si>
  <si>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</si>
  <si>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</si>
  <si>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</si>
  <si>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</si>
  <si>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</si>
  <si>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</si>
  <si>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</si>
  <si>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</si>
  <si>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</si>
  <si>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</si>
  <si>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</si>
  <si>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</si>
  <si>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</si>
  <si>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</si>
  <si>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</si>
  <si>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</si>
  <si>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</si>
  <si>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</si>
  <si>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</si>
  <si>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</si>
  <si>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</si>
  <si>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</si>
  <si>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</si>
  <si>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</si>
  <si>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</si>
  <si>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</si>
  <si>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</si>
  <si>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</si>
  <si>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</si>
  <si>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</si>
  <si>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</si>
  <si>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</si>
  <si>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</si>
  <si>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</si>
  <si>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</si>
  <si>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</si>
  <si>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</si>
  <si>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</si>
  <si>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</si>
  <si>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</si>
  <si>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</si>
  <si>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</si>
  <si>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</si>
  <si>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</si>
  <si>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</si>
  <si>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</si>
  <si>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</si>
  <si>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</si>
  <si>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</si>
  <si>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</si>
  <si>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</si>
  <si>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</si>
  <si>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</si>
  <si>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</si>
  <si>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</si>
  <si>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</si>
  <si>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</si>
  <si>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</si>
  <si>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</si>
  <si>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</si>
  <si>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</si>
  <si>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</si>
  <si>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</si>
  <si>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</si>
  <si>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</si>
  <si>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</si>
  <si>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</si>
  <si>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</si>
  <si>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</si>
  <si>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</si>
  <si>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</si>
  <si>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</si>
  <si>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</si>
  <si>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</si>
  <si>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</si>
  <si>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</si>
  <si>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</si>
  <si>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</si>
  <si>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</si>
  <si>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</si>
  <si>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</si>
  <si>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</si>
  <si>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</si>
  <si>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</si>
  <si>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</si>
  <si>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</si>
  <si>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</si>
  <si>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</si>
  <si>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</si>
  <si>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</si>
  <si>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</si>
  <si>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</si>
  <si>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</si>
  <si>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</si>
  <si>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</si>
  <si>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</si>
  <si>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</si>
  <si>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</si>
  <si>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</si>
  <si>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</si>
  <si>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</si>
  <si>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</si>
  <si>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</si>
  <si>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</si>
  <si>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</si>
  <si>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</si>
  <si>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</si>
  <si>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</si>
  <si>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</si>
  <si>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</si>
  <si>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</si>
  <si>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</si>
  <si>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</si>
  <si>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</si>
  <si>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</si>
  <si>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</si>
  <si>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</si>
  <si>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</si>
  <si>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</si>
  <si>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</si>
  <si>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</si>
  <si>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</si>
  <si>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</si>
  <si>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</si>
  <si>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</si>
  <si>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</si>
  <si>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</si>
  <si>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</si>
  <si>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</si>
  <si>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</si>
  <si>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</si>
  <si>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</si>
  <si>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</si>
  <si>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</si>
  <si>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</si>
  <si>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</si>
  <si>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</si>
  <si>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</si>
  <si>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</si>
  <si>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</si>
  <si>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</si>
  <si>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</si>
  <si>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</si>
  <si>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</si>
  <si>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</si>
  <si>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</si>
  <si>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</si>
  <si>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</si>
  <si>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</si>
  <si>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</si>
  <si>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</si>
  <si>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</si>
  <si>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</si>
  <si>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</si>
  <si>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</si>
  <si>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</si>
  <si>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</si>
  <si>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</si>
  <si>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</si>
  <si>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</si>
  <si>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</si>
  <si>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</si>
  <si>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</si>
  <si>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</si>
  <si>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</si>
  <si>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</si>
  <si>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</si>
  <si>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</si>
  <si>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</si>
  <si>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</si>
  <si>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</si>
  <si>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</si>
  <si>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</si>
  <si>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</si>
  <si>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</si>
  <si>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</si>
  <si>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</si>
  <si>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</si>
  <si>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</si>
  <si>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</si>
  <si>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</si>
  <si>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</si>
  <si>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</si>
  <si>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</si>
  <si>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</si>
  <si>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</si>
  <si>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</si>
  <si>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</si>
  <si>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</si>
  <si>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</si>
  <si>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</si>
  <si>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</si>
  <si>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</si>
  <si>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</si>
  <si>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</si>
  <si>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</si>
  <si>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</si>
  <si>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</si>
  <si>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</si>
  <si>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</si>
  <si>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</si>
  <si>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</si>
  <si>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</si>
  <si>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</si>
  <si>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</si>
  <si>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</si>
  <si>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</si>
  <si>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</si>
  <si>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</si>
  <si>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</si>
  <si>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</si>
  <si>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</si>
  <si>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</si>
  <si>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</si>
  <si>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</si>
  <si>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</si>
  <si>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</si>
  <si>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</si>
  <si>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</si>
  <si>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</si>
  <si>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</si>
  <si>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</si>
  <si>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</si>
  <si>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</si>
  <si>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</si>
  <si>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</si>
  <si>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</si>
  <si>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</si>
  <si>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</si>
  <si>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</si>
  <si>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</si>
  <si>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</si>
  <si>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</si>
  <si>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</si>
  <si>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</si>
  <si>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</si>
  <si>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</si>
  <si>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</si>
  <si>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</si>
  <si>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</si>
  <si>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</si>
  <si>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</si>
  <si>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</si>
  <si>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</si>
  <si>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</si>
  <si>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</si>
  <si>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</si>
  <si>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</si>
  <si>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</si>
  <si>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</si>
  <si>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</si>
  <si>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</si>
  <si>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</si>
  <si>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</si>
  <si>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</si>
  <si>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</si>
  <si>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</si>
  <si>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</si>
  <si>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</si>
  <si>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</si>
  <si>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</si>
  <si>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</si>
  <si>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</si>
  <si>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</si>
  <si>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</si>
  <si>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</si>
  <si>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</si>
  <si>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</si>
  <si>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</si>
  <si>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</si>
  <si>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</si>
  <si>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</si>
  <si>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</si>
  <si>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</si>
  <si>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</si>
  <si>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</si>
  <si>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</si>
  <si>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</si>
  <si>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</si>
  <si>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</si>
  <si>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</si>
  <si>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</si>
  <si>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</si>
  <si>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</si>
  <si>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</si>
  <si>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</si>
  <si>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</si>
  <si>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</si>
  <si>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</si>
  <si>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</si>
  <si>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</si>
  <si>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</si>
  <si>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</si>
  <si>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</si>
  <si>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</si>
  <si>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</si>
  <si>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</si>
  <si>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</si>
  <si>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</si>
  <si>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</si>
  <si>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</si>
  <si>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</si>
  <si>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</si>
  <si>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</si>
  <si>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</si>
  <si>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</si>
  <si>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</si>
  <si>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</si>
  <si>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</si>
  <si>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</si>
  <si>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</si>
  <si>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</si>
  <si>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</si>
  <si>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</si>
  <si>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</si>
  <si>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</si>
  <si>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</si>
  <si>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</si>
  <si>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</si>
  <si>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</si>
  <si>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</si>
  <si>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</si>
  <si>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</si>
  <si>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</si>
  <si>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</si>
  <si>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</si>
  <si>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</si>
  <si>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</si>
  <si>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</si>
  <si>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</si>
  <si>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</si>
  <si>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</si>
  <si>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</si>
  <si>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</si>
  <si>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</si>
  <si>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</si>
  <si>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</si>
  <si>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</si>
  <si>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</si>
  <si>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</si>
  <si>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</si>
  <si>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</si>
  <si>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</si>
  <si>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</si>
  <si>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</si>
  <si>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</si>
  <si>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</si>
  <si>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</si>
  <si>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</si>
  <si>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</si>
  <si>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</si>
  <si>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</si>
  <si>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</si>
  <si>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</si>
  <si>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</si>
  <si>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</si>
  <si>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</si>
  <si>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</si>
  <si>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</si>
  <si>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</si>
  <si>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</si>
  <si>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</si>
  <si>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</si>
  <si>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</si>
  <si>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</si>
  <si>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</si>
  <si>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</si>
  <si>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</si>
  <si>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</si>
  <si>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</si>
  <si>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</si>
  <si>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</si>
  <si>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</si>
  <si>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</si>
  <si>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</si>
  <si>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</si>
  <si>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</si>
  <si>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</si>
  <si>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</si>
  <si>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</si>
  <si>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</si>
  <si>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</si>
  <si>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</si>
  <si>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</si>
  <si>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</si>
  <si>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</si>
  <si>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</si>
  <si>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</si>
  <si>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</si>
  <si>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</si>
  <si>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</si>
  <si>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</si>
  <si>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</si>
  <si>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</si>
  <si>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</si>
  <si>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</si>
  <si>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</si>
  <si>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</si>
  <si>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</si>
  <si>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</si>
  <si>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</si>
  <si>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</si>
  <si>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</si>
  <si>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</si>
  <si>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</si>
  <si>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</si>
  <si>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</si>
  <si>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</si>
  <si>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</si>
  <si>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</si>
  <si>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</si>
  <si>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</si>
  <si>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</si>
  <si>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</si>
  <si>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</si>
  <si>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</si>
  <si>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</si>
  <si>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</si>
  <si>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</si>
  <si>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</si>
  <si>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</si>
  <si>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</si>
  <si>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</si>
  <si>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</si>
  <si>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</si>
  <si>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</si>
  <si>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</si>
  <si>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</si>
  <si>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</si>
  <si>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</si>
  <si>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</si>
  <si>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</si>
  <si>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</si>
  <si>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</si>
  <si>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</si>
  <si>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</si>
  <si>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</si>
  <si>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</si>
  <si>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</si>
  <si>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</si>
  <si>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</si>
  <si>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</si>
  <si>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</si>
  <si>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</si>
  <si>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</si>
  <si>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</si>
  <si>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</si>
  <si>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</si>
  <si>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</si>
  <si>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</si>
  <si>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</si>
  <si>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</si>
  <si>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</si>
  <si>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</si>
  <si>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</si>
  <si>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</si>
  <si>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</si>
  <si>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</si>
  <si>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</si>
  <si>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</si>
  <si>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</si>
  <si>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</si>
  <si>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</si>
  <si>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</si>
  <si>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</si>
  <si>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</si>
  <si>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</si>
  <si>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</si>
  <si>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</si>
  <si>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</si>
  <si>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</si>
  <si>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</si>
  <si>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</si>
  <si>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</si>
  <si>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</si>
  <si>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</si>
  <si>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</si>
  <si>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</si>
  <si>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</si>
  <si>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</si>
  <si>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</si>
  <si>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</si>
  <si>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</si>
  <si>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</si>
  <si>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</si>
  <si>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</si>
  <si>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</si>
  <si>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</si>
  <si>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</si>
  <si>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</si>
  <si>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</si>
  <si>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</si>
  <si>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</si>
  <si>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</si>
  <si>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</si>
  <si>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</si>
  <si>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</si>
  <si>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</si>
  <si>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</si>
  <si>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</si>
  <si>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</si>
  <si>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</si>
  <si>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</si>
  <si>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</si>
  <si>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</si>
  <si>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</si>
  <si>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</si>
  <si>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</si>
  <si>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</si>
  <si>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</si>
  <si>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</si>
  <si>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</si>
  <si>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</si>
  <si>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</si>
  <si>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</si>
  <si>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</si>
  <si>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</si>
  <si>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</si>
  <si>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</si>
  <si>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</si>
  <si>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</si>
  <si>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</si>
  <si>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</si>
  <si>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</si>
  <si>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</si>
  <si>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</si>
  <si>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</si>
  <si>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</si>
  <si>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</si>
  <si>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</si>
  <si>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</si>
  <si>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</si>
  <si>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</si>
  <si>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</si>
  <si>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</si>
  <si>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</si>
  <si>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</si>
  <si>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</si>
  <si>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</si>
  <si>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</si>
  <si>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</si>
  <si>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</si>
  <si>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</si>
  <si>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</si>
  <si>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</si>
  <si>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</si>
  <si>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</si>
  <si>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</si>
  <si>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</si>
  <si>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</si>
  <si>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</si>
  <si>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</si>
  <si>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</si>
  <si>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</si>
  <si>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</si>
  <si>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</si>
  <si>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</si>
  <si>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</si>
  <si>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</si>
  <si>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</si>
  <si>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</si>
  <si>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</si>
  <si>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</si>
  <si>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</si>
  <si>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</si>
  <si>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</si>
  <si>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</si>
  <si>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</si>
  <si>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</si>
  <si>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</si>
  <si>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</si>
  <si>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</si>
  <si>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</si>
  <si>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</si>
  <si>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</si>
  <si>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</si>
  <si>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</si>
  <si>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</si>
  <si>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</si>
  <si>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</si>
  <si>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</si>
  <si>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</si>
  <si>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</si>
  <si>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</si>
  <si>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</si>
  <si>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</si>
  <si>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</si>
  <si>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</si>
  <si>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</si>
  <si>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</si>
  <si>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</si>
  <si>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</si>
  <si>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</si>
  <si>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</si>
  <si>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</si>
  <si>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</si>
  <si>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</si>
  <si>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</si>
  <si>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</si>
  <si>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</si>
  <si>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</si>
  <si>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</si>
  <si>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</si>
  <si>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</si>
  <si>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</si>
  <si>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</si>
  <si>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</si>
  <si>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</si>
  <si>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</si>
  <si>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</si>
  <si>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</si>
  <si>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</si>
  <si>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</si>
  <si>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</si>
  <si>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</si>
  <si>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</si>
  <si>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</si>
  <si>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</si>
  <si>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</si>
  <si>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</si>
  <si>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</si>
  <si>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</si>
  <si>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</si>
  <si>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</si>
  <si>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</si>
  <si>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</si>
  <si>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</si>
  <si>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</si>
  <si>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</si>
  <si>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</si>
  <si>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</si>
  <si>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</si>
  <si>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</si>
  <si>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</si>
  <si>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</si>
  <si>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</si>
  <si>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</si>
  <si>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</si>
  <si>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</si>
  <si>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</si>
  <si>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</si>
  <si>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</si>
  <si>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</si>
  <si>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</si>
  <si>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</si>
  <si>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</si>
  <si>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</si>
  <si>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</si>
  <si>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</si>
  <si>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</si>
  <si>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</si>
  <si>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</si>
  <si>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</si>
  <si>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</si>
  <si>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</si>
  <si>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</si>
  <si>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</si>
  <si>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</si>
  <si>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</si>
  <si>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</si>
  <si>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</si>
  <si>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</si>
  <si>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</si>
  <si>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</si>
  <si>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</si>
  <si>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</si>
  <si>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</si>
  <si>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</si>
  <si>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</si>
  <si>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</si>
  <si>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</si>
  <si>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</si>
  <si>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</si>
  <si>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</si>
  <si>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</si>
  <si>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</si>
  <si>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</si>
  <si>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</si>
  <si>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</si>
  <si>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</si>
  <si>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</si>
  <si>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</si>
  <si>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</si>
  <si>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</si>
  <si>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</si>
  <si>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</si>
  <si>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</si>
  <si>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</si>
  <si>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</si>
  <si>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</si>
  <si>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</si>
  <si>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</si>
  <si>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</si>
  <si>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</si>
  <si>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</si>
  <si>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</si>
  <si>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</si>
  <si>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</si>
  <si>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</si>
  <si>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</si>
  <si>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</si>
  <si>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</si>
  <si>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</si>
  <si>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</si>
  <si>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</si>
  <si>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</si>
  <si>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</si>
  <si>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</si>
  <si>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</si>
  <si>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</si>
  <si>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</si>
  <si>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</si>
  <si>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</si>
  <si>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</si>
  <si>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</si>
  <si>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</si>
  <si>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</si>
  <si>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</si>
  <si>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</si>
  <si>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</si>
  <si>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</si>
  <si>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</si>
  <si>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</si>
  <si>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</si>
  <si>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</si>
  <si>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</si>
  <si>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</si>
  <si>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</si>
  <si>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</si>
  <si>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</si>
  <si>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</si>
  <si>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</si>
  <si>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</si>
  <si>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</si>
  <si>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</si>
  <si>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</si>
  <si>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</si>
  <si>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</si>
  <si>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</si>
  <si>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</si>
  <si>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</si>
  <si>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</si>
  <si>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</si>
  <si>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</si>
  <si>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</si>
  <si>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</si>
  <si>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</si>
  <si>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</si>
  <si>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</si>
  <si>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</si>
  <si>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</si>
  <si>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</si>
  <si>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</si>
  <si>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</si>
  <si>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</si>
  <si>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</si>
  <si>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</si>
  <si>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</si>
  <si>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</si>
  <si>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</si>
  <si>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</si>
  <si>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</si>
  <si>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</si>
  <si>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</si>
  <si>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</si>
  <si>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</si>
  <si>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</si>
  <si>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</si>
  <si>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</si>
  <si>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</si>
  <si>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</si>
  <si>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</si>
  <si>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</si>
  <si>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</si>
  <si>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</si>
  <si>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</si>
  <si>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</si>
  <si>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</si>
  <si>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</si>
  <si>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</si>
  <si>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</si>
  <si>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</si>
  <si>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</si>
  <si>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</si>
  <si>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</si>
  <si>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</si>
  <si>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</si>
  <si>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</si>
  <si>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</si>
  <si>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</si>
  <si>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</si>
  <si>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</si>
  <si>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</si>
  <si>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</si>
  <si>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</si>
  <si>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</si>
  <si>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</si>
  <si>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</si>
  <si>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</si>
  <si>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</si>
  <si>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</si>
  <si>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</si>
  <si>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</si>
  <si>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</si>
  <si>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</si>
  <si>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</si>
  <si>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</si>
  <si>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</si>
  <si>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</si>
  <si>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</si>
  <si>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</si>
  <si>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</si>
  <si>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</si>
  <si>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</si>
  <si>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</si>
  <si>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</si>
  <si>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</si>
  <si>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</si>
  <si>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</si>
  <si>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</si>
  <si>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</si>
  <si>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</si>
  <si>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</si>
  <si>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</si>
  <si>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</si>
  <si>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</si>
  <si>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</si>
  <si>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</si>
  <si>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</si>
  <si>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</si>
  <si>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</si>
  <si>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</si>
  <si>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</si>
  <si>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</si>
  <si>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</si>
  <si>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</si>
  <si>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</si>
  <si>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</si>
  <si>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</si>
  <si>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</si>
  <si>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</si>
  <si>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</si>
  <si>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</si>
  <si>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</si>
  <si>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</si>
  <si>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</si>
  <si>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</si>
  <si>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</si>
  <si>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</si>
  <si>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</si>
  <si>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</si>
  <si>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</si>
  <si>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</si>
  <si>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</si>
  <si>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</si>
  <si>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</si>
  <si>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</si>
  <si>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</si>
  <si>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</si>
  <si>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</si>
  <si>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</si>
  <si>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</si>
  <si>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</si>
  <si>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</si>
  <si>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</si>
  <si>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</si>
  <si>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</si>
  <si>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</si>
  <si>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</si>
  <si>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</si>
  <si>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</si>
  <si>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</si>
  <si>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</si>
  <si>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</si>
  <si>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</si>
  <si>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</si>
  <si>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</si>
  <si>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</si>
  <si>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</si>
  <si>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</si>
  <si>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</si>
  <si>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</si>
  <si>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</si>
  <si>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</si>
  <si>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</si>
  <si>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</si>
  <si>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</si>
  <si>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</si>
  <si>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</si>
  <si>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</si>
  <si>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</si>
  <si>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</si>
  <si>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</si>
  <si>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</si>
  <si>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</si>
  <si>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</si>
  <si>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</si>
  <si>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</si>
  <si>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</si>
  <si>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</si>
  <si>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</si>
  <si>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</si>
  <si>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</si>
  <si>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</si>
  <si>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</si>
  <si>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</si>
  <si>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</si>
  <si>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</si>
  <si>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</si>
  <si>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</si>
  <si>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</si>
  <si>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</si>
  <si>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</si>
  <si>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</si>
  <si>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</si>
  <si>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</si>
  <si>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</si>
  <si>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</si>
  <si>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</si>
  <si>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</si>
  <si>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</si>
  <si>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</si>
  <si>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</si>
  <si>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</si>
  <si>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</si>
  <si>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</si>
  <si>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</si>
  <si>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</si>
  <si>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</si>
  <si>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</si>
  <si>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</si>
  <si>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</si>
  <si>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</si>
  <si>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</si>
  <si>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</si>
  <si>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</si>
  <si>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</si>
  <si>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</si>
  <si>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</si>
  <si>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</si>
  <si>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</si>
  <si>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</si>
  <si>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</si>
  <si>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</si>
  <si>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</si>
  <si>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</si>
  <si>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</si>
  <si>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</si>
  <si>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</si>
  <si>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</si>
  <si>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</si>
  <si>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</si>
  <si>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</si>
  <si>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</si>
  <si>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</si>
  <si>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</si>
  <si>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</si>
  <si>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</si>
  <si>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</si>
  <si>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</si>
  <si>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</si>
  <si>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</si>
  <si>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</si>
  <si>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</si>
  <si>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</si>
  <si>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</si>
  <si>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</si>
  <si>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</si>
  <si>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</si>
  <si>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</si>
  <si>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</si>
  <si>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</si>
  <si>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</si>
  <si>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</si>
  <si>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</si>
  <si>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</si>
  <si>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</si>
  <si>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</si>
  <si>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</si>
  <si>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</si>
  <si>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</si>
  <si>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</si>
  <si>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</si>
  <si>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</si>
  <si>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</si>
  <si>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</si>
  <si>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</si>
  <si>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</si>
  <si>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</si>
  <si>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</si>
  <si>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</si>
  <si>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</si>
  <si>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</si>
  <si>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</si>
  <si>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</si>
  <si>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</si>
  <si>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</si>
  <si>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</si>
  <si>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</si>
  <si>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</si>
  <si>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</si>
  <si>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</si>
  <si>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</si>
  <si>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</si>
  <si>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</si>
  <si>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</si>
  <si>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</si>
  <si>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</si>
  <si>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</si>
  <si>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</si>
  <si>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</si>
  <si>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</si>
  <si>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</si>
  <si>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</si>
  <si>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</si>
  <si>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</si>
  <si>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</si>
  <si>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</si>
  <si>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</si>
  <si>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</si>
  <si>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</si>
  <si>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</si>
  <si>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</si>
  <si>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</si>
  <si>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</si>
  <si>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</si>
  <si>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</si>
  <si>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</si>
  <si>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</si>
  <si>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</si>
  <si>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</si>
  <si>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</si>
  <si>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</si>
  <si>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</si>
  <si>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</si>
  <si>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</si>
  <si>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</si>
  <si>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</si>
  <si>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</si>
  <si>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</si>
  <si>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</si>
  <si>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</si>
  <si>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</si>
  <si>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</si>
  <si>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</si>
  <si>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</si>
  <si>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</si>
  <si>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</si>
  <si>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</si>
  <si>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</si>
  <si>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</si>
  <si>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</si>
  <si>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</si>
  <si>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</si>
  <si>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</si>
  <si>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</si>
  <si>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</si>
  <si>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</si>
  <si>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</si>
  <si>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</si>
  <si>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</si>
  <si>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</si>
  <si>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</si>
  <si>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</si>
  <si>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</si>
  <si>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</si>
  <si>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</si>
  <si>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</si>
  <si>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</si>
  <si>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</si>
  <si>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</si>
  <si>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</si>
  <si>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</si>
  <si>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</si>
  <si>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</si>
  <si>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</si>
  <si>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</si>
  <si>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</si>
  <si>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</si>
  <si>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</si>
  <si>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</si>
  <si>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</si>
  <si>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</si>
  <si>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</si>
  <si>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</si>
  <si>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</si>
  <si>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</si>
  <si>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</si>
  <si>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</si>
  <si>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</si>
  <si>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</si>
  <si>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</si>
  <si>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</si>
  <si>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</si>
  <si>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</si>
  <si>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</si>
  <si>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</si>
  <si>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</si>
  <si>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</si>
  <si>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</si>
  <si>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</si>
  <si>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</si>
  <si>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</si>
  <si>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</si>
  <si>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</si>
  <si>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</si>
  <si>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</si>
  <si>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</si>
  <si>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</si>
  <si>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</si>
  <si>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</si>
  <si>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</si>
  <si>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</si>
  <si>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</si>
  <si>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</si>
  <si>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</si>
  <si>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</si>
  <si>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</si>
  <si>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</si>
  <si>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</si>
  <si>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</si>
  <si>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</si>
  <si>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</si>
  <si>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</si>
  <si>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</si>
  <si>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</si>
  <si>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</si>
  <si>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</si>
  <si>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</si>
  <si>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</si>
  <si>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</si>
  <si>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</si>
  <si>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</si>
  <si>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</si>
  <si>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</si>
  <si>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</si>
  <si>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</si>
  <si>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</si>
  <si>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</si>
  <si>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</si>
  <si>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</si>
  <si>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</si>
  <si>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</si>
  <si>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</si>
  <si>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</si>
  <si>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</si>
  <si>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</si>
  <si>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</si>
  <si>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</si>
  <si>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</si>
  <si>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</si>
  <si>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</si>
  <si>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</si>
  <si>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</si>
  <si>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</si>
  <si>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</si>
  <si>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</si>
  <si>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</si>
  <si>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</si>
  <si>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</si>
  <si>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</si>
  <si>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</si>
  <si>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</si>
  <si>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</si>
  <si>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</si>
  <si>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</si>
  <si>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</si>
  <si>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</si>
  <si>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</si>
  <si>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</si>
  <si>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</si>
  <si>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</si>
  <si>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</si>
  <si>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</si>
  <si>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</si>
  <si>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</si>
  <si>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</si>
  <si>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</si>
  <si>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</si>
  <si>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</si>
  <si>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</si>
  <si>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</si>
  <si>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</si>
  <si>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</si>
  <si>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</si>
  <si>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</si>
  <si>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</si>
  <si>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</si>
  <si>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</si>
  <si>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</si>
  <si>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</si>
  <si>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</si>
  <si>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</si>
  <si>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</si>
  <si>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</si>
  <si>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</si>
  <si>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</si>
  <si>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</si>
  <si>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</si>
  <si>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</si>
  <si>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</si>
  <si>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</si>
  <si>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</si>
  <si>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</si>
  <si>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</si>
  <si>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</si>
  <si>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</si>
  <si>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</si>
  <si>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</si>
  <si>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</si>
  <si>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</si>
  <si>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</si>
  <si>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</si>
  <si>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</si>
  <si>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</si>
  <si>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</si>
  <si>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</si>
  <si>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</si>
  <si>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</si>
  <si>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</si>
  <si>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</si>
  <si>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</si>
  <si>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</si>
  <si>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</si>
  <si>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</si>
  <si>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</si>
  <si>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</si>
  <si>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</si>
  <si>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</si>
  <si>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</si>
  <si>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</si>
  <si>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</si>
  <si>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</si>
  <si>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</si>
  <si>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</si>
  <si>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</si>
  <si>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</si>
  <si>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</si>
  <si>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</si>
  <si>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</si>
  <si>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</si>
  <si>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</si>
  <si>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</si>
  <si>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</si>
  <si>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</si>
  <si>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</si>
  <si>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</si>
  <si>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</si>
  <si>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</si>
  <si>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</si>
  <si>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</si>
  <si>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</si>
  <si>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</si>
  <si>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</si>
  <si>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</si>
  <si>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</si>
  <si>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</si>
  <si>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</si>
  <si>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</si>
  <si>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</si>
  <si>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</si>
  <si>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</si>
  <si>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</si>
  <si>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</si>
  <si>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</si>
  <si>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</si>
  <si>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</si>
  <si>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</si>
  <si>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</si>
  <si>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</si>
  <si>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</si>
  <si>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</si>
  <si>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</si>
  <si>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</si>
  <si>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</si>
  <si>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</si>
  <si>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</si>
  <si>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</si>
  <si>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</si>
  <si>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</si>
  <si>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</si>
  <si>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</si>
  <si>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</si>
  <si>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</si>
  <si>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</si>
  <si>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</si>
  <si>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</si>
  <si>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</si>
  <si>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</si>
  <si>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</si>
  <si>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</si>
  <si>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</si>
  <si>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</si>
  <si>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</si>
  <si>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</si>
  <si>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</si>
  <si>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</si>
  <si>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</si>
  <si>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</si>
  <si>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</si>
  <si>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</si>
  <si>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</si>
  <si>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</si>
  <si>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</si>
  <si>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</si>
  <si>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</si>
  <si>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</si>
  <si>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</si>
  <si>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</si>
  <si>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</si>
  <si>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</si>
  <si>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</si>
  <si>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</si>
  <si>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</si>
  <si>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</si>
  <si>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</si>
  <si>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</si>
  <si>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</si>
  <si>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</si>
  <si>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</si>
  <si>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</si>
  <si>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</si>
  <si>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</si>
  <si>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</si>
  <si>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</si>
  <si>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</si>
  <si>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</si>
  <si>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</si>
  <si>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</si>
  <si>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</si>
  <si>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</si>
  <si>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</si>
  <si>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</si>
  <si>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</si>
  <si>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</si>
  <si>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</si>
  <si>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</si>
  <si>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</si>
  <si>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</si>
  <si>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</si>
  <si>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</si>
  <si>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</si>
  <si>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</si>
  <si>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</si>
  <si>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</si>
  <si>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</si>
  <si>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</si>
  <si>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</si>
  <si>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</si>
  <si>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</si>
  <si>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</si>
  <si>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</si>
  <si>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</si>
  <si>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</si>
  <si>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</si>
  <si>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</si>
  <si>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</si>
  <si>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</si>
  <si>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</si>
  <si>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</si>
  <si>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</si>
  <si>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</si>
  <si>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</si>
  <si>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</si>
  <si>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</si>
  <si>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</si>
  <si>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</si>
  <si>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</si>
  <si>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</si>
  <si>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</si>
  <si>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</si>
  <si>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</si>
  <si>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</si>
  <si>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</si>
  <si>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</si>
  <si>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</si>
  <si>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</si>
  <si>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</si>
  <si>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</si>
  <si>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</si>
  <si>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</si>
  <si>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</si>
  <si>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</si>
  <si>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</si>
  <si>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</si>
  <si>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</si>
  <si>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</si>
  <si>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</si>
  <si>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</si>
  <si>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</si>
  <si>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</si>
  <si>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</si>
  <si>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</si>
  <si>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</si>
  <si>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</si>
  <si>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</si>
  <si>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</si>
  <si>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</si>
  <si>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</si>
  <si>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</si>
  <si>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</si>
  <si>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</si>
  <si>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</si>
  <si>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</si>
  <si>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</si>
  <si>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</si>
  <si>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</si>
  <si>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</si>
  <si>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</si>
  <si>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</si>
  <si>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</si>
  <si>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</si>
  <si>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</si>
  <si>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</si>
  <si>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</si>
  <si>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</si>
  <si>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</si>
  <si>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</si>
  <si>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</si>
  <si>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</si>
  <si>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</si>
  <si>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</si>
  <si>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</si>
  <si>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</si>
  <si>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</si>
  <si>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</si>
  <si>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</si>
  <si>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</si>
  <si>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</si>
  <si>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</si>
  <si>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</si>
  <si>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</si>
  <si>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</si>
  <si>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</si>
  <si>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</si>
  <si>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</si>
  <si>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</si>
  <si>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</si>
  <si>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</si>
  <si>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</si>
  <si>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</si>
  <si>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</si>
  <si>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</si>
  <si>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</si>
  <si>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</si>
  <si>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</si>
  <si>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</si>
  <si>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</si>
  <si>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</si>
  <si>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</si>
  <si>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</si>
  <si>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</si>
  <si>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</si>
  <si>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</si>
  <si>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</si>
  <si>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</si>
  <si>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</si>
  <si>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</si>
  <si>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</si>
  <si>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</si>
  <si>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</si>
  <si>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</si>
  <si>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</si>
  <si>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</si>
  <si>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</si>
  <si>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</si>
  <si>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</si>
  <si>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</si>
  <si>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</si>
  <si>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</si>
  <si>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</si>
  <si>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</si>
  <si>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</si>
  <si>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</si>
  <si>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</si>
  <si>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</si>
  <si>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</si>
  <si>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</si>
  <si>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</si>
  <si>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</si>
  <si>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</si>
  <si>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</si>
  <si>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</si>
  <si>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</si>
  <si>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</si>
  <si>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</si>
  <si>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</si>
  <si>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</si>
  <si>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</si>
  <si>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</si>
  <si>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</si>
  <si>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</si>
  <si>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</si>
  <si>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</si>
  <si>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</si>
  <si>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</si>
  <si>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</si>
  <si>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</si>
  <si>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</si>
  <si>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</si>
  <si>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</si>
  <si>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</si>
  <si>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</si>
  <si>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</si>
  <si>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</si>
  <si>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</si>
  <si>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</si>
  <si>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</si>
  <si>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</si>
  <si>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</si>
  <si>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</si>
  <si>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</si>
  <si>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</si>
  <si>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</si>
  <si>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</si>
  <si>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</si>
  <si>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</si>
  <si>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</si>
  <si>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</si>
  <si>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</si>
  <si>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</si>
  <si>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</si>
  <si>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</si>
  <si>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</si>
  <si>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</si>
  <si>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</si>
  <si>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</si>
  <si>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</si>
  <si>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</si>
  <si>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</si>
  <si>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</si>
  <si>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</si>
  <si>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</si>
  <si>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</si>
  <si>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</si>
  <si>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</si>
  <si>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</si>
  <si>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</si>
  <si>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</si>
  <si>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</si>
  <si>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</si>
  <si>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</si>
  <si>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</si>
  <si>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</si>
  <si>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</si>
  <si>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</si>
  <si>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</si>
  <si>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</si>
  <si>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</si>
  <si>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</si>
  <si>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</si>
  <si>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</si>
  <si>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</si>
  <si>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</si>
  <si>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</si>
  <si>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</si>
  <si>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</si>
  <si>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</si>
  <si>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</si>
  <si>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</si>
  <si>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</si>
  <si>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</si>
  <si>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</si>
  <si>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</si>
  <si>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</si>
  <si>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</si>
  <si>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</si>
  <si>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</si>
  <si>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</si>
  <si>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</si>
  <si>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</si>
  <si>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</si>
  <si>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</si>
  <si>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</si>
  <si>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</si>
  <si>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</si>
  <si>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</si>
  <si>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</si>
  <si>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</si>
  <si>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</si>
  <si>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</si>
  <si>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</si>
  <si>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</si>
  <si>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</si>
  <si>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</si>
  <si>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</si>
  <si>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</si>
  <si>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</si>
  <si>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</si>
  <si>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</si>
  <si>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</si>
  <si>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</si>
  <si>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</si>
  <si>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</si>
  <si>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</si>
  <si>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</si>
  <si>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</si>
  <si>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</si>
  <si>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</si>
  <si>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</si>
  <si>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</si>
  <si>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</si>
  <si>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</si>
  <si>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</si>
  <si>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</si>
  <si>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</si>
  <si>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</si>
  <si>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</si>
  <si>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</si>
  <si>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</si>
  <si>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</si>
  <si>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</si>
  <si>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</si>
  <si>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</si>
  <si>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</si>
  <si>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</si>
  <si>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</si>
  <si>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</si>
  <si>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</si>
  <si>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</si>
  <si>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</si>
  <si>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</si>
  <si>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</si>
  <si>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</si>
  <si>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</si>
  <si>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</si>
  <si>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</si>
  <si>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</si>
  <si>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</si>
  <si>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</si>
  <si>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</si>
  <si>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</si>
  <si>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</si>
  <si>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</si>
  <si>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</si>
  <si>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</si>
  <si>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</si>
  <si>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</si>
  <si>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</si>
  <si>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</si>
  <si>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</si>
  <si>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</si>
  <si>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</si>
  <si>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</si>
  <si>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</si>
  <si>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</si>
  <si>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</si>
  <si>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</si>
  <si>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</si>
  <si>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</si>
  <si>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</si>
  <si>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</si>
  <si>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</si>
  <si>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</si>
  <si>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</si>
  <si>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</si>
  <si>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</si>
  <si>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</si>
  <si>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</si>
  <si>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</si>
  <si>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</si>
  <si>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</si>
  <si>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</si>
  <si>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</si>
  <si>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</si>
  <si>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</si>
  <si>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</si>
  <si>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</si>
  <si>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</si>
  <si>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</si>
  <si>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</si>
  <si>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</si>
  <si>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</si>
  <si>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</si>
  <si>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</si>
  <si>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</si>
  <si>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</si>
  <si>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</si>
  <si>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</si>
  <si>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</si>
  <si>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</si>
  <si>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</si>
  <si>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</si>
  <si>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</si>
  <si>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</si>
  <si>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</si>
  <si>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</si>
  <si>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</si>
  <si>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</si>
  <si>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</si>
  <si>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</si>
  <si>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</si>
  <si>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</si>
  <si>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</si>
  <si>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</si>
  <si>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</si>
  <si>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</si>
  <si>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</si>
  <si>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</si>
  <si>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</si>
  <si>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</si>
  <si>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</si>
  <si>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</si>
  <si>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</si>
  <si>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</si>
  <si>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</si>
  <si>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</si>
  <si>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</si>
  <si>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</si>
  <si>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</si>
  <si>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</si>
  <si>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</si>
  <si>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</si>
  <si>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</si>
  <si>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</si>
  <si>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</si>
  <si>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</si>
  <si>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</si>
  <si>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</si>
  <si>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</si>
  <si>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</si>
  <si>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</si>
  <si>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</si>
  <si>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</si>
  <si>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</si>
  <si>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</si>
  <si>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</si>
  <si>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</si>
  <si>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</si>
  <si>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</si>
  <si>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</si>
  <si>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</si>
  <si>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</si>
  <si>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</si>
  <si>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</si>
  <si>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</si>
  <si>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</si>
  <si>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</si>
  <si>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</si>
  <si>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</si>
  <si>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</si>
  <si>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</si>
  <si>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</si>
  <si>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</si>
  <si>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</si>
  <si>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</si>
  <si>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</si>
  <si>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</si>
  <si>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</si>
  <si>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</si>
  <si>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</si>
  <si>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</si>
  <si>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</si>
  <si>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</si>
  <si>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</si>
  <si>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</si>
  <si>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</si>
  <si>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</si>
  <si>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</si>
  <si>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</si>
  <si>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</si>
  <si>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</si>
  <si>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</si>
  <si>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</si>
  <si>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</si>
  <si>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</si>
  <si>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</si>
  <si>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</si>
  <si>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</si>
  <si>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</si>
  <si>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</si>
  <si>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</si>
  <si>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</si>
  <si>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</si>
  <si>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</si>
  <si>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</si>
  <si>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</si>
  <si>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</si>
  <si>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</si>
  <si>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</si>
  <si>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</si>
  <si>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</si>
  <si>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</si>
  <si>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</si>
  <si>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</si>
  <si>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</si>
  <si>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</si>
  <si>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</si>
  <si>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</si>
  <si>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</si>
  <si>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</si>
  <si>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</si>
  <si>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</si>
  <si>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</si>
  <si>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</si>
  <si>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</si>
  <si>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</si>
  <si>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</si>
  <si>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</si>
  <si>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</si>
  <si>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</si>
  <si>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</si>
  <si>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</si>
  <si>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</si>
  <si>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</si>
  <si>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</si>
  <si>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</si>
  <si>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</si>
  <si>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</si>
  <si>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</si>
  <si>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</si>
  <si>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</si>
  <si>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</si>
  <si>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</si>
  <si>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</si>
  <si>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</si>
  <si>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</si>
  <si>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</si>
  <si>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</si>
  <si>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</si>
  <si>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</si>
  <si>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</si>
  <si>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</si>
  <si>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</si>
  <si>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</si>
  <si>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</si>
  <si>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</si>
  <si>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</si>
  <si>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</si>
  <si>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</si>
  <si>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</si>
  <si>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</si>
  <si>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</si>
  <si>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</si>
  <si>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</si>
  <si>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</si>
  <si>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</si>
  <si>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</si>
  <si>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</si>
  <si>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</si>
  <si>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</si>
  <si>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</si>
  <si>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</si>
  <si>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</si>
  <si>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</si>
  <si>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</si>
  <si>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</si>
  <si>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</si>
  <si>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</si>
  <si>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</si>
  <si>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</si>
  <si>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</si>
  <si>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</si>
  <si>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</si>
  <si>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</si>
  <si>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</si>
  <si>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</si>
  <si>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</si>
  <si>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</si>
  <si>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</si>
  <si>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</si>
  <si>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</si>
  <si>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</si>
  <si>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</si>
  <si>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</si>
  <si>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</si>
  <si>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</si>
  <si>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</si>
  <si>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</si>
  <si>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</si>
  <si>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</si>
  <si>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</si>
  <si>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</si>
  <si>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</si>
  <si>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</si>
  <si>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</si>
  <si>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</si>
  <si>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</si>
  <si>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</si>
  <si>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</si>
  <si>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</si>
  <si>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</si>
  <si>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</si>
  <si>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</si>
  <si>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</si>
  <si>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</si>
  <si>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</si>
  <si>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</si>
  <si>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</si>
  <si>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</si>
  <si>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</si>
  <si>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</si>
  <si>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</si>
  <si>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</si>
  <si>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</si>
  <si>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</si>
  <si>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</si>
  <si>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</si>
  <si>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</si>
  <si>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</si>
  <si>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</si>
  <si>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</si>
  <si>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</si>
  <si>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</si>
  <si>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</si>
  <si>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</si>
  <si>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</si>
  <si>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</si>
  <si>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</si>
  <si>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</si>
  <si>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</si>
  <si>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</si>
  <si>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</si>
  <si>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</si>
  <si>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</si>
  <si>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</si>
  <si>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</si>
  <si>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</si>
  <si>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</si>
  <si>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</si>
  <si>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</si>
  <si>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</si>
  <si>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</si>
  <si>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</si>
  <si>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</si>
  <si>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</si>
  <si>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</si>
  <si>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</si>
  <si>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</si>
  <si>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</si>
  <si>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</si>
  <si>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</si>
  <si>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</si>
  <si>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</si>
  <si>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</si>
  <si>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</si>
  <si>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</si>
  <si>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</si>
  <si>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</si>
  <si>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</si>
  <si>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</si>
  <si>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</si>
  <si>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</si>
  <si>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</si>
  <si>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</si>
  <si>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</si>
  <si>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</si>
  <si>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</si>
  <si>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</si>
  <si>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</si>
  <si>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</si>
  <si>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</si>
  <si>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</si>
  <si>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</si>
  <si>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</si>
  <si>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</si>
  <si>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</si>
  <si>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</si>
  <si>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</si>
  <si>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</si>
  <si>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</si>
  <si>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</si>
  <si>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</si>
  <si>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</si>
  <si>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</si>
  <si>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</si>
  <si>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</si>
  <si>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</si>
  <si>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</si>
  <si>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</si>
  <si>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</si>
  <si>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</si>
  <si>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</si>
  <si>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</si>
  <si>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</si>
  <si>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</si>
  <si>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</si>
  <si>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</si>
  <si>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</si>
  <si>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</si>
  <si>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</si>
  <si>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</si>
  <si>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</si>
  <si>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</si>
  <si>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</si>
  <si>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</si>
  <si>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</si>
  <si>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</si>
  <si>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</si>
  <si>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</si>
  <si>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</si>
  <si>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</si>
  <si>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</si>
  <si>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</si>
  <si>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</si>
  <si>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</si>
  <si>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</si>
  <si>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</si>
  <si>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</si>
  <si>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</si>
  <si>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</si>
  <si>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</si>
  <si>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</si>
  <si>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</si>
  <si>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</si>
  <si>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</si>
  <si>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</si>
  <si>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</si>
  <si>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</si>
  <si>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</si>
  <si>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</si>
  <si>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</si>
  <si>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</si>
  <si>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</si>
  <si>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</si>
  <si>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</si>
  <si>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</si>
  <si>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</si>
  <si>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</si>
  <si>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</si>
  <si>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</si>
  <si>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</si>
  <si>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</si>
  <si>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</si>
  <si>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</si>
  <si>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</si>
  <si>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</si>
  <si>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</si>
  <si>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</si>
  <si>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</si>
  <si>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</si>
  <si>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</si>
  <si>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</si>
  <si>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</si>
  <si>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</si>
  <si>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</si>
  <si>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</si>
  <si>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</si>
  <si>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</si>
  <si>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</si>
  <si>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</si>
  <si>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</si>
  <si>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</si>
  <si>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</si>
  <si>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</si>
  <si>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</si>
  <si>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</si>
  <si>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</si>
  <si>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</si>
  <si>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</si>
  <si>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</si>
  <si>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</si>
  <si>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</si>
  <si>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</si>
  <si>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</si>
  <si>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</si>
  <si>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</si>
  <si>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</si>
  <si>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</si>
  <si>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</si>
  <si>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</si>
  <si>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</si>
  <si>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</si>
  <si>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</si>
  <si>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</si>
  <si>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</si>
  <si>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</si>
  <si>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</si>
  <si>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</si>
  <si>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</si>
  <si>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</si>
  <si>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</si>
  <si>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</si>
  <si>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</si>
  <si>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</si>
  <si>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</si>
  <si>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</si>
  <si>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</si>
  <si>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</si>
  <si>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</si>
  <si>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</si>
  <si>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</si>
  <si>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</si>
  <si>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</si>
  <si>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</si>
  <si>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</si>
  <si>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</si>
  <si>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</si>
  <si>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</si>
  <si>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</si>
  <si>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</si>
  <si>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</si>
  <si>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</si>
  <si>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</si>
  <si>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</si>
  <si>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</si>
  <si>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</si>
  <si>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</si>
  <si>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</si>
  <si>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</si>
  <si>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</si>
  <si>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</si>
  <si>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</si>
  <si>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</si>
  <si>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</si>
  <si>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</si>
  <si>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</si>
  <si>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</si>
  <si>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</si>
  <si>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</si>
  <si>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</si>
  <si>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</si>
  <si>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</si>
  <si>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</si>
  <si>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</si>
  <si>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</si>
  <si>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</si>
  <si>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</si>
  <si>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</si>
  <si>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</si>
  <si>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</si>
  <si>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</si>
  <si>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</si>
  <si>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</si>
  <si>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</si>
  <si>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</si>
  <si>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</si>
  <si>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</si>
  <si>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</si>
  <si>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</si>
  <si>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</si>
  <si>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</si>
  <si>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</si>
  <si>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</si>
  <si>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</si>
  <si>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</si>
  <si>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</si>
  <si>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</si>
  <si>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</si>
  <si>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</si>
  <si>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</si>
  <si>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</si>
  <si>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</si>
  <si>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</si>
  <si>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</si>
  <si>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</si>
  <si>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</si>
  <si>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</si>
  <si>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</si>
  <si>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</si>
  <si>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</si>
  <si>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</si>
  <si>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</si>
  <si>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</si>
  <si>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</si>
  <si>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</si>
  <si>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</si>
  <si>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</si>
  <si>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</si>
  <si>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</si>
  <si>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</si>
  <si>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</si>
  <si>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</si>
  <si>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</si>
  <si>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</si>
  <si>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</si>
  <si>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</si>
  <si>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</si>
  <si>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</si>
  <si>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</si>
  <si>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</si>
  <si>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</si>
  <si>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</si>
  <si>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</si>
  <si>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</si>
  <si>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</si>
  <si>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</si>
  <si>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</si>
  <si>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</si>
  <si>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</si>
  <si>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</si>
  <si>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</si>
  <si>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</si>
  <si>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</si>
  <si>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</si>
  <si>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</si>
  <si>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</si>
  <si>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</si>
  <si>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</si>
  <si>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</si>
  <si>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</si>
  <si>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</si>
  <si>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</si>
  <si>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</si>
  <si>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</si>
  <si>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</si>
  <si>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</si>
  <si>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</si>
  <si>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</si>
  <si>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</si>
  <si>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</si>
  <si>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</si>
  <si>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</si>
  <si>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</si>
  <si>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</si>
  <si>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</si>
  <si>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</si>
  <si>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</si>
  <si>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</si>
  <si>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</si>
  <si>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</si>
  <si>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</si>
  <si>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</si>
  <si>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</si>
  <si>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</si>
  <si>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</si>
  <si>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</si>
  <si>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</si>
  <si>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</si>
  <si>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</si>
  <si>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</si>
  <si>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</si>
  <si>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</si>
  <si>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</si>
  <si>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</si>
  <si>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</si>
  <si>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</si>
  <si>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</si>
  <si>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</si>
  <si>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</si>
  <si>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</si>
  <si>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</si>
  <si>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</si>
  <si>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</si>
  <si>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</si>
  <si>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</si>
  <si>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</si>
  <si>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</si>
  <si>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</si>
  <si>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</si>
  <si>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</si>
  <si>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</si>
  <si>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</si>
  <si>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</si>
  <si>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</si>
  <si>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</si>
  <si>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</si>
  <si>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</si>
  <si>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</si>
  <si>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</si>
  <si>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</si>
  <si>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</si>
  <si>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</si>
  <si>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</si>
  <si>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</si>
  <si>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</si>
  <si>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</si>
  <si>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</si>
  <si>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</si>
  <si>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</si>
  <si>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</si>
  <si>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</si>
  <si>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</si>
  <si>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</si>
  <si>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</si>
  <si>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</si>
  <si>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</si>
  <si>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</si>
  <si>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</si>
  <si>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</si>
  <si>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</si>
  <si>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</si>
  <si>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</si>
  <si>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</si>
  <si>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</si>
  <si>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</si>
  <si>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</si>
  <si>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</si>
  <si>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</si>
  <si>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</si>
  <si>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</si>
  <si>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</si>
  <si>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</si>
  <si>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</si>
  <si>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</si>
  <si>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</si>
  <si>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</si>
  <si>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</si>
  <si>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</si>
  <si>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</si>
  <si>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</si>
  <si>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</si>
  <si>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</si>
  <si>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</si>
  <si>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</si>
  <si>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</si>
  <si>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</si>
  <si>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</si>
  <si>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</si>
  <si>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</si>
  <si>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</si>
  <si>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</si>
  <si>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</si>
  <si>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</si>
  <si>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</si>
  <si>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</si>
  <si>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</si>
  <si>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</si>
  <si>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</si>
  <si>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</si>
  <si>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</si>
  <si>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</si>
  <si>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</si>
  <si>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</si>
  <si>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</si>
  <si>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</si>
  <si>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</si>
  <si>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</si>
  <si>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</si>
  <si>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</si>
  <si>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</si>
  <si>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</si>
  <si>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</si>
  <si>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</si>
  <si>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</si>
  <si>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</si>
  <si>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</si>
  <si>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</si>
  <si>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</si>
  <si>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</si>
  <si>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</si>
  <si>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</si>
  <si>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</si>
  <si>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</si>
  <si>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</si>
  <si>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</si>
  <si>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</si>
  <si>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</si>
  <si>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</si>
  <si>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</si>
  <si>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</si>
  <si>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</si>
  <si>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</si>
  <si>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</si>
  <si>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</si>
  <si>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</si>
  <si>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</si>
  <si>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</si>
  <si>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</si>
  <si>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</si>
  <si>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</si>
  <si>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</si>
  <si>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</si>
  <si>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</si>
  <si>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</si>
  <si>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</si>
  <si>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</si>
  <si>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</si>
  <si>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</si>
  <si>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</si>
  <si>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</si>
  <si>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</si>
  <si>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</si>
  <si>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</si>
  <si>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</si>
  <si>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</si>
  <si>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</si>
  <si>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</si>
  <si>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</si>
  <si>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</si>
  <si>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</si>
  <si>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</si>
  <si>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</si>
  <si>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</si>
  <si>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</si>
  <si>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</si>
  <si>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</si>
  <si>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</si>
  <si>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</si>
  <si>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</si>
  <si>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</si>
  <si>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</si>
  <si>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</si>
  <si>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</si>
  <si>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</si>
  <si>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</si>
  <si>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</si>
  <si>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</si>
  <si>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</si>
  <si>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</si>
  <si>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</si>
  <si>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</si>
  <si>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</si>
  <si>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</si>
  <si>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</si>
  <si>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</si>
  <si>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</si>
  <si>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</si>
  <si>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</si>
  <si>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</si>
  <si>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</si>
  <si>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</si>
  <si>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</si>
  <si>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</si>
  <si>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</si>
  <si>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</si>
  <si>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</si>
  <si>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</si>
  <si>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</si>
  <si>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</si>
  <si>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</si>
  <si>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</si>
  <si>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</si>
  <si>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</si>
  <si>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</si>
  <si>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</si>
  <si>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</si>
  <si>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</si>
  <si>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</si>
  <si>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</si>
  <si>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</si>
  <si>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</si>
  <si>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</si>
  <si>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</si>
  <si>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</si>
  <si>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</si>
  <si>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</si>
  <si>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</si>
  <si>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</si>
  <si>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</si>
  <si>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</si>
  <si>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</si>
  <si>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</si>
  <si>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</si>
  <si>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</si>
  <si>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</si>
  <si>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</si>
  <si>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</si>
  <si>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</si>
  <si>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</si>
  <si>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</si>
  <si>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</si>
  <si>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</si>
  <si>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</si>
  <si>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</si>
  <si>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</si>
  <si>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</si>
  <si>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</si>
  <si>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</si>
  <si>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</si>
  <si>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</si>
  <si>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</si>
  <si>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</si>
  <si>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</si>
  <si>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</si>
  <si>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</si>
  <si>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</si>
  <si>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</si>
  <si>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</si>
  <si>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</si>
  <si>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</si>
  <si>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</si>
  <si>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</si>
  <si>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</si>
  <si>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</si>
  <si>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</si>
  <si>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</si>
  <si>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</si>
  <si>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</si>
  <si>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</si>
  <si>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</si>
  <si>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</si>
  <si>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</si>
  <si>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</si>
  <si>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</si>
  <si>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</si>
  <si>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</si>
  <si>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</si>
  <si>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</si>
  <si>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</si>
  <si>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</si>
  <si>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</si>
  <si>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</si>
  <si>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</si>
  <si>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</si>
  <si>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</si>
  <si>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</si>
  <si>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</si>
  <si>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</si>
  <si>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</si>
  <si>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</si>
  <si>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</si>
  <si>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</si>
  <si>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</si>
  <si>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</si>
  <si>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</si>
  <si>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</si>
  <si>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</si>
  <si>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</si>
  <si>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</si>
  <si>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</si>
  <si>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</si>
  <si>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</si>
  <si>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</si>
  <si>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</si>
  <si>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</si>
  <si>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</si>
  <si>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</si>
  <si>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</si>
  <si>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</si>
  <si>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</si>
  <si>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</si>
  <si>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</si>
  <si>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</si>
  <si>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</si>
  <si>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</si>
  <si>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</si>
  <si>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</si>
  <si>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</si>
  <si>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</si>
  <si>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</si>
  <si>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</si>
  <si>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</si>
  <si>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</si>
  <si>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</si>
  <si>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</si>
  <si>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</si>
  <si>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</si>
  <si>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</si>
  <si>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</si>
  <si>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</si>
  <si>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</si>
  <si>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</si>
  <si>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</si>
  <si>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</si>
  <si>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</si>
  <si>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</si>
  <si>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</si>
  <si>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</si>
  <si>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</si>
  <si>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</si>
  <si>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</si>
  <si>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</si>
  <si>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</si>
  <si>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</si>
  <si>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</si>
  <si>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</si>
  <si>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</si>
  <si>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</si>
  <si>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</si>
  <si>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</si>
  <si>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</si>
  <si>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</si>
  <si>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</si>
  <si>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</si>
  <si>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</si>
  <si>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</si>
  <si>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</si>
  <si>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</si>
  <si>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</si>
  <si>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</si>
  <si>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</si>
  <si>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</si>
  <si>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</si>
  <si>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</si>
  <si>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</si>
  <si>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</si>
  <si>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</si>
  <si>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</si>
  <si>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</si>
  <si>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</si>
  <si>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</si>
  <si>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</si>
  <si>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</si>
  <si>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</si>
  <si>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</si>
  <si>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</si>
  <si>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</si>
  <si>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</si>
  <si>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</si>
  <si>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</si>
  <si>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</si>
  <si>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</si>
  <si>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</si>
  <si>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</si>
  <si>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</si>
  <si>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</si>
  <si>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</si>
  <si>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</si>
  <si>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</si>
  <si>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</si>
  <si>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</si>
  <si>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</si>
  <si>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</si>
  <si>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</si>
  <si>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</si>
  <si>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</si>
  <si>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</si>
  <si>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</si>
  <si>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</si>
  <si>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</si>
  <si>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</si>
  <si>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</si>
  <si>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</si>
  <si>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</si>
  <si>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</si>
  <si>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</si>
  <si>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</si>
  <si>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</si>
  <si>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</si>
  <si>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</si>
  <si>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</si>
  <si>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</si>
  <si>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</si>
  <si>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</si>
  <si>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</si>
  <si>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</si>
  <si>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</si>
  <si>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</si>
  <si>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</si>
  <si>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</si>
  <si>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</si>
  <si>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</si>
  <si>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</si>
  <si>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</si>
  <si>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</si>
  <si>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</si>
  <si>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</si>
  <si>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</si>
  <si>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</si>
  <si>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</si>
  <si>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</si>
  <si>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</si>
  <si>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</si>
  <si>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</si>
  <si>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</si>
  <si>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</si>
  <si>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</si>
  <si>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</si>
  <si>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</si>
  <si>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</si>
  <si>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</si>
  <si>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</si>
  <si>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</si>
  <si>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</si>
  <si>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</si>
  <si>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</si>
  <si>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</si>
  <si>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</si>
  <si>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</si>
  <si>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</si>
  <si>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</si>
  <si>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</si>
  <si>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</si>
  <si>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</si>
  <si>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</si>
  <si>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</si>
  <si>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</si>
  <si>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</si>
  <si>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</si>
  <si>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</si>
  <si>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</si>
  <si>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</si>
  <si>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</si>
  <si>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</si>
  <si>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</si>
  <si>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</si>
  <si>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</si>
  <si>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</si>
  <si>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</si>
  <si>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</si>
  <si>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</si>
  <si>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</si>
  <si>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</si>
  <si>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</si>
  <si>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</si>
  <si>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</si>
  <si>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</si>
  <si>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</si>
  <si>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</si>
  <si>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</si>
  <si>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</si>
  <si>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</si>
  <si>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</si>
  <si>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</si>
  <si>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</si>
  <si>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</si>
  <si>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</si>
  <si>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</si>
  <si>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</si>
  <si>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</si>
  <si>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</si>
  <si>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</si>
  <si>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</si>
  <si>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</si>
  <si>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</si>
  <si>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</si>
  <si>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</si>
  <si>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</si>
  <si>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</si>
  <si>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</si>
  <si>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</si>
  <si>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</si>
  <si>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</si>
  <si>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</si>
  <si>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</si>
  <si>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</si>
  <si>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</si>
  <si>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</si>
  <si>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</si>
  <si>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</si>
  <si>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</si>
  <si>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</si>
  <si>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</si>
  <si>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</si>
  <si>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</si>
  <si>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</si>
  <si>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</si>
  <si>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</si>
  <si>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</si>
  <si>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</si>
  <si>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</si>
  <si>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</si>
  <si>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</si>
  <si>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</si>
  <si>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</si>
  <si>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</si>
  <si>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</si>
  <si>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</si>
  <si>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</si>
  <si>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</si>
  <si>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</si>
  <si>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</si>
  <si>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</si>
  <si>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</si>
  <si>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</si>
  <si>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</si>
  <si>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</si>
  <si>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</si>
  <si>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</si>
  <si>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</si>
  <si>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</si>
  <si>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</si>
  <si>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</si>
  <si>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</si>
  <si>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</si>
  <si>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</si>
  <si>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</si>
  <si>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</si>
  <si>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</si>
  <si>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</si>
  <si>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</si>
  <si>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</si>
  <si>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</si>
  <si>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</si>
  <si>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</si>
  <si>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</si>
  <si>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</si>
  <si>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</si>
  <si>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</si>
  <si>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</si>
  <si>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</si>
  <si>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</si>
  <si>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</si>
  <si>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</si>
  <si>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</si>
  <si>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</si>
  <si>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</si>
  <si>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</si>
  <si>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</si>
  <si>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</si>
  <si>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</si>
  <si>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</si>
  <si>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</si>
  <si>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</si>
  <si>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</si>
  <si>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</si>
  <si>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</si>
  <si>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</si>
  <si>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</si>
  <si>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</si>
  <si>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</si>
  <si>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</si>
  <si>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</si>
  <si>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</si>
  <si>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</si>
  <si>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</si>
  <si>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</si>
  <si>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</si>
  <si>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</si>
  <si>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</si>
  <si>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</si>
  <si>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</si>
  <si>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</si>
  <si>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</si>
  <si>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</si>
  <si>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</si>
  <si>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</si>
  <si>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</si>
  <si>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</si>
  <si>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</si>
  <si>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</si>
  <si>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</si>
  <si>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</si>
  <si>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</si>
  <si>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</si>
  <si>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</si>
  <si>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</si>
  <si>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</si>
  <si>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</si>
  <si>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</si>
  <si>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</si>
  <si>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</si>
  <si>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</si>
  <si>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</si>
  <si>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</si>
  <si>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</si>
  <si>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</si>
  <si>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</si>
  <si>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</si>
  <si>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</si>
  <si>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</si>
  <si>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</si>
  <si>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</si>
  <si>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</si>
  <si>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</si>
  <si>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</si>
  <si>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</si>
  <si>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</si>
  <si>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</si>
  <si>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</si>
  <si>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</si>
  <si>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</si>
  <si>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</si>
  <si>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</si>
  <si>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</si>
  <si>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</si>
  <si>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</si>
  <si>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</si>
  <si>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</si>
  <si>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</si>
  <si>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</si>
  <si>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</si>
  <si>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</si>
  <si>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</si>
  <si>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</si>
  <si>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</si>
  <si>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</si>
  <si>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</si>
  <si>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</si>
  <si>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</si>
  <si>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</si>
  <si>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</si>
  <si>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</si>
  <si>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</si>
  <si>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</si>
  <si>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</si>
  <si>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</si>
  <si>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</si>
  <si>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</si>
  <si>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</si>
  <si>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</si>
  <si>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</si>
  <si>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</si>
  <si>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</si>
  <si>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</si>
  <si>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</si>
  <si>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</si>
  <si>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</si>
  <si>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</si>
  <si>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</si>
  <si>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</si>
  <si>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</si>
  <si>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</si>
  <si>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</si>
  <si>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</si>
  <si>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</si>
  <si>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</si>
  <si>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</si>
  <si>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</si>
  <si>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</si>
  <si>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</si>
  <si>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</si>
  <si>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</si>
  <si>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</si>
  <si>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</si>
  <si>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</si>
  <si>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</si>
  <si>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</si>
  <si>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</si>
  <si>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</si>
  <si>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</si>
  <si>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</si>
  <si>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</si>
  <si>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</si>
  <si>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</si>
  <si>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</si>
  <si>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</si>
  <si>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</si>
  <si>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</si>
  <si>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</si>
  <si>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</si>
  <si>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</si>
  <si>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</si>
  <si>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</si>
  <si>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</si>
  <si>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</si>
  <si>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</si>
  <si>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</si>
  <si>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</si>
  <si>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</si>
  <si>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</si>
  <si>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</si>
  <si>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</si>
  <si>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</si>
  <si>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</si>
  <si>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</si>
  <si>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</si>
  <si>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</si>
  <si>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</si>
  <si>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</si>
  <si>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</si>
  <si>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</si>
  <si>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</si>
  <si>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</si>
  <si>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</si>
  <si>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</si>
  <si>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</si>
  <si>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</si>
  <si>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</si>
  <si>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</si>
  <si>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</si>
  <si>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</si>
  <si>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</si>
  <si>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</si>
  <si>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</si>
  <si>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</si>
  <si>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</si>
  <si>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</si>
  <si>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</si>
  <si>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</si>
  <si>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</si>
  <si>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</si>
  <si>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</si>
  <si>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</si>
  <si>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</si>
  <si>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</si>
  <si>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</si>
  <si>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</si>
  <si>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</si>
  <si>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</si>
  <si>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</si>
  <si>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</si>
  <si>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</si>
  <si>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</si>
  <si>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</si>
  <si>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</si>
  <si>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</si>
  <si>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</si>
  <si>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</si>
  <si>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</si>
  <si>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</si>
  <si>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</si>
  <si>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</si>
  <si>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</si>
  <si>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</si>
  <si>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</si>
  <si>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</si>
  <si>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</si>
  <si>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</si>
  <si>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</si>
  <si>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</si>
  <si>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</si>
  <si>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</si>
  <si>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</si>
  <si>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</si>
  <si>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</si>
  <si>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</si>
  <si>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</si>
  <si>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</si>
  <si>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</si>
  <si>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</si>
  <si>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</si>
  <si>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</si>
  <si>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</si>
  <si>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</si>
  <si>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</si>
  <si>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</si>
  <si>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</si>
  <si>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</si>
  <si>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</si>
  <si>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</si>
  <si>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</si>
  <si>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</si>
  <si>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</si>
  <si>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</si>
  <si>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</si>
  <si>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</si>
  <si>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</si>
  <si>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</si>
  <si>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</si>
  <si>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</si>
  <si>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</si>
  <si>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</si>
  <si>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</si>
  <si>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</si>
  <si>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</si>
  <si>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</si>
  <si>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</si>
  <si>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</si>
  <si>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</si>
  <si>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</si>
  <si>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</si>
  <si>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</si>
  <si>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</si>
  <si>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</si>
  <si>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</si>
  <si>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</si>
  <si>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</si>
  <si>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</si>
  <si>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</si>
  <si>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</si>
  <si>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</si>
  <si>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</si>
  <si>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</si>
  <si>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</si>
  <si>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</si>
  <si>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</si>
  <si>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</si>
  <si>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</si>
  <si>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</si>
  <si>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</si>
  <si>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</si>
  <si>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</si>
  <si>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</si>
  <si>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</si>
  <si>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</si>
  <si>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</si>
  <si>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</si>
  <si>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</si>
  <si>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</si>
  <si>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</si>
  <si>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</si>
  <si>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</si>
  <si>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</si>
  <si>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</si>
  <si>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</si>
  <si>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</si>
  <si>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</si>
  <si>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</si>
  <si>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</si>
  <si>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</si>
  <si>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</si>
  <si>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</si>
  <si>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</si>
  <si>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</si>
  <si>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</si>
  <si>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</si>
  <si>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</si>
  <si>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</si>
  <si>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</si>
  <si>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</si>
  <si>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</si>
  <si>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</si>
  <si>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</si>
  <si>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</si>
  <si>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</si>
  <si>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</si>
  <si>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</si>
  <si>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</si>
  <si>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</si>
  <si>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</si>
  <si>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</si>
  <si>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</si>
  <si>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</si>
  <si>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</si>
  <si>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</si>
  <si>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</si>
  <si>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</si>
  <si>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</si>
  <si>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</si>
  <si>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</si>
  <si>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</si>
  <si>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</si>
  <si>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</si>
  <si>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TRƯỜNG NGUYÊN 135-01</t>
  </si>
  <si>
    <t>03-04.12.2025</t>
  </si>
  <si>
    <t>SO đã duyệt</t>
  </si>
  <si>
    <t>2200002342 - 665C.T11.2025/HPDQ-THP-KH 3750TAN HRC1 đi Hải Phòng  - CÂN TẢI</t>
  </si>
  <si>
    <t>HRC 1 
T11.4 3050 dự kiến 30/11-01/12  nk
T12.1 700 tấn 6-7/12 nk</t>
  </si>
  <si>
    <t>1</t>
  </si>
  <si>
    <t>2200002296 - 619B.T11.2025/HPDQ-OTHY-KH  - xuất hết mapping</t>
  </si>
  <si>
    <t>HRC 1
T11.4 dự kiến 29-30/11nk</t>
  </si>
  <si>
    <t>chưa có KH</t>
  </si>
  <si>
    <t>2000003559- 590A.T10.2025/HPDQ-TMPHD-KH- 11000T - CHƯA CÓ KH NHẬN HÀNG</t>
  </si>
  <si>
    <t>HRC 1 - đã map 10k1
T11.3 dự kiến 26-27/11 nk</t>
  </si>
  <si>
    <t>CHƯA CÓ KẾ HOẠCH NHẬN HÀNG</t>
  </si>
  <si>
    <t>2000003567 - 590B.T10.2025/HPDQ-TMPHD-KH - CHƯA CÓ KH NHẬN HÀNG</t>
  </si>
  <si>
    <t>HRC 2 - HÀNG HÓA OK
2879t</t>
  </si>
  <si>
    <t>2000003569 - 590A.T10.2025/HPDQ-TMPHD-KH- CHƯA CÓ KH NHẬN HÀNG</t>
  </si>
  <si>
    <t>HRC 2 - T11.3 584t
dự kiến 26-27/11 nk</t>
  </si>
  <si>
    <t>26-27/11</t>
  </si>
  <si>
    <t>2000003583 - 531B1.T08.2025/HPDQ-OTSG-KH</t>
  </si>
  <si>
    <t>HRC 2 - T11.3 đã map 1454
dự kiến 29-30/11 nk</t>
  </si>
  <si>
    <t>2000003584 -531B2.T08.2025/HPDQ-QTVN-KH</t>
  </si>
  <si>
    <t>HRC 2 - T11.3 đã map 2249t
dự kiến 29-30/11 nk</t>
  </si>
  <si>
    <t>01/12</t>
  </si>
  <si>
    <t>2000003624 - 615B.T10.2025/HPDQ-ASIA-KH, LSD 5/1/2026 (CW 25t)</t>
  </si>
  <si>
    <t>HRC 1
T11.4 dự kiến 03-04/12 nk</t>
  </si>
  <si>
    <t>CHƯA CÓ KẾ HOẠCH</t>
  </si>
  <si>
    <t>3-T12</t>
  </si>
  <si>
    <t>2000003537 - 590F.T10.2025/HPDQ-TMP-KH-4000t - CHƯA CÓ KH NHẬN HÀNG</t>
  </si>
  <si>
    <t>HRC 1 - T11.4
dự kiến 2-3/12 nk</t>
  </si>
  <si>
    <t>2000003623 - 615B.T10.2025/HPDQ-ASIA-KH, LSD 5/1/2026 (CW 25t)</t>
  </si>
  <si>
    <t>HRC 2 - T11.4 373t
6-7/12</t>
  </si>
  <si>
    <r>
      <rPr>
        <sz val="14"/>
        <color rgb="FF000000"/>
        <rFont val="Times New Roman"/>
      </rPr>
      <t xml:space="preserve">2000003630 - 616K.T08.2025/HPDQ-KKNH-KH </t>
    </r>
    <r>
      <rPr>
        <b/>
        <sz val="14"/>
        <color rgb="FF000000"/>
        <rFont val="Times New Roman"/>
      </rPr>
      <t xml:space="preserve">- </t>
    </r>
    <r>
      <rPr>
        <b/>
        <sz val="14"/>
        <color rgb="FFFF0000"/>
        <rFont val="Times New Roman"/>
      </rPr>
      <t>KHÔNG TÁCH TÀU LC không cho</t>
    </r>
  </si>
  <si>
    <t>HRC 2 - T11.4 139t
6-7/12</t>
  </si>
  <si>
    <t>VIỆT THUẬN 26-01</t>
  </si>
  <si>
    <t>30.11.2025</t>
  </si>
  <si>
    <t>24/11 DUYỆT SO</t>
  </si>
  <si>
    <t>2000003579 - 609.T10.2025/HPDQ-SEAH-KH</t>
  </si>
  <si>
    <t>HRC 2 - 328t
dự kiến 29-30/11 nk</t>
  </si>
  <si>
    <t>3</t>
  </si>
  <si>
    <t>2000003586 - 603A.T10.2025/HPDQ-NK-KH - 5000T
CÒN BAO NHIÊU XUẤT HẾT</t>
  </si>
  <si>
    <t>HRC 2 - T11.3 đã map 3879t
dự kiến 29-30/11 nk</t>
  </si>
  <si>
    <t>HẠN CHẾ TỐI ĐA HAN GỈ, ĐƯỢC LÀM HÀNG DƯỚI MƯA NHỎ</t>
  </si>
  <si>
    <t>2000003615 - 651.T11.2025/HPDQ-NK-KH - 13950 tấn  - CÂN TẢI
khách xin giao tách khoảng 5kt/tàu</t>
  </si>
  <si>
    <t>HRC 2 - đã map 2549
6-7/12</t>
  </si>
  <si>
    <t>28-29/11</t>
  </si>
  <si>
    <t>2000003626 - 616D.T08.2025/HPDQ-TVN-KH - 4500</t>
  </si>
  <si>
    <t>HRC 1 - T11.4
dự kiến 27-28 nk trước 2k5, còn lại 2k 2-3/12 nk</t>
  </si>
  <si>
    <t>2000003625 - 530B.T08.2025/HPDQ-TVN-KH</t>
  </si>
  <si>
    <t>2000003631 - 576A.T09.2025/HPDQ-TVN-KH</t>
  </si>
  <si>
    <t xml:space="preserve">HRC 1 - T11.4
dự kiến 28-29/11 nk trước 2k5, còn lại 1k 1-2/12 nk </t>
  </si>
  <si>
    <t>chưa có kế hoạch mở LC</t>
  </si>
  <si>
    <t>2000003557 - 613A.T10.2025/HPDQ-TNS-KH 
xuất hết mapping, phải đủ dung sai</t>
  </si>
  <si>
    <t>HRC 2 - đã map 5739t
200t chờ skin
29-30/11 nk</t>
  </si>
  <si>
    <t>2000003609- 539F.T07.2025/HPDQ-TMP-KH- 4730t - cw: 27-30t(630t)</t>
  </si>
  <si>
    <t>HRC 2  - dự kiến 6-7/12 nk</t>
  </si>
  <si>
    <t>2000003610 - 539G.T07.2025/HPDQ-TMPHD-KH - 6350T - CW: 27-30T (3550T)</t>
  </si>
  <si>
    <t>HRC 2 - đã map 2879t
dự kiến 7-8/12 nk</t>
  </si>
  <si>
    <t>2000003568 - 590G.T10.2025/HPDQ-TMPHD-KH- - CHƯA CÓ KH NHẬN HÀNG - 5000MT - CÂN TẢI</t>
  </si>
  <si>
    <t>HRC 2 - T11.3 730t
dự kiến 29-30/11 nk</t>
  </si>
  <si>
    <r>
      <rPr>
        <sz val="14"/>
        <color rgb="FF000000"/>
        <rFont val="Times New Roman"/>
      </rPr>
      <t xml:space="preserve">2200002236 - 580A.T09.2025/HPDQ-HPC-KH - 9727mt 
</t>
    </r>
    <r>
      <rPr>
        <sz val="14"/>
        <color rgb="FFFF0000"/>
        <rFont val="Times New Roman"/>
      </rPr>
      <t>Chưa có kế hoạch</t>
    </r>
  </si>
  <si>
    <t>HRC 2  - Hàng hóa ok
1523t</t>
  </si>
  <si>
    <r>
      <rPr>
        <sz val="14"/>
        <color rgb="FF000000"/>
        <rFont val="Times New Roman"/>
      </rPr>
      <t xml:space="preserve">2000003472 - 564.T09.2025/HPDQ-NK-KH  - 10,830t - </t>
    </r>
    <r>
      <rPr>
        <b/>
        <sz val="14"/>
        <color rgb="FFFF0000"/>
        <rFont val="Times New Roman"/>
      </rPr>
      <t xml:space="preserve">LSD 25/11
</t>
    </r>
    <r>
      <rPr>
        <sz val="14"/>
        <color rgb="FF000000"/>
        <rFont val="Times New Roman"/>
      </rPr>
      <t xml:space="preserve">Còn bao nhiêu xuất hết, phải đủ dung sai
</t>
    </r>
    <r>
      <rPr>
        <b/>
        <sz val="14"/>
        <color rgb="FFFF0000"/>
        <rFont val="Times New Roman"/>
      </rPr>
      <t>XẾP TRÊN CÙNG, DỠ ĐẦU TIÊN, ƯU TIÊN HÀNG IF VÀ SPHC TRÊN CÙNG</t>
    </r>
  </si>
  <si>
    <t>HRC 2 - lượng còn lại có thể xuất 677t
~800t hàng chưa cán đủ - chờ BGĐ chốt lịch cán bù</t>
  </si>
  <si>
    <t>02.12.2025</t>
  </si>
  <si>
    <t>DUY BẮC 68</t>
  </si>
  <si>
    <t>hẹn muộn nhất 15/12 có LC</t>
  </si>
  <si>
    <t>2000003570 - 0083.T10.2025/HPDQ-TMPHD-NKH - spot - 969t</t>
  </si>
  <si>
    <t>HRC 2 - HÀNG HÓA OK
968t</t>
  </si>
  <si>
    <t>2000003571 - 0084.T10.2025/HPDQ-TMPHD-NKH - spot - 1635t</t>
  </si>
  <si>
    <t>HRC 2 - HÀNG HÓA OK
1634t</t>
  </si>
  <si>
    <t>2000003601- 0085.T10.2025/HPDQ-TMPHD-NKH - spot - 715t</t>
  </si>
  <si>
    <t>HRC 2 - HÀNG HÓA OK
714t</t>
  </si>
  <si>
    <t>2000003573 - 0086.T10.2025/HPDQ-TMPHD-NKH - spot - 553</t>
  </si>
  <si>
    <t>HRC 2 - HÀNG HÓA OK
552t</t>
  </si>
  <si>
    <t>2000003540 - 666A.T11.2025/HPDQ-OTMP-KH  - 1000T - CHƯA CÓ KH NHẬN HÀNG</t>
  </si>
  <si>
    <t>HRC 1
T12.4</t>
  </si>
  <si>
    <t>2000003541 - 666B.T11.2025/HPDQ-TMPHD-KH - 2500T - CHƯA CÓ KH NHẬN HÀNG</t>
  </si>
  <si>
    <t>2000003542 - 666E.T11.2025/HPDQ-TMPHD-KH - 3250T - CHƯA CÓ KH NHẬN HÀNG</t>
  </si>
  <si>
    <t>HRC 1
T01.1</t>
  </si>
  <si>
    <t>2000003536 - 590C.T10.2025/HPDQ-TMPHD-KH - 700T  -CHƯA CÓ KH NHẬN HÀNG</t>
  </si>
  <si>
    <t>HRC 1
T12.3</t>
  </si>
  <si>
    <t>02/12/2025</t>
  </si>
  <si>
    <r>
      <rPr>
        <sz val="14"/>
        <color rgb="FF000000"/>
        <rFont val="Times New Roman"/>
      </rPr>
      <t xml:space="preserve">2000003650 - 576B1.T09.2025/HPDQ-KKNH - </t>
    </r>
    <r>
      <rPr>
        <b/>
        <sz val="14"/>
        <color rgb="FF000000"/>
        <rFont val="Times New Roman"/>
      </rPr>
      <t>CW&gt;25</t>
    </r>
  </si>
  <si>
    <t>HRC 2 - T12.1
dự kiến 13-14/12 nk</t>
  </si>
  <si>
    <t>2000003400 - 457.T06.2025/HPDQ-VISA - 20T</t>
  </si>
  <si>
    <t>TT, chờ kế hoạch tàu</t>
  </si>
  <si>
    <t>2000003664 - 572B.T09.2025/HPDQ-VISA-KH - 400T</t>
  </si>
  <si>
    <t>2000003651 - 616C.T08.2025/HPDQ-KKNH-KH</t>
  </si>
  <si>
    <t>HRC 1 - T12.1
dự kiến 2-3/12 nk</t>
  </si>
  <si>
    <t>2000003649 - 616C.T08.2025/HPDQ-KKNH-KH</t>
  </si>
  <si>
    <t>26/11</t>
  </si>
  <si>
    <t>2000003517 - 615C.T10.2025/HPDQ-ASIA-KH, LSD 5/1/2026 (CW 25t)</t>
  </si>
  <si>
    <t>2000003518 - 615D.T10.2025/HPDQ-ASIA-KH, LSD 5/1/2026 (CW 25t)</t>
  </si>
  <si>
    <t>2000003667- 590F.T10.2025/HPDQ-TMP-KH - 6000T - chưa có KH nhận hàng</t>
  </si>
  <si>
    <t>HRC 2 - T12.1 13-14/12 nk
HRC 2 - T12.2 20-21/12 nk</t>
  </si>
  <si>
    <t>2000003666 - 590F.T10.2025/HPDQ-TMP-KH - 4725T- chưa có KH nhận hàng</t>
  </si>
  <si>
    <t>HRC 1 - T12.2</t>
  </si>
  <si>
    <t>2000003636 - 590F.T10.2025/HPDQ-TMP-KH - 275T- chưa có KH nhận hàng</t>
  </si>
  <si>
    <t>duyệt được bất kỳ lúc nào</t>
  </si>
  <si>
    <t>2000003622 - 599.T10.2025/HPDQ-HSQN-KH - 2000 tấn</t>
  </si>
  <si>
    <t xml:space="preserve">HRC 2 - T11.4 1,5ktdự kiến 6-7/12 nk
HRC 2 - T12.1 500t dự kiến 13-14/12 nk
</t>
  </si>
  <si>
    <t>2000003470 - 569C.T09.2025/HPDQ-KD-KH - 200 tấn skin
XUẤT HẾT MAPPING</t>
  </si>
  <si>
    <t>duyệt lúc nào cũng được</t>
  </si>
  <si>
    <t>2000003639 - 606.T10.2025/HPDQ-KD-KH - 200 tấn skin
XUẤT HẾT MAPPING</t>
  </si>
  <si>
    <t>HRC 2 - T12.1
dự kiến 9-10/12 nk</t>
  </si>
  <si>
    <t>T/T khi có lịch tàu</t>
  </si>
  <si>
    <t>2000003642 - 656.T11.2025/HPDQ-SUNSCO-KH - T/T</t>
  </si>
  <si>
    <t>TT</t>
  </si>
  <si>
    <t>2000003633 - 652.T11.2025/HPDQ-TL-KH - 500T</t>
  </si>
  <si>
    <t>đã có LC</t>
  </si>
  <si>
    <t>2000003634 - 659.T11.2025/HPDQ-QM-KH - 700T - CW MAX: 29T</t>
  </si>
  <si>
    <t>2000003615 - 651.T11.2025/HPDQ-NK-KH - 13950 tấn 
khách xin giao tách khoảng 5kt/tàu</t>
  </si>
  <si>
    <t>2000003628 - 530B.T08.2025/HPDQ-TVN-KH</t>
  </si>
  <si>
    <t>HRC 2 - T11.4  1094t
6-7/12</t>
  </si>
  <si>
    <t>2000003632 - 576A.T09.2025/HPDQ-TVN-KH</t>
  </si>
  <si>
    <t>HRC 2 - đã map 680t
6-7/12</t>
  </si>
  <si>
    <t>2000003568 - 590G.T10.2025/HPDQ-TMPHD-KH- - CHƯA CÓ KH NHẬN HÀNG</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</si>
  <si>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</si>
  <si>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</si>
  <si>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</si>
  <si>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</si>
  <si>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2000003663 - 649.T11.2025/KH/HPDQ-JFE - 5kt</t>
  </si>
  <si>
    <t>HRC 1 - T12.1
dự kiến 3-4/12 nk trước 3k5, còn lại 1k5 8-9/12 nk</t>
  </si>
  <si>
    <t>2000003665 - 650.T11.2025/KH/HPDQ-JFE - 1kt</t>
  </si>
  <si>
    <t>2</t>
  </si>
  <si>
    <t>2000003561- 600B.T10.2025/HPDQ-HSPM-KH - 1990t</t>
  </si>
  <si>
    <t>2000003660 - 635A.T11.2025/HPDQ-HSPM-KH - 1980t</t>
  </si>
  <si>
    <t>HRC 1 - T12.1
dự kiến 8-9/12 nk</t>
  </si>
  <si>
    <t>2000003661 - 635A.T11.2025/HPDQ-HSPM-KH - 220t</t>
  </si>
  <si>
    <t>HRC 1 - T12.1
lấy tồn</t>
  </si>
  <si>
    <t>2000003662 - 635A.T11.2025/HPDQ-HSPM-KH - 5960t</t>
  </si>
  <si>
    <t>2000003647 - 530A.T08.2025/HPDQ-TVN-KH</t>
  </si>
  <si>
    <t>11/12/2025</t>
  </si>
  <si>
    <t xml:space="preserve">2000003652 - 576B.T09.2025/HPDQ-TVN-KH </t>
  </si>
  <si>
    <t>HRC 1 - T12.1
dự kiến 6-7/12 nk</t>
  </si>
  <si>
    <r>
      <rPr>
        <sz val="14"/>
        <color rgb="FF000000"/>
        <rFont val="Times New Roman"/>
      </rPr>
      <t xml:space="preserve">2000003669 - 576B2.T09.2025/HPDQ-TVN-KH - </t>
    </r>
    <r>
      <rPr>
        <b/>
        <sz val="14"/>
        <color rgb="FF000000"/>
        <rFont val="Times New Roman"/>
      </rPr>
      <t>CW&gt;25</t>
    </r>
  </si>
  <si>
    <t>2000003653 - 576D.T09.2025/HPDQ-TVN-KH</t>
  </si>
  <si>
    <t>ĐÀ NẰNG</t>
  </si>
  <si>
    <t>666C.T11.2025/HPDQ-TMPHD-KH- 2020t- CHƯA CÓ KH NHẬN HÀNG</t>
  </si>
  <si>
    <t>hrc 2 - t12.1
Chưa có đơn này</t>
  </si>
  <si>
    <t>01-02.12.2025</t>
  </si>
  <si>
    <t>NỘI BỘ</t>
  </si>
  <si>
    <t>2200002345 - 587B.T10.2025/HPDQ-THP-KH đi Hải Phòng 6600TAN HRC1</t>
  </si>
  <si>
    <t>HRC 2 216t
29-30/11 nk 1,5kt
còn lại 6-7/12</t>
  </si>
  <si>
    <t>2200002330 - 587D.T10.2025/HPDQ-THP-KH đi Hải Phòng 2905TAN HRC2</t>
  </si>
  <si>
    <t>HRC 2 - T11.4
6-7/12</t>
  </si>
  <si>
    <t>25/11</t>
  </si>
  <si>
    <r>
      <rPr>
        <sz val="14"/>
        <color rgb="FF000000"/>
        <rFont val="Times New Roman"/>
      </rPr>
      <t xml:space="preserve">2000003619 - 589.T10.2025/HPDQ-TMMN-KH - 7.3kt 
</t>
    </r>
    <r>
      <rPr>
        <sz val="14"/>
        <color rgb="FFFF0000"/>
        <rFont val="Times New Roman"/>
      </rPr>
      <t>LSD 10/12, khách muốn nhận hàng vào t12</t>
    </r>
  </si>
  <si>
    <t>HRC 1 - T11.4 đã map 3k1
dự kiến 26-27 nk trước 4k, còn lại 3k3 4-5/12 nk</t>
  </si>
  <si>
    <r>
      <rPr>
        <sz val="14"/>
        <color rgb="FF000000"/>
        <rFont val="Times New Roman"/>
      </rPr>
      <t xml:space="preserve">2000003621 - 589.T10.2025/HPDQ-TMMN-KH - 1kt 
</t>
    </r>
    <r>
      <rPr>
        <sz val="14"/>
        <color rgb="FFFF0000"/>
        <rFont val="Times New Roman"/>
      </rPr>
      <t>LSD 10/12, khách muốn nhận hàng vào t12</t>
    </r>
  </si>
  <si>
    <t>HRC 2 - T11.4
dự kiến 6-7/12</t>
  </si>
  <si>
    <t xml:space="preserve">2200002349 - 100.T11.2025/HPDQ-THP-NKH đi Hải Phòng 2613TAN HRC1 - CÂN TẢI </t>
  </si>
  <si>
    <t>2200002353 - 102.T11.2025/HPDQ-OTHY-NKH đi Hải Phòng 407TAN HRC2</t>
  </si>
  <si>
    <t>VIỆT THUẬN 12-07</t>
  </si>
  <si>
    <t>2200002343 - 665A.T11.2025/HPDQ-THP-KH 11000TAN HRC2 đi Hải Phòng</t>
  </si>
  <si>
    <t>HRC 2 - T11.4
5.1kt ở T11.4 / dự kiến 2kt nk 29-30/11
còn lại 6-7/12</t>
  </si>
  <si>
    <t>2200002341 - 665C.T11.2025/HPDQ-THP-KH 1250TAN HRC2 đi Hải Phòng</t>
  </si>
  <si>
    <t>2200002342 - 665C.T11.2025/HPDQ-THP-KH 3750TAN HRC1 đi Hải Phòng</t>
  </si>
  <si>
    <t>HRC 1 
T12.1 700 tấn 6-7/12 nk</t>
  </si>
  <si>
    <t>2000003563 - 598.T10.2025/HPDQ-HSNS-KH - 300t</t>
  </si>
  <si>
    <t>2000003535 - 633A.T11.2025/HPDQ-HSNS-KH - xuất nốt mapping</t>
  </si>
  <si>
    <t>HRC 1 - HÀNG HÓA OK</t>
  </si>
  <si>
    <t>2000003643 - 633A.T11.2025/HPDQ-HSNS-KH - 1700t</t>
  </si>
  <si>
    <t>2000003644 - 633A.T11.2025/HPDQ-HSNS-KH - 100t</t>
  </si>
  <si>
    <t>2000003645 - 633A.T11.2025/HPDQ-HSNS-KH - 3910t</t>
  </si>
  <si>
    <t>633B.T11.2025/HPDQ-HSNS-KH - 300t</t>
  </si>
  <si>
    <t>hrc 2 - t12.2
20-21/12 nk</t>
  </si>
  <si>
    <t>2-3</t>
  </si>
  <si>
    <t>2200002292 - 587C.T10.2025/HPDQ-THP-KH đi Hải Phòng 10000TAN HRC1</t>
  </si>
  <si>
    <t>sớm nhất 1/12</t>
  </si>
  <si>
    <t>2000003640 - 630.T11.2025/HPDQ-NNP-KH - 1/12 có LC 
(NHẬT NAM PHÁT KHÁCH MỚI)
XUẤT HẾT MAPPING</t>
  </si>
  <si>
    <t>sớm nhất 27/11</t>
  </si>
  <si>
    <r>
      <rPr>
        <sz val="14"/>
        <color rgb="FF000000"/>
        <rFont val="Times New Roman"/>
      </rPr>
      <t xml:space="preserve">2000003641 - 657E.T11.2025/HPDQ-KD-KH 
đơn này đi Hải Phòng chuẩn rồi nha cả nhà
</t>
    </r>
    <r>
      <rPr>
        <b/>
        <sz val="14"/>
        <color rgb="FFFF0000"/>
        <rFont val="Times New Roman"/>
      </rPr>
      <t>CW&gt;25 tấn</t>
    </r>
  </si>
  <si>
    <t>HRC 2 - T12.1
dự kiến 10-11/12 nk</t>
  </si>
  <si>
    <r>
      <rPr>
        <sz val="14"/>
        <color rgb="FF000000"/>
        <rFont val="Times New Roman"/>
      </rPr>
      <t xml:space="preserve">2000003646 - 628C.T11.2025/HPDQ-VINAS-KH - </t>
    </r>
    <r>
      <rPr>
        <b/>
        <sz val="14"/>
        <color rgb="FF000000"/>
        <rFont val="Times New Roman"/>
      </rPr>
      <t>CW&gt;25 - Khách không nhận han gỉ - Tách 2 tàu không cùng đợt</t>
    </r>
  </si>
  <si>
    <t>666A.T11.2025/HPDQ-OTMP-KH- 2000t- CHƯA CÓ KH NHẬN HÀNG</t>
  </si>
  <si>
    <t>hrc 2 - t12.1
Không thấy đơn này</t>
  </si>
  <si>
    <t>2200002338 - 619B.T11.2025/HPDQ-OTHY-KH đi 2500TAN đi Hải Phòng HRC2</t>
  </si>
  <si>
    <t>HRC 2
6-7/12 nk</t>
  </si>
  <si>
    <t>2200002339 - 619B.T11.2025/HPDQ-OTHY-KH đi 1000TAN đi Hải Phòng HRC1</t>
  </si>
  <si>
    <t>HRC 1 - T11.4
dự kiến 3-4/12 nk</t>
  </si>
  <si>
    <t>2200002340 - 665A.T11.2025/HPDQ-THP-KH 3500TAN đi Hải Phòng HRC1</t>
  </si>
  <si>
    <t>HRC 1 - T12.1
dự kiến 9-10/12 nk</t>
  </si>
  <si>
    <t>666A.T11.2025/HPDQ-OTMP-KH- 3000t - CHƯA CÓ KH NHẬN HÀNG</t>
  </si>
  <si>
    <t>666B.T11.2025/HPDQ-TMPHD-KH - 7000t- CHƯA CÓ KH NHẬN HÀNG</t>
  </si>
  <si>
    <t>2000003657 - 625.T11.2025/HPDQ-XDTP-KH, LSD 15/01/2026</t>
  </si>
  <si>
    <t>1-2</t>
  </si>
  <si>
    <t>27/11</t>
  </si>
  <si>
    <t>2000003658 - 627.T11.2025/HPDQ-TH-KH, LSD 20/01/2026</t>
  </si>
  <si>
    <t>6/12 có LC</t>
  </si>
  <si>
    <t>622.T11.2025/HPDQ-OTMN-KH - 7.99kt</t>
  </si>
  <si>
    <t>622.T11.2025/HPDQ-OTMN-KH - 2.01kt</t>
  </si>
  <si>
    <t>628D.T11.2025/HPDQ-HANOIS-KH - khách không nhận han gỉ</t>
  </si>
  <si>
    <t>HRC2 - T12.2</t>
  </si>
  <si>
    <t>08/12/2025</t>
  </si>
  <si>
    <r>
      <rPr>
        <sz val="14"/>
        <color rgb="FF000000"/>
        <rFont val="Times New Roman"/>
      </rPr>
      <t>2000003654 - 612F.T10.2025/HPDQ-KKNH-KH -</t>
    </r>
    <r>
      <rPr>
        <b/>
        <sz val="14"/>
        <color rgb="FF000000"/>
        <rFont val="Times New Roman"/>
      </rPr>
      <t xml:space="preserve"> CW&gt;25</t>
    </r>
  </si>
  <si>
    <r>
      <rPr>
        <sz val="14"/>
        <color rgb="FF000000"/>
        <rFont val="Times New Roman"/>
      </rPr>
      <t>2000003655 - 612G.T10.2025/HPDQ-KKNH-KH</t>
    </r>
    <r>
      <rPr>
        <b/>
        <sz val="14"/>
        <color rgb="FF000000"/>
        <rFont val="Times New Roman"/>
      </rPr>
      <t xml:space="preserve"> - CW&gt;25</t>
    </r>
  </si>
  <si>
    <r>
      <rPr>
        <sz val="14"/>
        <color rgb="FF000000"/>
        <rFont val="Times New Roman"/>
      </rPr>
      <t>2000003656 - 612H.T10.2025/HPDQ-KKNH-KH</t>
    </r>
    <r>
      <rPr>
        <b/>
        <sz val="14"/>
        <color rgb="FF000000"/>
        <rFont val="Times New Roman"/>
      </rPr>
      <t xml:space="preserve"> - CW&gt;25</t>
    </r>
  </si>
  <si>
    <t>653.T11.2025/HPDQ-TN-KH - 3000t</t>
  </si>
  <si>
    <t>613B.T10.2025/HPDQ-NS-KH - 10,000t</t>
  </si>
  <si>
    <t>662B.T11.2025/HPDQ-NS-KH - 4,000t</t>
  </si>
  <si>
    <t>613A1.T10.2025/HPDQ-TNS-KH - 380t</t>
  </si>
  <si>
    <t>662B.T11.2025/HPDQ-NS-KH - 6,000t</t>
  </si>
  <si>
    <t>635B.T11.2025/HPDQ-HSPM-KH - 5,190t</t>
  </si>
  <si>
    <t>10/12 khách mở LC</t>
  </si>
  <si>
    <t>635C.T11.2025/HPDQ-HSPM-KH - 6,540t</t>
  </si>
  <si>
    <t>635D.T11.2025/HPDQ-HSPM-KH - 800t</t>
  </si>
  <si>
    <t>chưa chốt cảng</t>
  </si>
  <si>
    <t>650.T11.2025/KH/HPDQ-JFE - 3.4kt</t>
  </si>
  <si>
    <t>650.T11.2025/KH/HPDQ-JFE - 600T</t>
  </si>
  <si>
    <t>649.T11.2025/KH/HPDQ-JFE - 500T</t>
  </si>
  <si>
    <r>
      <rPr>
        <sz val="14"/>
        <color rgb="FF000000"/>
        <rFont val="Times New Roman"/>
      </rPr>
      <t xml:space="preserve">649.T11.2025/KH/HPDQ-JFE - 7000T
</t>
    </r>
    <r>
      <rPr>
        <sz val="14"/>
        <color rgb="FFFF0000"/>
        <rFont val="Times New Roman"/>
      </rPr>
      <t>khách yêu cầu giao làm 2 đợt</t>
    </r>
  </si>
  <si>
    <t>530C.T08.2025/HPDQ-TVN-KH</t>
  </si>
  <si>
    <t>09/12/2025</t>
  </si>
  <si>
    <t>616E.T08.2025/HPDQ-KKNH-KH</t>
  </si>
  <si>
    <t>616F.T08.2025/HPDQ-KKNH-KH</t>
  </si>
  <si>
    <t>576C.T09.2025/HPDQ-TVN-KH</t>
  </si>
  <si>
    <t>HRC1 - T12.2</t>
  </si>
  <si>
    <t>05/12/2025</t>
  </si>
  <si>
    <t>628A1.T11.2025/HPDQ-VINAS-KH - khách không nhận han gỉ</t>
  </si>
  <si>
    <t>2-3 - ĐB</t>
  </si>
  <si>
    <t>2000003659 - 632.T11.2025/HPDQ-THACO-KH, LSD 31/12/2025</t>
  </si>
  <si>
    <t>HRC 2 - T12.1</t>
  </si>
  <si>
    <t>2 - ĐB</t>
  </si>
  <si>
    <t xml:space="preserve">Dung Quất </t>
  </si>
  <si>
    <t>655.T11.2025/HPDQ-PVN-KH - LSD 25/01/2026</t>
  </si>
  <si>
    <t>HRC 2 - T12.2</t>
  </si>
  <si>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</si>
  <si>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</si>
  <si>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</si>
  <si>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</si>
  <si>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</si>
  <si>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</si>
  <si>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</si>
  <si>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</si>
  <si>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</si>
  <si>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</si>
  <si>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</si>
  <si>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</si>
  <si>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</si>
  <si>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</si>
  <si>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</si>
  <si>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</si>
  <si>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</si>
  <si>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</si>
  <si>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</si>
  <si>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</si>
  <si>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</si>
  <si>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</si>
  <si>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</si>
  <si>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</si>
  <si>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</si>
  <si>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</si>
  <si>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</si>
  <si>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</si>
  <si>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</si>
  <si>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</si>
  <si>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</si>
  <si>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</si>
  <si>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</si>
  <si>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</si>
  <si>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</si>
  <si>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</si>
  <si>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</si>
  <si>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</si>
  <si>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</si>
  <si>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</si>
  <si>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</si>
  <si>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</si>
  <si>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</si>
  <si>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</si>
  <si>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</si>
  <si>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</si>
  <si>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</si>
  <si>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</si>
  <si>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</si>
  <si>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</si>
  <si>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</si>
  <si>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</si>
  <si>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</si>
  <si>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</si>
  <si>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</si>
  <si>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</si>
  <si>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</si>
  <si>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</si>
  <si>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</si>
  <si>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</si>
  <si>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</si>
  <si>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</si>
  <si>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</si>
  <si>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</si>
  <si>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</si>
  <si>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</si>
  <si>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</si>
  <si>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</si>
  <si>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</si>
  <si>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</si>
  <si>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</si>
  <si>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</si>
  <si>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</si>
  <si>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</si>
  <si>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</si>
  <si>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</si>
  <si>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</si>
  <si>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</si>
  <si>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</si>
  <si>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</si>
  <si>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</si>
  <si>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</si>
  <si>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</si>
  <si>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</si>
  <si>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</si>
  <si>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</si>
  <si>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</si>
  <si>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</si>
  <si>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</si>
  <si>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</si>
  <si>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</si>
  <si>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</si>
  <si>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</si>
  <si>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</si>
  <si>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</si>
  <si>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</si>
  <si>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</si>
  <si>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</si>
  <si>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</si>
  <si>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</si>
  <si>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</si>
  <si>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</si>
  <si>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</si>
  <si>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</si>
  <si>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</si>
  <si>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</si>
  <si>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</si>
  <si>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</si>
  <si>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</si>
  <si>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</si>
  <si>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</si>
  <si>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</si>
  <si>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</si>
  <si>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</si>
  <si>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</si>
  <si>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</si>
  <si>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</si>
  <si>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</si>
  <si>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</si>
  <si>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</si>
  <si>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</si>
  <si>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</si>
  <si>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</si>
  <si>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</si>
  <si>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</si>
  <si>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</si>
  <si>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</si>
  <si>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</si>
  <si>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</si>
  <si>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</si>
  <si>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</si>
  <si>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</si>
  <si>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</si>
  <si>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</si>
  <si>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</si>
  <si>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</si>
  <si>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</si>
  <si>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</si>
  <si>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</si>
  <si>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</si>
  <si>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</si>
  <si>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</si>
  <si>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</si>
  <si>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</si>
  <si>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</si>
  <si>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</si>
  <si>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</si>
  <si>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</si>
  <si>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</si>
  <si>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</si>
  <si>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</si>
  <si>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</si>
  <si>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</si>
  <si>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</si>
  <si>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</si>
  <si>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</si>
  <si>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</si>
  <si>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</si>
  <si>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</si>
  <si>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</si>
  <si>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</si>
  <si>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</si>
  <si>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</si>
  <si>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</si>
  <si>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</si>
  <si>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</si>
  <si>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</si>
  <si>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</si>
  <si>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</si>
  <si>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</si>
  <si>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</si>
  <si>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</si>
  <si>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</si>
  <si>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</si>
  <si>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</si>
  <si>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</si>
  <si>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</si>
  <si>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</si>
  <si>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</si>
  <si>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</si>
  <si>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</si>
  <si>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</si>
  <si>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</si>
  <si>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</si>
  <si>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</si>
  <si>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</si>
  <si>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</si>
  <si>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</si>
  <si>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</si>
  <si>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</si>
  <si>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</si>
  <si>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</si>
  <si>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</si>
  <si>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</si>
  <si>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</si>
  <si>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</si>
  <si>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</si>
  <si>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</si>
  <si>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</si>
  <si>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</si>
  <si>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</si>
  <si>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</si>
  <si>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</si>
  <si>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</si>
  <si>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</si>
  <si>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</si>
  <si>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</si>
  <si>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</si>
  <si>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</si>
  <si>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</si>
  <si>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</si>
  <si>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</si>
  <si>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</si>
  <si>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</si>
  <si>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</si>
  <si>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</si>
  <si>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</si>
  <si>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</si>
  <si>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</si>
  <si>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</si>
  <si>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</si>
  <si>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</si>
  <si>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</si>
  <si>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</si>
  <si>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</si>
  <si>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</si>
  <si>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</si>
  <si>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</si>
  <si>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</si>
  <si>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</si>
  <si>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</si>
  <si>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</si>
  <si>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</si>
  <si>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</si>
  <si>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</si>
  <si>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</si>
  <si>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</si>
  <si>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</si>
  <si>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</si>
  <si>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</si>
  <si>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</si>
  <si>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11k8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</si>
  <si>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</si>
  <si>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</si>
  <si>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</si>
  <si>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</si>
  <si>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</si>
  <si>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</si>
  <si>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</si>
  <si>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</si>
  <si>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</si>
  <si>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</si>
  <si>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</si>
  <si>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</si>
  <si>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</si>
  <si>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</si>
  <si>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</si>
  <si>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</si>
  <si>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</si>
  <si>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</si>
  <si>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</si>
  <si>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</si>
  <si>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</si>
  <si>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</si>
  <si>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</si>
  <si>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</si>
  <si>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</si>
  <si>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</si>
  <si>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</si>
  <si>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</si>
  <si>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</si>
  <si>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</si>
  <si>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</si>
  <si>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</si>
  <si>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</si>
  <si>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</si>
  <si>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</si>
  <si>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</si>
  <si>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</si>
  <si>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</si>
  <si>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</si>
  <si>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</si>
  <si>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t>HẠN CHẾ HAN GỈ TỐI ĐA, ĐƯỢC LÀM HÀNG DƯỚI MƯA NHỎ</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</si>
  <si>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</si>
  <si>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</si>
  <si>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</si>
  <si>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</si>
  <si>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</si>
  <si>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</si>
  <si>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</si>
  <si>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</si>
  <si>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</si>
  <si>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</si>
  <si>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</si>
  <si>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</si>
  <si>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</si>
  <si>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</si>
  <si>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</si>
  <si>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</si>
  <si>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</si>
  <si>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</si>
  <si>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</si>
  <si>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</si>
  <si>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</si>
  <si>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</si>
  <si>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</si>
  <si>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</si>
  <si>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nội bộ</t>
  </si>
  <si>
    <t>2200002342 - 665C.T11.2025/HPDQ-THP-KH 3750TAN HRC1 đi Hải Phòng  - CÂN TẢI, ƯU TIÊN THEO NOTE CÁC LỆNH DƯỚI, TĂNG GIẢM CÂN TẢI TƯƠNG ỨNG</t>
  </si>
  <si>
    <t>HRC 1 - ĐÃ MAP 1k5
Dự kiến 01- 02/12 nk đủ</t>
  </si>
  <si>
    <t>04-05/12 (đang yêu cầu khách mở LC ngày 28/11)</t>
  </si>
  <si>
    <t>2000003638 - 531B3.T08.2025/HPDQ-QTVN-KH - XUẤT HẾT MAPPING</t>
  </si>
  <si>
    <t>HRC 2 - HÀNG HÓA OK
2426t</t>
  </si>
  <si>
    <t>2000003530 - 531B4.T08.2025/HPDQ-OTTP-KH - XUẤT HẾT MAPPING</t>
  </si>
  <si>
    <t>HRC 2 - HÀNG HÓA OK
2657t</t>
  </si>
  <si>
    <t>2000003588 - 592A1.T10.2025/HPDQ-TVĐ-KH - 3KT - LSD 10/12
Khách hẹn 21/11 mở LC cùng đơn 592A2 - xuất hết mapping</t>
  </si>
  <si>
    <t>HRC 2 - T11.3 - đã map 2488t
400t chờ skin ,dự kiến 27-28/11 nk</t>
  </si>
  <si>
    <t>2000003619 - 589.T10.2025/HPDQ-TMMN-KH - 7.3kt 
LSD 10/12, khách muốn nhận hàng vào t12 (tàu này phải T12 mới đến HP đc nha) -xuất vừa đủ 4000t</t>
  </si>
  <si>
    <t>HRC 1 - T11.4 đã map 4k7
dự kiến 4-5/12 nk</t>
  </si>
  <si>
    <t>2000003594 - 589.T10.2025/HPDQ-TMMN-KH - 1.7kt 
LSD 10/12, khách muốn nhận hàng vào t12 (tàu này phải T12 mới đến HP đc nha) - xuất hết mapping</t>
  </si>
  <si>
    <t>HRC 1 - ĐÃ MAP 244 tấn
HÀNG HÓA OK</t>
  </si>
  <si>
    <t>2200002331 - 0097.T11.2025/HPDQ-THP-NKH 916TAN HRC1 đi Hải Phòng  - xuất hết mapping</t>
  </si>
  <si>
    <t>2000003589 -  592A2.T10.2025/HPDQ-TVĐ-KH - 4KT - LSD 10/12
Khách hẹn 21/11 mở LC cùng đơn 592A1 - xuất hết mapping</t>
  </si>
  <si>
    <t>HRC 2 - T11.3 - đã map 3678t/ còn 500t chờ skin
dự kiến 27-28/11 nk</t>
  </si>
  <si>
    <t>2200002345 - 587B.T10.2025/HPDQ-THP-KH đi Hải Phòng 6600TAN HRC1  -xuất vừa đủ 1500t</t>
  </si>
  <si>
    <t>HRC 2 - HÀNG HÓA OK
1679t</t>
  </si>
  <si>
    <t>2200002343 - 665A.T11.2025/HPDQ-THP-KH 11000TAN HRC2 đi Hải Phòng  - xuất hết mappinng</t>
  </si>
  <si>
    <t>HRC 2 - HÀNG HÓA OK
3827t</t>
  </si>
  <si>
    <t>23.11.2025</t>
  </si>
  <si>
    <t>2000003585 - 603B.T10.2025/HPDQ-NK-KH - 12.440T - cân tải, ưu tiên xuất hết các lệnh dưới, tăng giảm cân tải tương ứng
XUẤT HẾT MAPPING HÀNG 1230 + 1260 + 2.00*1217</t>
  </si>
  <si>
    <t>2000003576 - 601.T10.2025/KH/HPDQ-JFE (LOT 2) - 2.8kt
 phải đủ dung sai - xuất hết mapping</t>
  </si>
  <si>
    <t>HRC 2 - Hàng hóa ok
2846t</t>
  </si>
  <si>
    <t>2000003620 - 601.T10.2025/KH/HPDQ-JFE (LOT 2) - 600t - xuất hết mapping</t>
  </si>
  <si>
    <t>HRC 1 - T11.4 đã map 628 tấn
HÀNG HÓA OK</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</si>
  <si>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</si>
  <si>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</si>
  <si>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</si>
  <si>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</si>
  <si>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</si>
  <si>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</si>
  <si>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</si>
  <si>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</si>
  <si>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</si>
  <si>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</si>
  <si>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</si>
  <si>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T11.3 29-30/11 nk
đã map 1000t/ còn 300t chờ skin</t>
  </si>
  <si>
    <t>Chuyển tải</t>
  </si>
  <si>
    <t>2000003586 - 603A.T10.2025/HPDQ-NK-KH - 5000T - cân tải, ưu tiên xuất hết các lệnh dưới, tăng giảm cân tải tương ứng - xếp sau cùng dỡ đầu tiên</t>
  </si>
  <si>
    <t>HRC 2 - HÀNG HÓA OK
3879t</t>
  </si>
  <si>
    <t xml:space="preserve">2000003585 - 603B.T10.2025/HPDQ-NK-KH - 12.440T - XUẤT HẾT MAPPING </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</si>
  <si>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</si>
  <si>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</si>
  <si>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</si>
  <si>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</si>
  <si>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</si>
  <si>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</si>
  <si>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2200002245 - 586E.T10.2025/HPDQ-SPTLA-KH
-  Khách đồng ý về Tân Thuận - xuất hết mapping</t>
  </si>
  <si>
    <t>HRC 2 - hàng hóa ok
2256t</t>
  </si>
  <si>
    <t>2000003587 - 603B.T10.2025/HPDQ-NK-KH - 1350T - XUẤT HẾT MAPPING</t>
  </si>
  <si>
    <t>2000003585 - 603B.T10.2025/HPDQ-NK-KH - 12.440T - XUẤT HẾT MAPPING</t>
  </si>
  <si>
    <t>HRC 1 - đã map 11k8
dự kiến 27/11 nk đủ</t>
  </si>
  <si>
    <r>
      <rPr>
        <sz val="14"/>
        <color rgb="FF000000"/>
        <rFont val="Times New Roman"/>
      </rPr>
      <t>2000003614 - 651.T11.2025/HPDQ-NK-KH - 4500 tấn -</t>
    </r>
    <r>
      <rPr>
        <b/>
        <sz val="14"/>
        <color rgb="FFFF0000"/>
        <rFont val="Times New Roman"/>
      </rPr>
      <t xml:space="preserve"> CÂN TẢI, ĐẢM BẢO ĐỦ DUNG SAI TỪNG DÒNG HÀNG
</t>
    </r>
    <r>
      <rPr>
        <sz val="14"/>
        <color rgb="FF000000"/>
        <rFont val="Times New Roman"/>
      </rPr>
      <t>giao giãn với lệnh 2*3615 khoảng 3-5 hôm</t>
    </r>
  </si>
  <si>
    <t>HRC 1 - T11.4 ĐÃ MAP 830 Tấn
dự kiến 26-27/11 nk trước 3k, còn lại 1k5 dự kiến 28-29 nk.</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</si>
  <si>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</si>
  <si>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</si>
  <si>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</si>
  <si>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</si>
  <si>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</si>
  <si>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</si>
  <si>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</si>
  <si>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đã map 200 tấn
HÀNG HÓA OK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</si>
  <si>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</si>
  <si>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</si>
  <si>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</si>
  <si>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2879t</t>
  </si>
  <si>
    <t>25.11.2025</t>
  </si>
  <si>
    <t>2000003668 - 599.T10.2025/HPDQ-HSQN-KH - 6500t
còn bao nhiêu xuất hết, phải đủ dung sai</t>
  </si>
  <si>
    <t>HRC 1 - ĐÃ MAP 2448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</si>
  <si>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</si>
  <si>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</si>
  <si>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</si>
  <si>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</si>
  <si>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</si>
  <si>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</si>
  <si>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</si>
  <si>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</si>
  <si>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</si>
  <si>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5243 tấn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</si>
  <si>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</si>
  <si>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</si>
  <si>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</si>
  <si>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</si>
  <si>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</si>
  <si>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</si>
  <si>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</si>
  <si>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</si>
  <si>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</si>
  <si>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4126 tấn
HÀNG HÓA OK 
CÒN HÀNG NHƯNG ƯU TIÊN MAP ÂM</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</si>
  <si>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</si>
  <si>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</si>
  <si>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</si>
  <si>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HÀNG HÓA OK
502t</t>
  </si>
  <si>
    <t>27.11.2025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</si>
  <si>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</si>
  <si>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</si>
  <si>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</si>
  <si>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</si>
  <si>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</si>
  <si>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TT,26/11</t>
  </si>
  <si>
    <t>2000003554 - 566E.T09.2025/HPDQ-MOV(VNO)-KH - 3100t -ƯU TIÊN 4 ĐI SỚM
CÂN TẢI</t>
  </si>
  <si>
    <t>HRC 2 - hàng hóa ok
3052t</t>
  </si>
  <si>
    <t>PKD báo chỉ xuất đc tối đa 3020t, Tân Thuận</t>
  </si>
  <si>
    <t>2000003626 - 616D.T08.2025/HPDQ-TVN-KH - 4500 - cân tải, tăng giảm tương ứng sau khi xuất lệnh dưới</t>
  </si>
  <si>
    <r>
      <rPr>
        <sz val="14"/>
        <color rgb="FF000000"/>
        <rFont val="Times New Roman"/>
      </rPr>
      <t xml:space="preserve">2000003561 - 600B.T10.2025/HPDQ-HSPM-KH
xuất hết mapping, phải đủ dung sai
</t>
    </r>
    <r>
      <rPr>
        <sz val="14"/>
        <color rgb="FFFF0000"/>
        <rFont val="Times New Roman"/>
      </rPr>
      <t>Hàng load đầu tiên để dỡ sau cùng</t>
    </r>
  </si>
  <si>
    <t>HRC 2 - hàng hóa ok
2091t</t>
  </si>
  <si>
    <t>2000003521 - 566B.T09.2025/HPDQ-VNO-KH - 3100T  -ƯU TIÊN 3 ĐI SỚM (ƯU TIÊN XUẤT TRƯƠC SIZE 1.75X1262)</t>
  </si>
  <si>
    <t xml:space="preserve">2000003520 - 566A.T09.2025/HPDQ-MOV (VNO)-KH - 3300T  -ƯU TIÊN 2 ĐI SỚM </t>
  </si>
  <si>
    <t>HRC 2 - T11.2 đã map 2727t
dự kiến 26-27/11 nk</t>
  </si>
  <si>
    <t>2000003627 - 616B.T08.2025/HPDQ-KKNH-KH</t>
  </si>
  <si>
    <t>HRC 1 - T11.4 ĐÃ MAP 2K4
dự kiến 30/11-1/12 nk</t>
  </si>
  <si>
    <t>2000003554 - 566E.T09.2025/HPDQ-MOV(VNO)-KH - 3100t -ƯU TIÊN 4 ĐI SỚM</t>
  </si>
  <si>
    <t>HRC 2 - T11.3 27-28/11 nk
3052t, còn 25t chờ skin chốt SO</t>
  </si>
  <si>
    <t>2000003556 - 566G.T09.2025/HPDQ-PHM(VNO)-KH - 1650T -ƯU TIÊN 4 ĐI SỚM</t>
  </si>
  <si>
    <t>HRC 2 - đã map 1203t, còn 500t chờ skin
dự kiến 26-27/11 nk</t>
  </si>
  <si>
    <t>28/11 có LC</t>
  </si>
  <si>
    <t>2000003553 - 566D.T09.2025/HPDQ-VNO-KH - 3000t -ƯU TIÊN ĐI SỚM</t>
  </si>
  <si>
    <t>HRC 2 - T11.3 đã map 2565t
300t chờ skin 29-30/11 nk</t>
  </si>
  <si>
    <t>2000003613- 566C.T09.2025/HPDQ-VNO-KH - 3400T -ƯU TIÊN ĐI SỚM</t>
  </si>
  <si>
    <t>HRC 2 - T11.2 + T11.3 đã map 2k9
dự kiến 27-28/11 nk (400t skin, 300 chưa nk)</t>
  </si>
  <si>
    <t>muộn nhất 28/11 mở LC, lịch này chưa chắc chắn</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</si>
  <si>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</si>
  <si>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</si>
  <si>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</si>
  <si>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T11.4 ĐÃ MAP 3K5
dự kiến 30/11-01/12 nk</t>
  </si>
  <si>
    <t>EVER PROGRESS</t>
  </si>
  <si>
    <t>Ravenna. Marcegaglia's berth</t>
  </si>
  <si>
    <t>2400001354 - 154.T11-25/HPDQ-MARCE</t>
  </si>
  <si>
    <t>HRC 2 - T11.1 &amp; T11.2 đã map 33kt
dự kiến 25-26/11 nk đủ</t>
  </si>
  <si>
    <t>28-29.11.2025</t>
  </si>
  <si>
    <t>2000003563 - 598.T10.2025/HPDQ-HSNS-KH</t>
  </si>
  <si>
    <t>HRC 2 
29-30/11 dk nk - đã map 973t</t>
  </si>
  <si>
    <t>2000003564 - 598.T10.2025/HPDQ-HSNS-KH</t>
  </si>
  <si>
    <t>HRC 1 - HÀNG HÓA OK
1628</t>
  </si>
  <si>
    <t>HRC 1 - đã map 11K3
HÀNG HÓA OK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</si>
  <si>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</si>
  <si>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</si>
  <si>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</si>
  <si>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</si>
  <si>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</si>
  <si>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</si>
  <si>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</si>
  <si>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</si>
  <si>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</si>
  <si>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27.11</t>
  </si>
  <si>
    <t>2200002300 - 0077.T10.2025/HPDQ-OTĐN-NKH 181TAN đi Đà Nẵng HRC1</t>
  </si>
  <si>
    <t>HRC 1 - HÀNG HÓA OK
181 tấn</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</si>
  <si>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</si>
  <si>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</si>
  <si>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</si>
  <si>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</si>
  <si>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</si>
  <si>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</si>
  <si>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2000003607 - 590D1.T10.2025/HPDQ-TMPHD-KH- 1008t -- CHƯA CÓ KH NHẬN HÀNG</t>
  </si>
  <si>
    <t>HRC 2 - 498t
dự kiến 29-30/11 nk 500t
còn lại 6-7/12 nk</t>
  </si>
  <si>
    <t>2000003608 - 590D2.T10.2025/HPDQ-TMPHD-KH - 2072t - CHƯA CÓ KH NHẬN HÀNG</t>
  </si>
  <si>
    <t>HRC 2 - T11.4 467t
dự kiến 29-30/11 nk 1kt
còn lại 6-7/12 nk</t>
  </si>
  <si>
    <t>18.11</t>
  </si>
  <si>
    <t>2200002277 - 0069.T10.2025/HPDQ-OTĐN-NKH HRC1 đi Đà Nẵng 419TAN</t>
  </si>
  <si>
    <t>SPOT HRC 1
HÀNG HÓA OK
419 tấn</t>
  </si>
  <si>
    <t>SPOT HRC 1 - HÀNG HÓA OK</t>
  </si>
  <si>
    <t>2200002351 - 100.T11.2025/HPDQ-THP-NKH đi Hải Phòng 1588TAN HRC2 - XUẤT HẾT MAPPING</t>
  </si>
  <si>
    <t>NAM PHÁT 268</t>
  </si>
  <si>
    <r>
      <rPr>
        <sz val="14"/>
        <color rgb="FF000000"/>
        <rFont val="Times New Roman"/>
      </rPr>
      <t xml:space="preserve">2000003629 - 616H.T08.2025/HPDQ-KKNH-KH - </t>
    </r>
    <r>
      <rPr>
        <b/>
        <sz val="14"/>
        <color rgb="FFFF0000"/>
        <rFont val="Times New Roman"/>
      </rPr>
      <t>CW&gt;25</t>
    </r>
  </si>
  <si>
    <t>HRC 2 hàng hóa ok
3177t</t>
  </si>
  <si>
    <t>29.11.20225</t>
  </si>
  <si>
    <t>2000003615 - 651.T11.2025/HPDQ-NK-KH - 13950 tấn - CÂN TẢI
khách xin giao tách khoảng 5kt/tàu</t>
  </si>
  <si>
    <t>HRC 2 - đã map 2549 đủ cho taù này
6-7/12</t>
  </si>
  <si>
    <r>
      <rPr>
        <sz val="14"/>
        <color rgb="FF000000"/>
        <rFont val="Times New Roman"/>
      </rPr>
      <t xml:space="preserve">2000003616 - 606.T10.2025/HPDQ-KD-KH - 2300 tấn - đã có LC
</t>
    </r>
    <r>
      <rPr>
        <b/>
        <sz val="14"/>
        <color rgb="FFFF0000"/>
        <rFont val="Times New Roman"/>
      </rPr>
      <t>CW&gt;25 tấn</t>
    </r>
  </si>
  <si>
    <t>HRC 2 - Hàng hóa ok
2263t</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</si>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</sst>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50">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b/>
      <sz val="14"/>
      <color theme="9"/>
      <name val="Times New Roman"/>
      <family val="1"/>
    </font>
    <font>
      <sz val="11"/>
      <color rgb="FFFF0000"/>
      <name val="Aptos"/>
    </font>
    <font>
      <b/>
      <sz val="11"/>
      <color rgb="FFFF0000"/>
      <name val="Aptos"/>
      <family val="2"/>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0DADA"/>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96">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29"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5"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164"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5"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5" fontId="3" fillId="5" borderId="8" xfId="1" applyNumberFormat="1" applyFont="1" applyFill="1" applyBorder="1" applyAlignment="1">
      <alignment horizontal="center" vertical="center"/>
    </xf>
    <xf numFmtId="169"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5"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9"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6" fillId="0" borderId="8" xfId="0" applyFont="1" applyBorder="1" applyAlignment="1">
      <alignment horizontal="center" vertical="center" wrapText="1"/>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5" fontId="106" fillId="23" borderId="8" xfId="1" applyNumberFormat="1" applyFont="1" applyFill="1" applyBorder="1" applyAlignment="1">
      <alignment horizontal="center" vertical="center"/>
    </xf>
    <xf numFmtId="165" fontId="104" fillId="23" borderId="8" xfId="1" applyNumberFormat="1" applyFont="1" applyFill="1" applyBorder="1" applyAlignment="1">
      <alignment horizontal="center" vertical="center"/>
    </xf>
    <xf numFmtId="169" fontId="104" fillId="23" borderId="8" xfId="0" applyNumberFormat="1" applyFont="1" applyFill="1" applyBorder="1" applyAlignment="1">
      <alignment horizontal="center" vertical="center" wrapText="1"/>
    </xf>
    <xf numFmtId="165"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xf>
    <xf numFmtId="165"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5"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9" fontId="104" fillId="0" borderId="8" xfId="1" applyNumberFormat="1" applyFont="1" applyFill="1" applyBorder="1" applyAlignment="1">
      <alignment horizontal="right" vertical="center"/>
    </xf>
    <xf numFmtId="165" fontId="3" fillId="23" borderId="22" xfId="1" applyNumberFormat="1" applyFont="1" applyFill="1" applyBorder="1" applyAlignment="1">
      <alignment horizontal="center" vertical="center"/>
    </xf>
    <xf numFmtId="0" fontId="117" fillId="0" borderId="12" xfId="0" applyFont="1" applyBorder="1" applyAlignment="1">
      <alignment vertical="center" wrapText="1"/>
    </xf>
    <xf numFmtId="165"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9" fontId="104" fillId="0" borderId="8" xfId="1" applyNumberFormat="1" applyFont="1" applyBorder="1" applyAlignment="1">
      <alignment horizontal="right" vertical="center"/>
    </xf>
    <xf numFmtId="165" fontId="115" fillId="0" borderId="8" xfId="1" applyNumberFormat="1" applyFont="1" applyFill="1" applyBorder="1" applyAlignment="1">
      <alignment vertical="center" wrapText="1"/>
    </xf>
    <xf numFmtId="166"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6"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9"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164" fontId="3" fillId="2" borderId="8" xfId="1" applyFont="1" applyFill="1" applyBorder="1" applyAlignment="1">
      <alignment horizontal="center"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5"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0" fontId="101" fillId="0" borderId="8" xfId="0" applyFont="1" applyBorder="1" applyAlignment="1">
      <alignment horizontal="left" vertical="center"/>
    </xf>
    <xf numFmtId="0" fontId="9" fillId="2" borderId="8" xfId="0" applyFont="1" applyFill="1" applyBorder="1" applyAlignment="1">
      <alignment horizontal="left" vertical="center"/>
    </xf>
    <xf numFmtId="0" fontId="3" fillId="3" borderId="8" xfId="0" applyFont="1" applyFill="1" applyBorder="1" applyAlignment="1">
      <alignment horizontal="center" vertical="center"/>
    </xf>
    <xf numFmtId="0" fontId="12" fillId="3" borderId="8" xfId="0" applyFont="1" applyFill="1" applyBorder="1" applyAlignment="1">
      <alignment horizontal="left" vertical="center"/>
    </xf>
    <xf numFmtId="0" fontId="9" fillId="2" borderId="8" xfId="0" applyFont="1" applyFill="1" applyBorder="1" applyAlignment="1">
      <alignment horizontal="center" vertical="center" wrapText="1"/>
    </xf>
    <xf numFmtId="3" fontId="135" fillId="0" borderId="5" xfId="0" applyNumberFormat="1" applyFont="1" applyBorder="1"/>
    <xf numFmtId="0" fontId="104" fillId="23" borderId="17" xfId="0" applyFont="1" applyFill="1" applyBorder="1" applyAlignment="1">
      <alignment horizontal="center" vertical="center" wrapText="1"/>
    </xf>
    <xf numFmtId="0" fontId="27" fillId="4" borderId="8" xfId="0" applyFont="1" applyFill="1" applyBorder="1" applyAlignment="1">
      <alignment horizontal="center" vertical="center"/>
    </xf>
    <xf numFmtId="0" fontId="106" fillId="4" borderId="8" xfId="0" applyFont="1" applyFill="1" applyBorder="1" applyAlignment="1">
      <alignment horizontal="center" vertical="center" wrapText="1"/>
    </xf>
    <xf numFmtId="0" fontId="13" fillId="4" borderId="8" xfId="0" applyFont="1" applyFill="1" applyBorder="1" applyAlignment="1">
      <alignment horizontal="center" vertical="center"/>
    </xf>
    <xf numFmtId="165" fontId="13" fillId="4" borderId="8" xfId="1" applyNumberFormat="1" applyFont="1" applyFill="1" applyBorder="1" applyAlignment="1">
      <alignment horizontal="center" vertical="center"/>
    </xf>
    <xf numFmtId="0" fontId="13" fillId="4" borderId="8" xfId="0" applyFont="1" applyFill="1" applyBorder="1" applyAlignment="1">
      <alignment horizontal="center" vertical="center" wrapText="1"/>
    </xf>
    <xf numFmtId="0" fontId="13" fillId="4" borderId="8" xfId="0" applyFont="1" applyFill="1" applyBorder="1" applyAlignment="1">
      <alignment horizontal="left" vertical="center" wrapText="1"/>
    </xf>
    <xf numFmtId="169" fontId="13" fillId="4" borderId="8" xfId="1" applyNumberFormat="1" applyFont="1" applyFill="1" applyBorder="1" applyAlignment="1">
      <alignment horizontal="right" vertical="center"/>
    </xf>
    <xf numFmtId="0" fontId="74" fillId="4" borderId="8" xfId="0" applyFont="1" applyFill="1" applyBorder="1" applyAlignment="1">
      <alignment horizontal="center" vertical="center" wrapText="1"/>
    </xf>
    <xf numFmtId="0" fontId="9" fillId="4" borderId="8" xfId="0" applyFont="1" applyFill="1" applyBorder="1" applyAlignment="1">
      <alignment horizontal="left" vertical="center"/>
    </xf>
    <xf numFmtId="49" fontId="9" fillId="4" borderId="8" xfId="0" applyNumberFormat="1" applyFont="1" applyFill="1" applyBorder="1" applyAlignment="1">
      <alignment horizontal="center" vertical="center"/>
    </xf>
    <xf numFmtId="0" fontId="13" fillId="4" borderId="8" xfId="0" applyFont="1" applyFill="1" applyBorder="1" applyAlignment="1">
      <alignment vertical="center"/>
    </xf>
    <xf numFmtId="0" fontId="104" fillId="4" borderId="8" xfId="0" applyFont="1" applyFill="1" applyBorder="1" applyAlignment="1">
      <alignment horizontal="center" vertical="center" wrapText="1"/>
    </xf>
    <xf numFmtId="165" fontId="3" fillId="4" borderId="8" xfId="1" applyNumberFormat="1" applyFont="1" applyFill="1" applyBorder="1" applyAlignment="1">
      <alignment horizontal="center" vertical="center"/>
    </xf>
    <xf numFmtId="0" fontId="104" fillId="4" borderId="8" xfId="0" applyFont="1" applyFill="1" applyBorder="1" applyAlignment="1">
      <alignment horizontal="center" vertical="center"/>
    </xf>
    <xf numFmtId="0" fontId="12" fillId="4" borderId="8" xfId="0" applyFont="1" applyFill="1" applyBorder="1" applyAlignment="1">
      <alignment vertical="center" wrapText="1"/>
    </xf>
    <xf numFmtId="169" fontId="3" fillId="4" borderId="16" xfId="1" applyNumberFormat="1" applyFont="1" applyFill="1" applyBorder="1" applyAlignment="1">
      <alignment horizontal="right" vertical="center"/>
    </xf>
    <xf numFmtId="0" fontId="105" fillId="4" borderId="8" xfId="0" applyFont="1" applyFill="1" applyBorder="1" applyAlignment="1">
      <alignment horizontal="center" vertical="center" wrapText="1"/>
    </xf>
    <xf numFmtId="0" fontId="12" fillId="4" borderId="8" xfId="0" applyFont="1" applyFill="1" applyBorder="1" applyAlignment="1">
      <alignment horizontal="left" vertical="center"/>
    </xf>
    <xf numFmtId="49" fontId="12" fillId="4" borderId="8" xfId="0" applyNumberFormat="1" applyFont="1" applyFill="1" applyBorder="1" applyAlignment="1">
      <alignment horizontal="center" vertical="center"/>
    </xf>
    <xf numFmtId="0" fontId="3" fillId="4" borderId="8" xfId="0" applyFont="1" applyFill="1" applyBorder="1" applyAlignment="1">
      <alignment vertical="center"/>
    </xf>
    <xf numFmtId="0" fontId="9" fillId="4" borderId="8" xfId="0" applyFont="1" applyFill="1" applyBorder="1" applyAlignment="1">
      <alignment vertical="center" wrapText="1"/>
    </xf>
    <xf numFmtId="0" fontId="105" fillId="4" borderId="12" xfId="0" applyFont="1" applyFill="1" applyBorder="1" applyAlignment="1">
      <alignment horizontal="center" vertical="center" wrapText="1"/>
    </xf>
    <xf numFmtId="0" fontId="104" fillId="4" borderId="8" xfId="0" applyFont="1" applyFill="1" applyBorder="1" applyAlignment="1">
      <alignment horizontal="left" vertical="center" wrapText="1"/>
    </xf>
    <xf numFmtId="169" fontId="3" fillId="4" borderId="8" xfId="1" applyNumberFormat="1" applyFont="1" applyFill="1" applyBorder="1" applyAlignment="1">
      <alignment horizontal="right" vertical="center"/>
    </xf>
    <xf numFmtId="16" fontId="3" fillId="4" borderId="8" xfId="0" quotePrefix="1" applyNumberFormat="1" applyFont="1" applyFill="1" applyBorder="1" applyAlignment="1">
      <alignment horizontal="center" vertical="center" wrapText="1"/>
    </xf>
    <xf numFmtId="14" fontId="3" fillId="4" borderId="8" xfId="0" applyNumberFormat="1" applyFont="1" applyFill="1" applyBorder="1" applyAlignment="1">
      <alignment horizontal="center" vertical="center" wrapText="1"/>
    </xf>
    <xf numFmtId="0" fontId="142" fillId="4" borderId="52" xfId="0" applyFont="1" applyFill="1" applyBorder="1" applyAlignment="1">
      <alignment vertical="center" wrapText="1" readingOrder="1"/>
    </xf>
    <xf numFmtId="49" fontId="3" fillId="4" borderId="8" xfId="0" applyNumberFormat="1" applyFont="1" applyFill="1" applyBorder="1" applyAlignment="1">
      <alignment horizontal="center" vertical="center"/>
    </xf>
    <xf numFmtId="16" fontId="13" fillId="4" borderId="8" xfId="0" quotePrefix="1" applyNumberFormat="1" applyFont="1" applyFill="1" applyBorder="1" applyAlignment="1">
      <alignment horizontal="center" vertical="center" wrapText="1"/>
    </xf>
    <xf numFmtId="0" fontId="102" fillId="4" borderId="8" xfId="0" applyFont="1" applyFill="1" applyBorder="1" applyAlignment="1">
      <alignment horizontal="left" vertical="center"/>
    </xf>
    <xf numFmtId="0" fontId="146" fillId="0" borderId="8" xfId="0" applyFont="1" applyBorder="1" applyAlignment="1">
      <alignment horizontal="center" vertical="center" wrapText="1"/>
    </xf>
    <xf numFmtId="0" fontId="146" fillId="0" borderId="8" xfId="0" quotePrefix="1" applyFont="1" applyBorder="1" applyAlignment="1">
      <alignment horizontal="center" vertical="center" wrapText="1"/>
    </xf>
    <xf numFmtId="0" fontId="13" fillId="4" borderId="8" xfId="0" applyFont="1" applyFill="1" applyBorder="1" applyAlignment="1">
      <alignment horizontal="left" vertical="center"/>
    </xf>
    <xf numFmtId="49" fontId="13" fillId="4" borderId="8" xfId="0" applyNumberFormat="1" applyFont="1" applyFill="1" applyBorder="1" applyAlignment="1">
      <alignment horizontal="center" vertical="center"/>
    </xf>
    <xf numFmtId="0" fontId="142" fillId="4" borderId="8" xfId="0" applyFont="1" applyFill="1" applyBorder="1" applyAlignment="1">
      <alignment vertical="center" wrapText="1" readingOrder="1"/>
    </xf>
    <xf numFmtId="16" fontId="146" fillId="0" borderId="8" xfId="0" quotePrefix="1" applyNumberFormat="1" applyFont="1" applyBorder="1" applyAlignment="1">
      <alignment horizontal="center" vertical="center" wrapText="1"/>
    </xf>
    <xf numFmtId="0" fontId="39" fillId="0" borderId="8" xfId="0" applyFont="1" applyBorder="1" applyAlignment="1">
      <alignment vertical="center" wrapText="1"/>
    </xf>
    <xf numFmtId="0" fontId="117" fillId="3" borderId="12" xfId="0" applyFont="1" applyFill="1" applyBorder="1" applyAlignment="1">
      <alignment vertical="center" wrapText="1"/>
    </xf>
    <xf numFmtId="165"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16" fontId="13" fillId="5" borderId="8" xfId="0" quotePrefix="1" applyNumberFormat="1" applyFont="1" applyFill="1" applyBorder="1" applyAlignment="1">
      <alignment horizontal="center" vertical="center" wrapText="1"/>
    </xf>
    <xf numFmtId="49" fontId="3" fillId="5" borderId="8" xfId="0" applyNumberFormat="1" applyFont="1" applyFill="1" applyBorder="1" applyAlignment="1">
      <alignment horizontal="center" vertical="center"/>
    </xf>
    <xf numFmtId="0" fontId="9"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2" fillId="4" borderId="8" xfId="0" applyFont="1" applyFill="1" applyBorder="1" applyAlignment="1">
      <alignment horizontal="left" vertical="center" wrapText="1"/>
    </xf>
    <xf numFmtId="0" fontId="117" fillId="4" borderId="8" xfId="0" applyFont="1" applyFill="1" applyBorder="1" applyAlignment="1">
      <alignment horizontal="center" vertical="center" wrapText="1"/>
    </xf>
    <xf numFmtId="165" fontId="3" fillId="4" borderId="8" xfId="0" applyNumberFormat="1" applyFont="1" applyFill="1" applyBorder="1" applyAlignment="1">
      <alignment horizontal="center" vertical="center"/>
    </xf>
    <xf numFmtId="0" fontId="39" fillId="0" borderId="8" xfId="0" applyFont="1" applyBorder="1" applyAlignment="1">
      <alignment horizontal="center" vertical="center"/>
    </xf>
    <xf numFmtId="3" fontId="39" fillId="0" borderId="14" xfId="0" applyNumberFormat="1" applyFont="1" applyBorder="1" applyAlignment="1">
      <alignment horizontal="left" vertical="center" wrapText="1"/>
    </xf>
    <xf numFmtId="0" fontId="106" fillId="5" borderId="8" xfId="0" applyFont="1" applyFill="1" applyBorder="1" applyAlignment="1">
      <alignment horizontal="left" vertical="center" wrapText="1"/>
    </xf>
    <xf numFmtId="0" fontId="101" fillId="4" borderId="8" xfId="0" applyFont="1" applyFill="1" applyBorder="1" applyAlignment="1">
      <alignment horizontal="left" vertical="center" wrapText="1"/>
    </xf>
    <xf numFmtId="165" fontId="12" fillId="0" borderId="8" xfId="1" applyNumberFormat="1" applyFont="1" applyBorder="1" applyAlignment="1">
      <alignment horizontal="center" vertical="center"/>
    </xf>
    <xf numFmtId="169" fontId="12" fillId="0" borderId="8" xfId="1" applyNumberFormat="1" applyFont="1" applyBorder="1" applyAlignment="1">
      <alignment horizontal="right" vertical="center"/>
    </xf>
    <xf numFmtId="0" fontId="39" fillId="4" borderId="8" xfId="0" applyFont="1" applyFill="1" applyBorder="1" applyAlignment="1">
      <alignment horizontal="center" vertical="center"/>
    </xf>
    <xf numFmtId="165" fontId="12" fillId="4" borderId="8" xfId="1" applyNumberFormat="1" applyFont="1" applyFill="1" applyBorder="1" applyAlignment="1">
      <alignment horizontal="center" vertical="center"/>
    </xf>
    <xf numFmtId="0" fontId="12" fillId="4" borderId="8" xfId="0" applyFont="1" applyFill="1" applyBorder="1" applyAlignment="1">
      <alignment vertical="center"/>
    </xf>
    <xf numFmtId="3" fontId="31" fillId="4" borderId="14" xfId="0" applyNumberFormat="1" applyFont="1" applyFill="1" applyBorder="1" applyAlignment="1">
      <alignment horizontal="left" vertical="center" wrapText="1"/>
    </xf>
    <xf numFmtId="0" fontId="42" fillId="5" borderId="8" xfId="0" applyFont="1" applyFill="1" applyBorder="1" applyAlignment="1">
      <alignment horizontal="center" vertical="center" wrapText="1"/>
    </xf>
    <xf numFmtId="0" fontId="16" fillId="5" borderId="8" xfId="0" applyFont="1" applyFill="1" applyBorder="1" applyAlignment="1">
      <alignment horizontal="center" vertical="center" wrapText="1"/>
    </xf>
    <xf numFmtId="165" fontId="13" fillId="4" borderId="8" xfId="0" applyNumberFormat="1" applyFont="1" applyFill="1" applyBorder="1" applyAlignment="1">
      <alignment vertical="center"/>
    </xf>
    <xf numFmtId="14" fontId="13" fillId="4" borderId="8" xfId="0" quotePrefix="1" applyNumberFormat="1" applyFont="1" applyFill="1" applyBorder="1" applyAlignment="1">
      <alignment horizontal="center" vertical="center" wrapText="1"/>
    </xf>
    <xf numFmtId="0" fontId="106" fillId="4" borderId="8" xfId="0" applyFont="1" applyFill="1" applyBorder="1" applyAlignment="1">
      <alignment horizontal="center" vertical="center"/>
    </xf>
    <xf numFmtId="16" fontId="12" fillId="2" borderId="8" xfId="0" quotePrefix="1" applyNumberFormat="1" applyFont="1" applyFill="1" applyBorder="1" applyAlignment="1">
      <alignment horizontal="center" vertical="center" wrapText="1"/>
    </xf>
    <xf numFmtId="165" fontId="3" fillId="4" borderId="8" xfId="0" applyNumberFormat="1" applyFont="1" applyFill="1" applyBorder="1" applyAlignment="1">
      <alignment vertical="center"/>
    </xf>
    <xf numFmtId="14" fontId="3" fillId="4" borderId="8" xfId="0" quotePrefix="1" applyNumberFormat="1" applyFont="1" applyFill="1" applyBorder="1" applyAlignment="1">
      <alignment horizontal="center" vertical="center" wrapText="1"/>
    </xf>
    <xf numFmtId="0" fontId="146" fillId="4" borderId="8" xfId="0" applyFont="1" applyFill="1" applyBorder="1" applyAlignment="1">
      <alignment horizontal="center" vertical="center" wrapText="1"/>
    </xf>
    <xf numFmtId="169" fontId="3" fillId="31" borderId="8" xfId="1" applyNumberFormat="1" applyFont="1" applyFill="1" applyBorder="1" applyAlignment="1">
      <alignment horizontal="right" vertical="center"/>
    </xf>
    <xf numFmtId="0" fontId="13" fillId="4" borderId="10" xfId="0" applyFont="1" applyFill="1" applyBorder="1" applyAlignment="1">
      <alignment horizontal="center" vertical="center" wrapText="1"/>
    </xf>
    <xf numFmtId="169" fontId="13" fillId="4" borderId="16" xfId="1" applyNumberFormat="1" applyFont="1" applyFill="1" applyBorder="1" applyAlignment="1">
      <alignment horizontal="right" vertical="center"/>
    </xf>
    <xf numFmtId="0" fontId="13" fillId="4" borderId="8" xfId="0" quotePrefix="1" applyFont="1" applyFill="1" applyBorder="1" applyAlignment="1">
      <alignment horizontal="center" vertical="center"/>
    </xf>
    <xf numFmtId="0" fontId="143" fillId="4" borderId="8" xfId="0" applyFont="1" applyFill="1" applyBorder="1" applyAlignment="1">
      <alignment horizontal="left" vertical="center" wrapText="1"/>
    </xf>
    <xf numFmtId="0" fontId="39" fillId="2" borderId="8" xfId="0" applyFont="1" applyFill="1" applyBorder="1" applyAlignment="1">
      <alignment horizontal="center" vertical="center"/>
    </xf>
    <xf numFmtId="165" fontId="9" fillId="2" borderId="8" xfId="1" applyNumberFormat="1" applyFont="1" applyFill="1" applyBorder="1" applyAlignment="1">
      <alignment horizontal="center" vertical="center"/>
    </xf>
    <xf numFmtId="169" fontId="12" fillId="2" borderId="8" xfId="1" applyNumberFormat="1" applyFont="1" applyFill="1" applyBorder="1" applyAlignment="1">
      <alignment horizontal="right" vertical="center"/>
    </xf>
    <xf numFmtId="0" fontId="12" fillId="2" borderId="8" xfId="0" applyFont="1" applyFill="1" applyBorder="1" applyAlignment="1">
      <alignment vertical="center"/>
    </xf>
    <xf numFmtId="0" fontId="31" fillId="2" borderId="8" xfId="0" applyFont="1" applyFill="1" applyBorder="1" applyAlignment="1">
      <alignment horizontal="center" vertical="center"/>
    </xf>
    <xf numFmtId="169" fontId="9" fillId="2" borderId="8" xfId="1" applyNumberFormat="1" applyFont="1" applyFill="1" applyBorder="1" applyAlignment="1">
      <alignment horizontal="right" vertical="center"/>
    </xf>
    <xf numFmtId="0" fontId="9" fillId="2" borderId="8" xfId="0" applyFont="1" applyFill="1" applyBorder="1" applyAlignment="1">
      <alignment vertical="center"/>
    </xf>
    <xf numFmtId="169" fontId="3" fillId="0" borderId="16" xfId="1" applyNumberFormat="1" applyFont="1" applyBorder="1" applyAlignment="1">
      <alignment horizontal="right" vertical="center"/>
    </xf>
    <xf numFmtId="49" fontId="13" fillId="0" borderId="8" xfId="0" applyNumberFormat="1" applyFont="1" applyBorder="1" applyAlignment="1">
      <alignment horizontal="center" vertical="center"/>
    </xf>
    <xf numFmtId="14" fontId="147" fillId="4" borderId="8" xfId="0" quotePrefix="1" applyNumberFormat="1" applyFont="1" applyFill="1" applyBorder="1" applyAlignment="1">
      <alignment horizontal="center" vertical="center" wrapText="1"/>
    </xf>
    <xf numFmtId="0" fontId="147" fillId="4" borderId="8" xfId="0" applyFont="1" applyFill="1" applyBorder="1" applyAlignment="1">
      <alignment horizontal="center" vertical="center" wrapText="1"/>
    </xf>
    <xf numFmtId="0" fontId="12" fillId="2" borderId="8" xfId="0" quotePrefix="1" applyFont="1" applyFill="1" applyBorder="1" applyAlignment="1">
      <alignment horizontal="center" vertical="center" wrapText="1"/>
    </xf>
    <xf numFmtId="0" fontId="9" fillId="2" borderId="8" xfId="0" quotePrefix="1" applyFont="1" applyFill="1" applyBorder="1" applyAlignment="1">
      <alignment horizontal="center" vertical="center" wrapText="1"/>
    </xf>
    <xf numFmtId="0" fontId="117" fillId="39" borderId="12" xfId="0" applyFont="1" applyFill="1" applyBorder="1" applyAlignment="1">
      <alignment vertical="center" wrapText="1"/>
    </xf>
    <xf numFmtId="0" fontId="104"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165" fontId="104" fillId="39" borderId="8" xfId="1" applyNumberFormat="1" applyFont="1" applyFill="1" applyBorder="1" applyAlignment="1">
      <alignment horizontal="center" vertical="center"/>
    </xf>
    <xf numFmtId="14" fontId="104" fillId="39" borderId="8" xfId="0" applyNumberFormat="1"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4" fillId="39" borderId="8" xfId="0" applyFont="1" applyFill="1" applyBorder="1" applyAlignment="1">
      <alignment horizontal="left" vertical="center"/>
    </xf>
    <xf numFmtId="169" fontId="104" fillId="39" borderId="8" xfId="1" applyNumberFormat="1" applyFont="1" applyFill="1" applyBorder="1" applyAlignment="1">
      <alignment horizontal="right" vertical="center"/>
    </xf>
    <xf numFmtId="0" fontId="118" fillId="39" borderId="8" xfId="0" applyFont="1" applyFill="1" applyBorder="1" applyAlignment="1">
      <alignment horizontal="center" vertical="center" wrapText="1"/>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49" fontId="12" fillId="39" borderId="16" xfId="0" applyNumberFormat="1" applyFont="1" applyFill="1" applyBorder="1" applyAlignment="1">
      <alignment horizontal="center" vertical="center"/>
    </xf>
    <xf numFmtId="0" fontId="3" fillId="39" borderId="8" xfId="0" applyFont="1" applyFill="1" applyBorder="1" applyAlignment="1">
      <alignment vertical="center"/>
    </xf>
    <xf numFmtId="14" fontId="104" fillId="0" borderId="8" xfId="0" quotePrefix="1" applyNumberFormat="1" applyFont="1" applyBorder="1" applyAlignment="1">
      <alignment horizontal="center" vertical="center" wrapText="1"/>
    </xf>
    <xf numFmtId="0" fontId="104" fillId="39" borderId="8" xfId="0" quotePrefix="1" applyFont="1" applyFill="1" applyBorder="1" applyAlignment="1">
      <alignment horizontal="center" vertical="center" wrapText="1"/>
    </xf>
    <xf numFmtId="165" fontId="13" fillId="0" borderId="8" xfId="1" applyNumberFormat="1" applyFont="1" applyFill="1" applyBorder="1" applyAlignment="1">
      <alignment horizontal="center" vertical="center"/>
    </xf>
    <xf numFmtId="169" fontId="13" fillId="0" borderId="8"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165" fontId="9" fillId="23" borderId="8" xfId="1" applyNumberFormat="1" applyFont="1" applyFill="1" applyBorder="1" applyAlignment="1">
      <alignment horizontal="center" vertical="center"/>
    </xf>
    <xf numFmtId="0" fontId="142" fillId="23" borderId="52" xfId="0" applyFont="1" applyFill="1" applyBorder="1" applyAlignment="1">
      <alignment vertical="center" wrapText="1" readingOrder="1"/>
    </xf>
    <xf numFmtId="0" fontId="15" fillId="23" borderId="12" xfId="0" applyFont="1" applyFill="1" applyBorder="1" applyAlignment="1">
      <alignment horizontal="left" vertical="center"/>
    </xf>
    <xf numFmtId="0" fontId="135" fillId="2" borderId="0" xfId="0" applyFont="1" applyFill="1"/>
    <xf numFmtId="164" fontId="148" fillId="2" borderId="0" xfId="0" applyNumberFormat="1" applyFont="1" applyFill="1"/>
    <xf numFmtId="164" fontId="149" fillId="2" borderId="0" xfId="0" applyNumberFormat="1" applyFont="1" applyFill="1"/>
    <xf numFmtId="0" fontId="13" fillId="5" borderId="8" xfId="0" applyFont="1" applyFill="1" applyBorder="1" applyAlignment="1">
      <alignment horizontal="left" vertical="center" wrapText="1"/>
    </xf>
    <xf numFmtId="0" fontId="9" fillId="5" borderId="8" xfId="0" applyFont="1" applyFill="1" applyBorder="1" applyAlignment="1">
      <alignment horizontal="left" vertical="center"/>
    </xf>
    <xf numFmtId="0" fontId="3" fillId="5" borderId="8" xfId="0" quotePrefix="1" applyFont="1" applyFill="1" applyBorder="1" applyAlignment="1">
      <alignment horizontal="center" vertical="center" wrapText="1"/>
    </xf>
    <xf numFmtId="0" fontId="13" fillId="5" borderId="8" xfId="0" quotePrefix="1" applyFont="1" applyFill="1" applyBorder="1" applyAlignment="1">
      <alignment horizontal="center" vertical="center" wrapText="1"/>
    </xf>
    <xf numFmtId="0" fontId="13" fillId="5" borderId="18" xfId="0" applyFont="1" applyFill="1" applyBorder="1" applyAlignment="1">
      <alignment horizontal="left" vertical="center" wrapText="1"/>
    </xf>
    <xf numFmtId="169" fontId="3" fillId="5" borderId="16" xfId="1" applyNumberFormat="1" applyFont="1" applyFill="1" applyBorder="1" applyAlignment="1">
      <alignment horizontal="right" vertical="center"/>
    </xf>
    <xf numFmtId="0" fontId="117" fillId="5" borderId="8" xfId="0" applyFont="1" applyFill="1" applyBorder="1" applyAlignment="1">
      <alignment horizontal="center" vertical="center" wrapText="1"/>
    </xf>
    <xf numFmtId="0" fontId="3" fillId="5" borderId="18" xfId="0" applyFont="1" applyFill="1" applyBorder="1" applyAlignment="1">
      <alignment horizontal="left" vertical="center" wrapText="1"/>
    </xf>
    <xf numFmtId="0" fontId="105" fillId="5" borderId="18" xfId="0" applyFont="1" applyFill="1" applyBorder="1" applyAlignment="1">
      <alignment horizontal="center" vertical="center" wrapText="1"/>
    </xf>
    <xf numFmtId="0" fontId="105" fillId="5" borderId="12" xfId="0" applyFont="1" applyFill="1" applyBorder="1" applyAlignment="1">
      <alignment horizontal="center" vertical="center" wrapText="1"/>
    </xf>
    <xf numFmtId="10" fontId="97" fillId="2" borderId="0" xfId="0" applyNumberFormat="1" applyFont="1" applyFill="1"/>
    <xf numFmtId="10" fontId="98" fillId="2" borderId="0" xfId="0" applyNumberFormat="1" applyFont="1" applyFill="1"/>
    <xf numFmtId="0" fontId="98" fillId="2" borderId="0" xfId="0" applyFont="1" applyFill="1"/>
    <xf numFmtId="0" fontId="97" fillId="2" borderId="0" xfId="0" applyFont="1" applyFill="1"/>
    <xf numFmtId="165" fontId="18" fillId="2" borderId="7" xfId="0" applyNumberFormat="1" applyFont="1" applyFill="1" applyBorder="1" applyAlignment="1">
      <alignment horizontal="center" vertical="center" wrapText="1"/>
    </xf>
    <xf numFmtId="164" fontId="97" fillId="2" borderId="0" xfId="0" applyNumberFormat="1" applyFont="1" applyFill="1"/>
    <xf numFmtId="3" fontId="97" fillId="2" borderId="8" xfId="0" applyNumberFormat="1" applyFont="1" applyFill="1" applyBorder="1"/>
    <xf numFmtId="165" fontId="24" fillId="2" borderId="5" xfId="1" applyNumberFormat="1" applyFont="1" applyFill="1" applyBorder="1" applyAlignment="1">
      <alignment horizontal="center" vertical="center"/>
    </xf>
    <xf numFmtId="9" fontId="97" fillId="2" borderId="0" xfId="0" applyNumberFormat="1" applyFont="1" applyFill="1"/>
    <xf numFmtId="165" fontId="9" fillId="0" borderId="8" xfId="1" applyNumberFormat="1" applyFont="1" applyFill="1" applyBorder="1" applyAlignment="1">
      <alignment horizontal="center" vertical="center"/>
    </xf>
    <xf numFmtId="0" fontId="42" fillId="4" borderId="8" xfId="0" applyFont="1" applyFill="1" applyBorder="1" applyAlignment="1">
      <alignment horizontal="center" vertical="center" wrapText="1"/>
    </xf>
    <xf numFmtId="165" fontId="97" fillId="2" borderId="0" xfId="0" applyNumberFormat="1" applyFont="1" applyFill="1"/>
    <xf numFmtId="9" fontId="135" fillId="2" borderId="0" xfId="0" applyNumberFormat="1" applyFont="1" applyFill="1"/>
    <xf numFmtId="17" fontId="98" fillId="0" borderId="5" xfId="0" applyNumberFormat="1" applyFont="1" applyBorder="1" applyAlignment="1">
      <alignment horizont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5" fontId="141" fillId="0" borderId="8" xfId="0" applyNumberFormat="1" applyFont="1" applyBorder="1" applyAlignment="1">
      <alignment horizontal="center" vertical="center" wrapText="1"/>
    </xf>
    <xf numFmtId="165" fontId="141"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68"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69"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microsoft.com/office/2017/06/relationships/rdRichValueStructure" Target="richData/rdrichvaluestructure.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47"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3:AI263"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microsoft.com/office/2019/04/relationships/namedSheetView" Target="../namedSheetViews/namedSheetView7.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9/04/relationships/namedSheetView" Target="../namedSheetViews/namedSheetView17.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29.xml.rels><?xml version="1.0" encoding="UTF-8" standalone="yes"?>
<Relationships xmlns="http://schemas.openxmlformats.org/package/2006/relationships"><Relationship Id="rId3" Type="http://schemas.microsoft.com/office/2019/04/relationships/namedSheetView" Target="../namedSheetViews/namedSheetView18.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9/04/relationships/namedSheetView" Target="../namedSheetViews/namedSheetView20.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9/04/relationships/namedSheetView" Target="../namedSheetViews/namedSheetView43.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AB38"/>
  <sheetViews>
    <sheetView workbookViewId="0">
      <pane ySplit="2" topLeftCell="A3" activePane="bottomLeft" state="frozen"/>
      <selection pane="bottomLeft" activeCell="W5" sqref="W5:W8"/>
    </sheetView>
  </sheetViews>
  <sheetFormatPr defaultColWidth="9.375" defaultRowHeight="14.3" customHeight="1"/>
  <cols>
    <col min="1" max="1" width="15" style="2800" customWidth="1"/>
    <col min="2" max="2" width="10.875" style="2800" bestFit="1" customWidth="1"/>
    <col min="3" max="3" width="11.875" style="2800" bestFit="1" customWidth="1"/>
    <col min="4" max="4" width="10.875" style="2800" bestFit="1" customWidth="1"/>
    <col min="5" max="5" width="12.875" style="2800" customWidth="1"/>
    <col min="6" max="6" width="23.625" style="2800" hidden="1" customWidth="1"/>
    <col min="7" max="7" width="23.375" style="2800" hidden="1" customWidth="1"/>
    <col min="8" max="8" width="14.625" style="2800" customWidth="1"/>
    <col min="9" max="9" width="17" style="2800" bestFit="1" customWidth="1"/>
    <col min="10" max="10" width="14.625" style="2800" bestFit="1" customWidth="1"/>
    <col min="11" max="11" width="18" style="2800" customWidth="1"/>
    <col min="12" max="13" width="14.625" style="2800" bestFit="1" customWidth="1"/>
    <col min="14" max="15" width="14.625" style="2800" customWidth="1"/>
    <col min="16" max="18" width="10.875" style="2800" bestFit="1" customWidth="1"/>
    <col min="19" max="19" width="8.25" style="2800" bestFit="1" customWidth="1"/>
    <col min="20" max="20" width="10.25" style="3095" customWidth="1"/>
    <col min="21" max="21" width="12.75" style="3095" bestFit="1" customWidth="1"/>
    <col min="22" max="22" width="14.125" style="2800" customWidth="1"/>
    <col min="23" max="23" width="17.375" style="2800" bestFit="1" customWidth="1"/>
    <col min="24" max="24" width="12.375" style="2800" bestFit="1" customWidth="1"/>
    <col min="25" max="25" width="14.375" style="2800" customWidth="1"/>
    <col min="26" max="26" width="11.875" style="2800" customWidth="1"/>
    <col min="27" max="27" width="42.25" style="2800" bestFit="1" customWidth="1"/>
    <col min="28" max="16384" width="9.375" style="2800"/>
  </cols>
  <sheetData>
    <row r="1" spans="1:26">
      <c r="A1" s="2799" t="s">
        <v>0</v>
      </c>
      <c r="T1" s="3657"/>
      <c r="U1" s="3658" t="s">
        <v>1</v>
      </c>
      <c r="V1" s="3659" t="s">
        <v>2</v>
      </c>
      <c r="W1" s="3659" t="s">
        <v>3</v>
      </c>
      <c r="X1" s="3659" t="s">
        <v>4</v>
      </c>
      <c r="Y1" s="3660"/>
      <c r="Z1" s="3660"/>
    </row>
    <row r="2" spans="1:26" ht="17">
      <c r="A2" s="2801" t="s">
        <v>5</v>
      </c>
      <c r="B2" s="2801">
        <v>1</v>
      </c>
      <c r="C2" s="2801">
        <v>2</v>
      </c>
      <c r="D2" s="2801">
        <v>3</v>
      </c>
      <c r="E2" s="2802" t="s">
        <v>6</v>
      </c>
      <c r="F2" s="2801" t="s">
        <v>7</v>
      </c>
      <c r="G2" s="2801" t="s">
        <v>8</v>
      </c>
      <c r="H2" s="2801" t="s">
        <v>9</v>
      </c>
      <c r="I2" s="2801" t="s">
        <v>10</v>
      </c>
      <c r="J2" s="3222" t="s">
        <v>11</v>
      </c>
      <c r="K2" s="2801" t="s">
        <v>12</v>
      </c>
      <c r="L2" s="2801" t="s">
        <v>13</v>
      </c>
      <c r="T2" s="3657" t="s">
        <v>6</v>
      </c>
      <c r="U2" s="3661">
        <f>SUM(U3:U9)</f>
        <v>540000</v>
      </c>
      <c r="V2" s="3662">
        <v>460000</v>
      </c>
      <c r="W2" s="3662"/>
      <c r="X2" s="3662">
        <f>SUM(X3:X9)</f>
        <v>588</v>
      </c>
      <c r="Y2" s="3660"/>
      <c r="Z2" s="3660"/>
    </row>
    <row r="3" spans="1:26" ht="17">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3">
        <v>341401</v>
      </c>
      <c r="J3" s="2917">
        <v>341401</v>
      </c>
      <c r="K3" s="2830">
        <f>+H3+J3-E3</f>
        <v>145059</v>
      </c>
      <c r="L3" s="2830"/>
      <c r="M3" s="2807"/>
      <c r="N3" s="2807"/>
      <c r="O3" s="2807"/>
      <c r="P3" s="2807"/>
      <c r="Q3" s="2807"/>
      <c r="R3" s="2807"/>
      <c r="S3" s="2807"/>
      <c r="T3" s="3663" t="s">
        <v>14</v>
      </c>
      <c r="U3" s="3664">
        <v>140000</v>
      </c>
      <c r="V3" s="3668">
        <f>V2/U2*U3</f>
        <v>119259.25925925926</v>
      </c>
      <c r="W3" s="3665">
        <f>L20/V3</f>
        <v>1.0923009316770187</v>
      </c>
      <c r="X3" s="3645">
        <v>140</v>
      </c>
      <c r="Y3" s="3660" t="s">
        <v>15</v>
      </c>
      <c r="Z3" s="3660"/>
    </row>
    <row r="4" spans="1:26" ht="17">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3">
        <v>389769</v>
      </c>
      <c r="J4" s="2917">
        <v>389769</v>
      </c>
      <c r="K4" s="2830">
        <f>+H4+J4-E4</f>
        <v>173147.70400000003</v>
      </c>
      <c r="L4" s="2830"/>
      <c r="T4" s="3663" t="s">
        <v>16</v>
      </c>
      <c r="U4" s="3664">
        <v>185000</v>
      </c>
      <c r="V4" s="3668">
        <f t="shared" ref="V4:V9" si="1">V3/U3*U4</f>
        <v>157592.59259259258</v>
      </c>
      <c r="W4" s="3665">
        <f t="shared" ref="W4:W9" si="2">L21/V4</f>
        <v>1.0004848413631022</v>
      </c>
      <c r="X4" s="3645">
        <v>315</v>
      </c>
      <c r="Y4" s="3660" t="s">
        <v>17</v>
      </c>
      <c r="Z4" s="3660"/>
    </row>
    <row r="5" spans="1:26" ht="17">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3">
        <v>446244</v>
      </c>
      <c r="J5" s="2917">
        <v>446244</v>
      </c>
      <c r="K5" s="2830">
        <v>212294</v>
      </c>
      <c r="L5" s="2830">
        <v>450000</v>
      </c>
      <c r="M5" s="2832"/>
      <c r="N5" s="2832"/>
      <c r="O5" s="2832"/>
      <c r="T5" s="3663" t="s">
        <v>18</v>
      </c>
      <c r="U5" s="3664">
        <v>55000</v>
      </c>
      <c r="V5" s="3668">
        <f t="shared" si="1"/>
        <v>46851.851851851854</v>
      </c>
      <c r="W5" s="3669">
        <f t="shared" si="2"/>
        <v>0.74835889328063243</v>
      </c>
      <c r="X5" s="3645">
        <v>25</v>
      </c>
      <c r="Y5" s="3660" t="s">
        <v>19</v>
      </c>
      <c r="Z5" s="3660"/>
    </row>
    <row r="6" spans="1:26" ht="17">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3">+K5</f>
        <v>212294</v>
      </c>
      <c r="I6" s="3223">
        <v>547068</v>
      </c>
      <c r="J6" s="2917">
        <v>547068</v>
      </c>
      <c r="K6" s="2830">
        <v>277495</v>
      </c>
      <c r="L6" s="2830">
        <v>525000</v>
      </c>
      <c r="M6" s="2832">
        <f>L6/3</f>
        <v>175000</v>
      </c>
      <c r="N6" s="2832"/>
      <c r="O6" s="2832"/>
      <c r="T6" s="3663" t="s">
        <v>20</v>
      </c>
      <c r="U6" s="3664">
        <v>55000</v>
      </c>
      <c r="V6" s="3668">
        <f t="shared" si="1"/>
        <v>46851.851851851854</v>
      </c>
      <c r="W6" s="3669">
        <f t="shared" si="2"/>
        <v>0.4993185770750988</v>
      </c>
      <c r="X6" s="3645">
        <v>25</v>
      </c>
      <c r="Y6" s="3660" t="s">
        <v>21</v>
      </c>
      <c r="Z6" s="3660"/>
    </row>
    <row r="7" spans="1:26" ht="17">
      <c r="A7" s="2803">
        <v>45931</v>
      </c>
      <c r="B7" s="3126">
        <f>SUMIF('LỊCH TÀU - 10.2025 '!$Q$7:$Q$1048576,KH!B$2,'LỊCH TÀU - 10.2025 '!$M$7:$M$1048576)</f>
        <v>163875</v>
      </c>
      <c r="C7" s="3126">
        <f>SUMIF('LỊCH TÀU - 10.2025 '!$Q$7:$Q$1048576,KH!C$2,'LỊCH TÀU - 10.2025 '!$M$7:$M$1048576)</f>
        <v>166380</v>
      </c>
      <c r="D7" s="3126">
        <f>SUMIF('LỊCH TÀU - 10.2025 '!$Q$7:$Q$1048576,KH!D$2,'LỊCH TÀU - 10.2025 '!$M$7:$M$1048576)</f>
        <v>195739</v>
      </c>
      <c r="E7" s="3143">
        <f t="shared" si="0"/>
        <v>525994</v>
      </c>
      <c r="F7" s="2806">
        <v>605000</v>
      </c>
      <c r="G7" s="2806">
        <v>605000</v>
      </c>
      <c r="H7" s="2828">
        <f t="shared" si="3"/>
        <v>277495</v>
      </c>
      <c r="I7" s="2830">
        <v>559711</v>
      </c>
      <c r="J7" s="2917"/>
      <c r="K7" s="2830">
        <v>216097</v>
      </c>
      <c r="L7" s="2830">
        <v>556000</v>
      </c>
      <c r="M7" s="3202">
        <f>L7*85%</f>
        <v>472600</v>
      </c>
      <c r="N7" s="3202"/>
      <c r="O7" s="3202"/>
      <c r="P7" s="2883"/>
      <c r="Q7" s="2883"/>
      <c r="R7" s="2883"/>
      <c r="S7" s="2883"/>
      <c r="T7" s="3663" t="s">
        <v>22</v>
      </c>
      <c r="U7" s="3664">
        <v>55000</v>
      </c>
      <c r="V7" s="3668">
        <f t="shared" si="1"/>
        <v>46851.851851851854</v>
      </c>
      <c r="W7" s="3669">
        <f t="shared" si="2"/>
        <v>0.71117786561264817</v>
      </c>
      <c r="X7" s="3645">
        <v>48</v>
      </c>
      <c r="Y7" s="3660" t="s">
        <v>23</v>
      </c>
      <c r="Z7" s="3660"/>
    </row>
    <row r="8" spans="1:26" ht="17">
      <c r="A8" s="2803">
        <v>45962</v>
      </c>
      <c r="B8" s="3126">
        <f>SUMIF('LỊCH TÀU - 11.2025'!$Q4:$Q9855,KH!B2,'LỊCH TÀU - 11.2025'!$M$4:$M$9855)</f>
        <v>115799</v>
      </c>
      <c r="C8" s="3126">
        <f>SUMIF('LỊCH TÀU - 11.2025'!$Q4:$Q9855,KH!C2,'LỊCH TÀU - 11.2025'!$M$4:$M$9855)</f>
        <v>154426</v>
      </c>
      <c r="D8" s="3126">
        <f>SUMIF('LỊCH TÀU - 11.2025'!$Q4:$Q9855,KH!D2,'LỊCH TÀU - 11.2025'!$M$4:$M$9855)</f>
        <v>217413</v>
      </c>
      <c r="E8" s="3143">
        <f t="shared" si="0"/>
        <v>487638</v>
      </c>
      <c r="F8" s="2806">
        <v>648000</v>
      </c>
      <c r="G8" s="2806">
        <v>648000</v>
      </c>
      <c r="H8" s="2828">
        <f t="shared" si="3"/>
        <v>216097</v>
      </c>
      <c r="I8" s="2830">
        <v>540000</v>
      </c>
      <c r="J8" s="2917"/>
      <c r="K8" s="2830">
        <f>+H8+I8-E8</f>
        <v>268459</v>
      </c>
      <c r="L8" s="2830"/>
      <c r="T8" s="3663" t="s">
        <v>24</v>
      </c>
      <c r="U8" s="3664">
        <v>25000</v>
      </c>
      <c r="V8" s="3668">
        <f t="shared" si="1"/>
        <v>21296.296296296296</v>
      </c>
      <c r="W8" s="3669">
        <f t="shared" si="2"/>
        <v>0.75919304347826089</v>
      </c>
      <c r="X8" s="3645">
        <v>15</v>
      </c>
      <c r="Y8" s="3660" t="s">
        <v>25</v>
      </c>
      <c r="Z8" s="3660"/>
    </row>
    <row r="9" spans="1:26" ht="17">
      <c r="A9" s="2803">
        <v>45992</v>
      </c>
      <c r="B9" s="2808"/>
      <c r="C9" s="2808"/>
      <c r="D9" s="2808"/>
      <c r="E9" s="2809"/>
      <c r="F9" s="2806">
        <v>657000</v>
      </c>
      <c r="G9" s="2806">
        <v>657000</v>
      </c>
      <c r="H9" s="2828">
        <f t="shared" si="3"/>
        <v>268459</v>
      </c>
      <c r="I9" s="2830">
        <v>650000</v>
      </c>
      <c r="J9" s="2917"/>
      <c r="K9" s="2830">
        <f>+H9+I9-E9</f>
        <v>918459</v>
      </c>
      <c r="L9" s="2830"/>
      <c r="T9" s="3663" t="s">
        <v>26</v>
      </c>
      <c r="U9" s="3664">
        <v>25000</v>
      </c>
      <c r="V9" s="3668">
        <f t="shared" si="1"/>
        <v>21296.296296296296</v>
      </c>
      <c r="W9" s="3665">
        <f t="shared" si="2"/>
        <v>1.0522017391304348</v>
      </c>
      <c r="X9" s="3645">
        <v>20</v>
      </c>
      <c r="Y9" s="3660" t="s">
        <v>27</v>
      </c>
      <c r="Z9" s="3660"/>
    </row>
    <row r="10" spans="1:26">
      <c r="A10" s="2803">
        <v>46023</v>
      </c>
      <c r="B10" s="2808"/>
      <c r="C10" s="2808"/>
      <c r="D10" s="2808"/>
      <c r="E10" s="2809"/>
      <c r="F10" s="2808"/>
      <c r="H10" s="2804"/>
      <c r="I10" s="2804"/>
      <c r="J10" s="3126"/>
      <c r="K10" s="2808"/>
      <c r="L10" s="2810"/>
    </row>
    <row r="11" spans="1:26">
      <c r="A11" s="2803">
        <v>46054</v>
      </c>
      <c r="B11" s="2808"/>
      <c r="C11" s="2808"/>
      <c r="D11" s="2808"/>
      <c r="E11" s="2809"/>
      <c r="F11" s="2808"/>
      <c r="G11" s="2808"/>
      <c r="H11" s="2804"/>
      <c r="I11" s="2804"/>
      <c r="J11" s="3126"/>
      <c r="K11" s="2808"/>
      <c r="L11" s="2808"/>
      <c r="V11" s="2800" t="s">
        <v>28</v>
      </c>
    </row>
    <row r="12" spans="1:26">
      <c r="A12" s="2803">
        <v>46082</v>
      </c>
      <c r="B12" s="2808"/>
      <c r="C12" s="2808"/>
      <c r="D12" s="2808"/>
      <c r="E12" s="2809"/>
      <c r="F12" s="2808"/>
      <c r="G12" s="2808"/>
      <c r="H12" s="2804"/>
      <c r="I12" s="2804"/>
      <c r="J12" s="3126"/>
      <c r="K12" s="2808"/>
      <c r="L12" s="2808"/>
    </row>
    <row r="13" spans="1:26">
      <c r="A13" s="2803">
        <v>46113</v>
      </c>
      <c r="B13" s="2808"/>
      <c r="C13" s="2808"/>
      <c r="D13" s="2808"/>
      <c r="E13" s="2809"/>
      <c r="F13" s="2808"/>
      <c r="G13" s="2808"/>
      <c r="H13" s="2804"/>
      <c r="I13" s="2804"/>
      <c r="J13" s="3126"/>
      <c r="K13" s="2808"/>
      <c r="L13" s="2808"/>
    </row>
    <row r="14" spans="1:26">
      <c r="A14" s="2803">
        <v>46143</v>
      </c>
      <c r="B14" s="2808"/>
      <c r="C14" s="2808"/>
      <c r="D14" s="2808"/>
      <c r="E14" s="2809"/>
      <c r="F14" s="2808"/>
      <c r="G14" s="2808"/>
      <c r="H14" s="2804"/>
      <c r="I14" s="2804"/>
      <c r="J14" s="3126"/>
      <c r="K14" s="2808"/>
      <c r="L14" s="2808"/>
    </row>
    <row r="15" spans="1:26">
      <c r="A15" s="2803">
        <v>46174</v>
      </c>
      <c r="B15" s="2808"/>
      <c r="C15" s="2808"/>
      <c r="D15" s="2808"/>
      <c r="E15" s="2809"/>
      <c r="F15" s="2808"/>
      <c r="G15" s="2808"/>
      <c r="H15" s="2804"/>
      <c r="I15" s="2804"/>
      <c r="J15" s="3126"/>
      <c r="K15" s="2808"/>
      <c r="L15" s="2808"/>
    </row>
    <row r="17" spans="1:28" ht="14.3" customHeight="1">
      <c r="P17" s="2800">
        <f>P19/P18</f>
        <v>0.85185185185185186</v>
      </c>
    </row>
    <row r="18" spans="1:28" ht="14.3" customHeight="1">
      <c r="A18" s="2836"/>
      <c r="B18" s="3670">
        <v>45839</v>
      </c>
      <c r="C18" s="3670"/>
      <c r="D18" s="3670">
        <v>45870</v>
      </c>
      <c r="E18" s="3670"/>
      <c r="F18" s="3670">
        <v>45901</v>
      </c>
      <c r="G18" s="3670"/>
      <c r="H18" s="3670">
        <v>45901</v>
      </c>
      <c r="I18" s="3670"/>
      <c r="J18" s="3670">
        <v>45931</v>
      </c>
      <c r="K18" s="3670"/>
      <c r="L18" s="3670">
        <v>45986</v>
      </c>
      <c r="M18" s="3670"/>
      <c r="N18" s="3670">
        <v>46016</v>
      </c>
      <c r="O18" s="3670"/>
      <c r="P18" s="2800">
        <v>540000</v>
      </c>
    </row>
    <row r="19" spans="1:28" ht="14.3" customHeight="1">
      <c r="A19" s="2833" t="s">
        <v>29</v>
      </c>
      <c r="B19" s="2835" t="s">
        <v>30</v>
      </c>
      <c r="C19" s="2801" t="s">
        <v>31</v>
      </c>
      <c r="D19" s="2801" t="s">
        <v>30</v>
      </c>
      <c r="E19" s="2801" t="s">
        <v>31</v>
      </c>
      <c r="F19" s="2801" t="s">
        <v>30</v>
      </c>
      <c r="G19" s="2801" t="s">
        <v>31</v>
      </c>
      <c r="H19" s="2801" t="s">
        <v>30</v>
      </c>
      <c r="I19" s="2801" t="s">
        <v>31</v>
      </c>
      <c r="J19" s="2801" t="s">
        <v>30</v>
      </c>
      <c r="K19" s="2801" t="s">
        <v>31</v>
      </c>
      <c r="L19" s="2801" t="s">
        <v>30</v>
      </c>
      <c r="M19" s="2801" t="s">
        <v>31</v>
      </c>
      <c r="N19" s="2801" t="s">
        <v>30</v>
      </c>
      <c r="O19" s="2801" t="s">
        <v>31</v>
      </c>
      <c r="P19" s="2807">
        <v>460000</v>
      </c>
      <c r="Q19" s="3169">
        <f>85%</f>
        <v>0.85</v>
      </c>
      <c r="S19" s="3202"/>
      <c r="V19" s="3346"/>
      <c r="W19" s="3346"/>
      <c r="Z19" s="3644">
        <v>588</v>
      </c>
      <c r="AA19" s="3644" t="s">
        <v>32</v>
      </c>
      <c r="AB19" s="2832"/>
    </row>
    <row r="20" spans="1:28">
      <c r="A20" s="2834" t="s">
        <v>14</v>
      </c>
      <c r="B20" s="2862">
        <f>SUMIF('LỊCH TÀU - 07.2025'!$F:$F,$A20,'LỊCH TÀU - 07.2025'!$L:$L)</f>
        <v>144284.296</v>
      </c>
      <c r="C20" s="2863">
        <f t="shared" ref="C20:C26" si="4">B20/$B$27</f>
        <v>0.45779353083263757</v>
      </c>
      <c r="D20" s="2828">
        <f>SUMIF('LỊCH TÀU - 08.2025'!$F:$F,$A20,'LỊCH TÀU - 08.2025'!$L:$L)</f>
        <v>111486</v>
      </c>
      <c r="E20" s="2863">
        <f t="shared" ref="E20:E26" si="5">D20/$D$27</f>
        <v>0.30764518398940355</v>
      </c>
      <c r="F20" s="2808"/>
      <c r="G20" s="2808"/>
      <c r="H20" s="2917">
        <f>SUMIF('LỊCH TÀU - 09.2025 '!$F:$F,A20,'LỊCH TÀU - 09.2025 '!$M:$M)</f>
        <v>124874</v>
      </c>
      <c r="I20" s="2927">
        <f t="shared" ref="I20:I26" si="6">H20/$H$27</f>
        <v>0.28546478267926417</v>
      </c>
      <c r="J20" s="2811">
        <f>SUMIFS('LỊCH TÀU - 10.2025 '!M:M,'LỊCH TÀU - 10.2025 '!F:F,KH!A20)</f>
        <v>124780</v>
      </c>
      <c r="K20" s="3142">
        <f>J20/$J$27</f>
        <v>0.25914526506419444</v>
      </c>
      <c r="L20" s="3534">
        <f>SUMIF('LỊCH TÀU - 11.2025'!$F:$F,KH!A20,'LỊCH TÀU - 11.2025'!$M:$M)</f>
        <v>130267</v>
      </c>
      <c r="M20" s="3142">
        <f>L20/$L$27</f>
        <v>0.31142896760126992</v>
      </c>
      <c r="N20" s="3534">
        <f>SUMIF('LỊCH TÀU - 12.2025'!$F:$F,KH!A20,'LỊCH TÀU - 12.2025'!$M:$M)</f>
        <v>0</v>
      </c>
      <c r="O20" s="3142">
        <f t="shared" ref="O20:O26" si="7">N20/$N$27</f>
        <v>0</v>
      </c>
      <c r="P20" s="2807">
        <v>140000</v>
      </c>
      <c r="Q20" s="2807">
        <f t="shared" ref="Q20:Q26" si="8">P20*$Q$19</f>
        <v>119000</v>
      </c>
      <c r="R20" s="2807">
        <f t="shared" ref="R20:R26" si="9">Q20/3</f>
        <v>39666.666666666664</v>
      </c>
      <c r="S20" s="3169">
        <f>Q20/$Q$27</f>
        <v>0.25925925925925924</v>
      </c>
      <c r="T20" s="3520">
        <f>Q20-64800</f>
        <v>54200</v>
      </c>
      <c r="U20" s="2832">
        <f>Q20-L20</f>
        <v>-11267</v>
      </c>
      <c r="V20" s="2832">
        <f>48200+5900</f>
        <v>54100</v>
      </c>
      <c r="W20" s="2832"/>
      <c r="X20" s="2832">
        <f t="shared" ref="X20:X26" si="10">U20-V20</f>
        <v>-65367</v>
      </c>
      <c r="Y20" s="2832" t="s">
        <v>33</v>
      </c>
      <c r="Z20" s="3645">
        <v>140</v>
      </c>
      <c r="AB20" s="2832"/>
    </row>
    <row r="21" spans="1:28" ht="14.3" customHeight="1">
      <c r="A21" s="2834" t="s">
        <v>16</v>
      </c>
      <c r="B21" s="2862">
        <f>SUMIF('LỊCH TÀU - 07.2025'!$F:$F,$A21,'LỊCH TÀU - 07.2025'!$L:$L)</f>
        <v>91288</v>
      </c>
      <c r="C21" s="2863">
        <f t="shared" si="4"/>
        <v>0.28964382820047041</v>
      </c>
      <c r="D21" s="2828">
        <f>SUMIF('LỊCH TÀU - 08.2025'!$F:$F,$A21,'LỊCH TÀU - 08.2025'!$L:$L)</f>
        <v>121126</v>
      </c>
      <c r="E21" s="2863">
        <f t="shared" si="5"/>
        <v>0.33424672654773241</v>
      </c>
      <c r="F21" s="2808"/>
      <c r="G21" s="2808"/>
      <c r="H21" s="2917">
        <f>SUMIF('LỊCH TÀU - 09.2025 '!$F:$F,A21,'LỊCH TÀU - 09.2025 '!$M:$M)</f>
        <v>141846</v>
      </c>
      <c r="I21" s="2927">
        <f t="shared" si="6"/>
        <v>0.32426315777441989</v>
      </c>
      <c r="J21" s="2811">
        <f>SUMIFS('LỊCH TÀU - 10.2025 '!M:M,'LỊCH TÀU - 10.2025 '!F:F,KH!A21)</f>
        <v>166654</v>
      </c>
      <c r="K21" s="3142">
        <f t="shared" ref="K21:K26" si="11">J21/$J$27</f>
        <v>0.34610991347979048</v>
      </c>
      <c r="L21" s="2811">
        <f>SUMIF('LỊCH TÀU - 11.2025'!$F:$F,KH!A21,'LỊCH TÀU - 11.2025'!$M:$M)</f>
        <v>157669</v>
      </c>
      <c r="M21" s="3142">
        <f t="shared" ref="M21:M26" si="12">L21/$L$27</f>
        <v>0.37693885552537965</v>
      </c>
      <c r="N21" s="3534">
        <f>SUMIF('LỊCH TÀU - 12.2025'!$F:$F,KH!A21,'LỊCH TÀU - 12.2025'!$M:$M)</f>
        <v>62440</v>
      </c>
      <c r="O21" s="3142">
        <f t="shared" si="7"/>
        <v>0.83969876277568589</v>
      </c>
      <c r="P21" s="2807">
        <v>185000</v>
      </c>
      <c r="Q21" s="2807">
        <f t="shared" si="8"/>
        <v>157250</v>
      </c>
      <c r="R21" s="2807">
        <f t="shared" si="9"/>
        <v>52416.666666666664</v>
      </c>
      <c r="S21" s="3169">
        <f t="shared" ref="S21:S26" si="13">Q21/$Q$27</f>
        <v>0.34259259259259262</v>
      </c>
      <c r="U21" s="2832">
        <f t="shared" ref="U21:U26" si="14">Q21-L21</f>
        <v>-419</v>
      </c>
      <c r="V21" s="2832"/>
      <c r="W21" s="2832"/>
      <c r="X21" s="3202">
        <f t="shared" si="10"/>
        <v>-419</v>
      </c>
      <c r="Y21" s="2832"/>
      <c r="Z21" s="3645">
        <v>315</v>
      </c>
      <c r="AA21" s="2800" t="s">
        <v>34</v>
      </c>
      <c r="AB21" s="2832"/>
    </row>
    <row r="22" spans="1:28" ht="14.3" customHeight="1">
      <c r="A22" s="2834" t="s">
        <v>18</v>
      </c>
      <c r="B22" s="2862">
        <f>SUMIF('LỊCH TÀU - 07.2025'!$F:$F,$A22,'LỊCH TÀU - 07.2025'!$L:$L)</f>
        <v>14490</v>
      </c>
      <c r="C22" s="2863">
        <f t="shared" si="4"/>
        <v>4.5974707197274735E-2</v>
      </c>
      <c r="D22" s="2828">
        <f>SUMIF('LỊCH TÀU - 08.2025'!$F:$F,$A22,'LỊCH TÀU - 08.2025'!$L:$L)</f>
        <v>30528</v>
      </c>
      <c r="E22" s="2863">
        <f t="shared" si="5"/>
        <v>8.4241897429529367E-2</v>
      </c>
      <c r="F22" s="2808"/>
      <c r="G22" s="2808"/>
      <c r="H22" s="2917">
        <f>SUMIF('LỊCH TÀU - 09.2025 '!$F:$F,A22,'LỊCH TÀU - 09.2025 '!$M:$M)</f>
        <v>39478</v>
      </c>
      <c r="I22" s="2927">
        <f t="shared" si="6"/>
        <v>9.0247599104793561E-2</v>
      </c>
      <c r="J22" s="2811">
        <f>SUMIFS('LỊCH TÀU - 10.2025 '!M:M,'LỊCH TÀU - 10.2025 '!F:F,KH!A22)</f>
        <v>50053</v>
      </c>
      <c r="K22" s="3142">
        <f t="shared" si="11"/>
        <v>0.10395093726765606</v>
      </c>
      <c r="L22" s="2811">
        <f>SUMIF('LỊCH TÀU - 11.2025'!$F:$F,KH!A22,'LỊCH TÀU - 11.2025'!$M:$M)</f>
        <v>35062</v>
      </c>
      <c r="M22" s="3142">
        <f t="shared" si="12"/>
        <v>8.3822629384538883E-2</v>
      </c>
      <c r="N22" s="3534">
        <f>SUMIF('LỊCH TÀU - 12.2025'!$F:$F,KH!A22,'LỊCH TÀU - 12.2025'!$M:$M)</f>
        <v>0</v>
      </c>
      <c r="O22" s="3142">
        <f t="shared" si="7"/>
        <v>0</v>
      </c>
      <c r="P22" s="2807">
        <v>55000</v>
      </c>
      <c r="Q22" s="2807">
        <f t="shared" si="8"/>
        <v>46750</v>
      </c>
      <c r="R22" s="2807">
        <f t="shared" si="9"/>
        <v>15583.333333333334</v>
      </c>
      <c r="S22" s="3169">
        <f t="shared" si="13"/>
        <v>0.10185185185185185</v>
      </c>
      <c r="U22" s="2832">
        <f t="shared" si="14"/>
        <v>11688</v>
      </c>
      <c r="V22" s="2832">
        <v>16000</v>
      </c>
      <c r="W22" s="2832"/>
      <c r="X22" s="3202">
        <f t="shared" si="10"/>
        <v>-4312</v>
      </c>
      <c r="Y22" s="2832"/>
      <c r="Z22" s="3645">
        <v>25.5</v>
      </c>
      <c r="AA22" s="2800" t="s">
        <v>35</v>
      </c>
      <c r="AB22" s="2832"/>
    </row>
    <row r="23" spans="1:28" ht="14.3" customHeight="1">
      <c r="A23" s="2834" t="s">
        <v>20</v>
      </c>
      <c r="B23" s="2862">
        <f>SUMIF('LỊCH TÀU - 07.2025'!$F:$F,$A23,'LỊCH TÀU - 07.2025'!$L:$L)</f>
        <v>33435</v>
      </c>
      <c r="C23" s="2863">
        <f t="shared" si="4"/>
        <v>0.10608449517880475</v>
      </c>
      <c r="D23" s="2828">
        <f>SUMIF('LỊCH TÀU - 08.2025'!$F:$F,$A23,'LỊCH TÀU - 08.2025'!$L:$L)</f>
        <v>27927</v>
      </c>
      <c r="E23" s="2863">
        <f t="shared" si="5"/>
        <v>7.7064448031789398E-2</v>
      </c>
      <c r="F23" s="2808"/>
      <c r="G23" s="2808"/>
      <c r="H23" s="2917">
        <f>SUMIF('LỊCH TÀU - 09.2025 '!$F:$F,A23,'LỊCH TÀU - 09.2025 '!$M:$M)</f>
        <v>40647</v>
      </c>
      <c r="I23" s="2927">
        <f t="shared" si="6"/>
        <v>9.2919959491680026E-2</v>
      </c>
      <c r="J23" s="2811">
        <f>SUMIFS('LỊCH TÀU - 10.2025 '!M:M,'LỊCH TÀU - 10.2025 '!F:F,KH!A23)</f>
        <v>47802</v>
      </c>
      <c r="K23" s="3142">
        <f t="shared" si="11"/>
        <v>9.9276021482598342E-2</v>
      </c>
      <c r="L23" s="2811">
        <f>SUMIF('LỊCH TÀU - 11.2025'!$F:$F,KH!A23,'LỊCH TÀU - 11.2025'!$M:$M)</f>
        <v>23394</v>
      </c>
      <c r="M23" s="3142">
        <f t="shared" si="12"/>
        <v>5.5927973071185404E-2</v>
      </c>
      <c r="N23" s="3534">
        <f>SUMIF('LỊCH TÀU - 12.2025'!$F:$F,KH!A23,'LỊCH TÀU - 12.2025'!$M:$M)</f>
        <v>0</v>
      </c>
      <c r="O23" s="3142">
        <f t="shared" si="7"/>
        <v>0</v>
      </c>
      <c r="P23" s="2807">
        <v>55000</v>
      </c>
      <c r="Q23" s="2807">
        <f t="shared" si="8"/>
        <v>46750</v>
      </c>
      <c r="R23" s="2807">
        <f t="shared" si="9"/>
        <v>15583.333333333334</v>
      </c>
      <c r="S23" s="3169">
        <f t="shared" si="13"/>
        <v>0.10185185185185185</v>
      </c>
      <c r="U23" s="2832">
        <f t="shared" si="14"/>
        <v>23356</v>
      </c>
      <c r="V23" s="2832"/>
      <c r="W23" s="2832"/>
      <c r="X23" s="3202">
        <f t="shared" si="10"/>
        <v>23356</v>
      </c>
      <c r="Y23" s="2832"/>
      <c r="Z23" s="3645">
        <v>25.5</v>
      </c>
      <c r="AB23" s="2832"/>
    </row>
    <row r="24" spans="1:28" ht="14.3" customHeight="1">
      <c r="A24" s="2834" t="s">
        <v>22</v>
      </c>
      <c r="B24" s="2862">
        <f>SUMIF('LỊCH TÀU - 07.2025'!$F:$F,$A24,'LỊCH TÀU - 07.2025'!$L:$L)</f>
        <v>24187</v>
      </c>
      <c r="C24" s="2863">
        <f t="shared" si="4"/>
        <v>7.6741907728121742E-2</v>
      </c>
      <c r="D24" s="2828">
        <f>SUMIF('LỊCH TÀU - 08.2025'!$F:$F,$A24,'LỊCH TÀU - 08.2025'!$L:$L)</f>
        <v>32196</v>
      </c>
      <c r="E24" s="2863">
        <f t="shared" si="5"/>
        <v>8.8844736951032746E-2</v>
      </c>
      <c r="F24" s="2808"/>
      <c r="G24" s="2808"/>
      <c r="H24" s="2917">
        <f>SUMIF('LỊCH TÀU - 09.2025 '!$F:$F,A24,'LỊCH TÀU - 09.2025 '!$M:$M)</f>
        <v>43326</v>
      </c>
      <c r="I24" s="2927">
        <f t="shared" si="6"/>
        <v>9.904421396256867E-2</v>
      </c>
      <c r="J24" s="2811">
        <f>SUMIFS('LỊCH TÀU - 10.2025 '!M:M,'LỊCH TÀU - 10.2025 '!F:F,KH!A24)</f>
        <v>42553</v>
      </c>
      <c r="K24" s="3142">
        <f t="shared" si="11"/>
        <v>8.8374807375193667E-2</v>
      </c>
      <c r="L24" s="2811">
        <f>SUMIF('LỊCH TÀU - 11.2025'!$F:$F,KH!A24,'LỊCH TÀU - 11.2025'!$M:$M)</f>
        <v>33320</v>
      </c>
      <c r="M24" s="3142">
        <f t="shared" si="12"/>
        <v>7.9658034655548327E-2</v>
      </c>
      <c r="N24" s="3534">
        <f>SUMIF('LỊCH TÀU - 12.2025'!$F:$F,KH!A24,'LỊCH TÀU - 12.2025'!$M:$M)</f>
        <v>11920</v>
      </c>
      <c r="O24" s="3142">
        <f t="shared" si="7"/>
        <v>0.16030123722431414</v>
      </c>
      <c r="P24" s="2807">
        <v>55000</v>
      </c>
      <c r="Q24" s="2807">
        <f t="shared" si="8"/>
        <v>46750</v>
      </c>
      <c r="R24" s="2807">
        <f t="shared" si="9"/>
        <v>15583.333333333334</v>
      </c>
      <c r="S24" s="3169">
        <f t="shared" si="13"/>
        <v>0.10185185185185185</v>
      </c>
      <c r="U24" s="2832">
        <f t="shared" si="14"/>
        <v>13430</v>
      </c>
      <c r="V24" s="2832">
        <v>12900</v>
      </c>
      <c r="W24" s="2832"/>
      <c r="X24" s="3202">
        <f t="shared" si="10"/>
        <v>530</v>
      </c>
      <c r="Y24" s="2832">
        <v>29</v>
      </c>
      <c r="Z24" s="3645">
        <v>52</v>
      </c>
      <c r="AA24" s="2800" t="s">
        <v>36</v>
      </c>
      <c r="AB24" s="2832"/>
    </row>
    <row r="25" spans="1:28" ht="14.3" customHeight="1">
      <c r="A25" s="2834" t="s">
        <v>24</v>
      </c>
      <c r="B25" s="2862">
        <f>SUMIF('LỊCH TÀU - 07.2025'!$F:$F,$A25,'LỊCH TÀU - 07.2025'!$L:$L)-SUMIF('LỊCH TÀU - 07.2025'!$C:$C,"Đường bộ",'LỊCH TÀU - 07.2025'!$L:$L)</f>
        <v>7489</v>
      </c>
      <c r="C25" s="2863">
        <f t="shared" si="4"/>
        <v>2.3761530862690856E-2</v>
      </c>
      <c r="D25" s="2881">
        <f>(SUMIF('LỊCH TÀU - 08.2025'!$F:$F,$A25,'LỊCH TÀU - 08.2025'!$L:$L)-SUMIF('LỊCH TÀU - 08.2025'!$C:$C,"Đường bộ",'LỊCH TÀU - 08.2025'!$L:$L))</f>
        <v>22329</v>
      </c>
      <c r="E25" s="2863">
        <f t="shared" si="5"/>
        <v>6.1616788774369803E-2</v>
      </c>
      <c r="F25" s="2808"/>
      <c r="G25" s="2808"/>
      <c r="H25" s="2917">
        <f>SUMIF('LỊCH TÀU - 09.2025 '!$F:$F,A25,'LỊCH TÀU - 09.2025 '!$M:$M)</f>
        <v>25638</v>
      </c>
      <c r="I25" s="2927">
        <f t="shared" si="6"/>
        <v>5.8609046705727169E-2</v>
      </c>
      <c r="J25" s="2811">
        <f>SUMIFS('LỊCH TÀU - 10.2025 '!M:M,'LỊCH TÀU - 10.2025 '!F:F,KH!A25)</f>
        <v>27618</v>
      </c>
      <c r="K25" s="3142">
        <f t="shared" si="11"/>
        <v>5.735754071600354E-2</v>
      </c>
      <c r="L25" s="2811">
        <f>SUMIF('LỊCH TÀU - 11.2025'!$F:$F,KH!A25,'LỊCH TÀU - 11.2025'!$M:$M)</f>
        <v>16168</v>
      </c>
      <c r="M25" s="3142">
        <f t="shared" si="12"/>
        <v>3.8652794247025973E-2</v>
      </c>
      <c r="N25" s="3534">
        <f>SUMIF('LỊCH TÀU - 12.2025'!$F:$F,KH!A25,'LỊCH TÀU - 12.2025'!$M:$M)</f>
        <v>0</v>
      </c>
      <c r="O25" s="3142">
        <f t="shared" si="7"/>
        <v>0</v>
      </c>
      <c r="P25" s="2807">
        <v>25000</v>
      </c>
      <c r="Q25" s="2807">
        <f t="shared" si="8"/>
        <v>21250</v>
      </c>
      <c r="R25" s="2807">
        <f t="shared" si="9"/>
        <v>7083.333333333333</v>
      </c>
      <c r="S25" s="3169">
        <f t="shared" si="13"/>
        <v>4.6296296296296294E-2</v>
      </c>
      <c r="U25" s="2832">
        <f t="shared" si="14"/>
        <v>5082</v>
      </c>
      <c r="V25" s="2832">
        <v>10790</v>
      </c>
      <c r="W25" s="2832"/>
      <c r="X25" s="3202">
        <f t="shared" si="10"/>
        <v>-5708</v>
      </c>
      <c r="Y25" s="2832"/>
      <c r="Z25" s="3645">
        <v>15</v>
      </c>
      <c r="AA25" s="2832"/>
      <c r="AB25" s="2832"/>
    </row>
    <row r="26" spans="1:28" ht="14.3" customHeight="1">
      <c r="A26" s="2834" t="s">
        <v>26</v>
      </c>
      <c r="B26" s="2862"/>
      <c r="C26" s="2863">
        <f t="shared" si="4"/>
        <v>0</v>
      </c>
      <c r="D26" s="2828">
        <f>(SUMIF('LỊCH TÀU - 08.2025'!$F:$F,$A26,'LỊCH TÀU - 08.2025'!$L:$L))</f>
        <v>16793</v>
      </c>
      <c r="E26" s="2863">
        <f t="shared" si="5"/>
        <v>4.6340218276142778E-2</v>
      </c>
      <c r="F26" s="2808"/>
      <c r="G26" s="2808"/>
      <c r="H26" s="2917">
        <f>SUMIF('LỊCH TÀU - 09.2025 '!$F:$F,A26,'LỊCH TÀU - 09.2025 '!$M:$M)</f>
        <v>21632</v>
      </c>
      <c r="I26" s="2927">
        <f t="shared" si="6"/>
        <v>4.9451240281546537E-2</v>
      </c>
      <c r="J26" s="2811">
        <f>SUMIFS('LỊCH TÀU - 10.2025 '!M:M,'LỊCH TÀU - 10.2025 '!F:F,KH!A26)</f>
        <v>22046</v>
      </c>
      <c r="K26" s="3142">
        <f t="shared" si="11"/>
        <v>4.5785514614563476E-2</v>
      </c>
      <c r="L26" s="2811">
        <f>SUMIF('LỊCH TÀU - 11.2025'!$F:$F,KH!A26,'LỊCH TÀU - 11.2025'!$M:$M)</f>
        <v>22408</v>
      </c>
      <c r="M26" s="3142">
        <f t="shared" si="12"/>
        <v>5.3570745515051831E-2</v>
      </c>
      <c r="N26" s="3534">
        <f>SUMIF('LỊCH TÀU - 12.2025'!$F:$F,KH!A26,'LỊCH TÀU - 12.2025'!$M:$M)</f>
        <v>0</v>
      </c>
      <c r="O26" s="3142">
        <f t="shared" si="7"/>
        <v>0</v>
      </c>
      <c r="P26" s="2807">
        <v>25000</v>
      </c>
      <c r="Q26" s="2807">
        <f t="shared" si="8"/>
        <v>21250</v>
      </c>
      <c r="R26" s="2807">
        <f t="shared" si="9"/>
        <v>7083.333333333333</v>
      </c>
      <c r="S26" s="3169">
        <f t="shared" si="13"/>
        <v>4.6296296296296294E-2</v>
      </c>
      <c r="U26" s="2832">
        <f t="shared" si="14"/>
        <v>-1158</v>
      </c>
      <c r="V26" s="2832"/>
      <c r="W26" s="2832"/>
      <c r="X26" s="3202">
        <f t="shared" si="10"/>
        <v>-1158</v>
      </c>
      <c r="Y26" s="2832"/>
      <c r="Z26" s="3645">
        <v>15</v>
      </c>
      <c r="AA26" s="2832"/>
      <c r="AB26" s="2832"/>
    </row>
    <row r="27" spans="1:28" s="2839" customFormat="1" ht="14.3" customHeight="1">
      <c r="A27" s="2840" t="s">
        <v>37</v>
      </c>
      <c r="B27" s="2864">
        <f>SUM(B20:B26)</f>
        <v>315173.29599999997</v>
      </c>
      <c r="C27" s="2865"/>
      <c r="D27" s="2864">
        <f>SUM(D20:D26)</f>
        <v>362385</v>
      </c>
      <c r="E27" s="2865"/>
      <c r="F27" s="2842"/>
      <c r="G27" s="2842"/>
      <c r="H27" s="2841">
        <f>SUM(H20:H26)</f>
        <v>437441</v>
      </c>
      <c r="I27" s="2842"/>
      <c r="J27" s="2841">
        <f>SUM(J20:J26)</f>
        <v>481506</v>
      </c>
      <c r="K27" s="2842"/>
      <c r="L27" s="2841">
        <f>SUM(L20:L26)</f>
        <v>418288</v>
      </c>
      <c r="M27" s="2842"/>
      <c r="N27" s="2841">
        <f>SUM(N20:N26)</f>
        <v>74360</v>
      </c>
      <c r="O27" s="2842"/>
      <c r="P27" s="2838">
        <f>SUM(P20:P26)</f>
        <v>540000</v>
      </c>
      <c r="Q27" s="3170">
        <f>SUM(Q20:Q26)</f>
        <v>459000</v>
      </c>
      <c r="R27" s="3171"/>
      <c r="T27" s="3096"/>
      <c r="U27" s="3486">
        <f>SUM(U20:U26)</f>
        <v>40712</v>
      </c>
      <c r="V27" s="3202"/>
      <c r="W27" s="3202"/>
      <c r="Z27" s="3646">
        <f>SUM(Z20:Z26)</f>
        <v>588</v>
      </c>
    </row>
    <row r="28" spans="1:28" ht="14.3" customHeight="1">
      <c r="A28" s="2837" t="s">
        <v>38</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8"/>
      <c r="O28" s="2808"/>
      <c r="P28" s="2807"/>
      <c r="U28" s="3169"/>
      <c r="Z28" s="3346"/>
    </row>
    <row r="29" spans="1:28" ht="14.3" customHeight="1">
      <c r="A29" s="2803" t="s">
        <v>39</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c r="N29" s="2808"/>
      <c r="O29" s="2808"/>
    </row>
    <row r="30" spans="1:28" ht="14.3" customHeight="1">
      <c r="A30" s="2803" t="s">
        <v>40</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c r="N30" s="2808"/>
      <c r="O30" s="2808"/>
    </row>
    <row r="31" spans="1:28" ht="14.3" customHeight="1">
      <c r="A31" s="2840" t="s">
        <v>37</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418288</v>
      </c>
      <c r="M31" s="2842"/>
      <c r="N31" s="2843">
        <f>SUM(N27:N30)</f>
        <v>74360</v>
      </c>
      <c r="O31" s="2842"/>
      <c r="U31" s="3095" t="s">
        <v>41</v>
      </c>
      <c r="V31" s="2800" t="s">
        <v>42</v>
      </c>
    </row>
    <row r="32" spans="1:28" ht="14.3" customHeight="1">
      <c r="T32" s="3095" t="s">
        <v>43</v>
      </c>
      <c r="U32" s="2832">
        <v>50000</v>
      </c>
      <c r="V32" s="2800">
        <v>14000</v>
      </c>
      <c r="X32" s="3202">
        <f>U32+V32</f>
        <v>64000</v>
      </c>
      <c r="Y32" s="2800">
        <v>48200</v>
      </c>
      <c r="Z32" s="2832">
        <f>X32-Y32</f>
        <v>15800</v>
      </c>
      <c r="AA32" s="2800">
        <v>20000</v>
      </c>
      <c r="AB32" s="2800" t="s">
        <v>44</v>
      </c>
    </row>
    <row r="33" spans="20:26" ht="14.3" customHeight="1">
      <c r="T33" s="3095" t="s">
        <v>45</v>
      </c>
      <c r="U33" s="2832">
        <f>68000-18500-11900-11700</f>
        <v>25900</v>
      </c>
      <c r="V33" s="2800">
        <v>20000</v>
      </c>
      <c r="X33" s="3202">
        <f>U33+V33</f>
        <v>45900</v>
      </c>
      <c r="Y33" s="2800">
        <f>5900+12900</f>
        <v>18800</v>
      </c>
      <c r="Z33" s="3202">
        <f>X33-Y33</f>
        <v>27100</v>
      </c>
    </row>
    <row r="34" spans="20:26" ht="14.3" customHeight="1">
      <c r="T34" s="3095" t="s">
        <v>46</v>
      </c>
      <c r="U34" s="2832">
        <v>50000</v>
      </c>
      <c r="X34" s="3202">
        <f>U34+V34</f>
        <v>50000</v>
      </c>
      <c r="Z34" s="3202">
        <f>X34-Y34</f>
        <v>50000</v>
      </c>
    </row>
    <row r="35" spans="20:26" ht="14.3" customHeight="1">
      <c r="T35" s="3095" t="s">
        <v>6</v>
      </c>
      <c r="U35" s="2832">
        <f>SUM(U32:U34)</f>
        <v>125900</v>
      </c>
      <c r="V35" s="2800">
        <f>SUM(V32:V34)</f>
        <v>34000</v>
      </c>
      <c r="X35" s="2832">
        <f>U35+V35-83000</f>
        <v>76900</v>
      </c>
      <c r="Z35" s="2832">
        <f>SUM(Z32:Z34)</f>
        <v>92900</v>
      </c>
    </row>
    <row r="38" spans="20:26" ht="14.3" customHeight="1">
      <c r="U38" s="3520"/>
    </row>
  </sheetData>
  <mergeCells count="7">
    <mergeCell ref="N18:O18"/>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375" style="9" customWidth="1"/>
    <col min="12" max="12" width="17.25" style="1" customWidth="1"/>
    <col min="13" max="13" width="18.75" style="763" customWidth="1"/>
    <col min="14" max="16384" width="32.125" style="3"/>
  </cols>
  <sheetData>
    <row r="1" spans="1:14" ht="58.6" customHeight="1">
      <c r="B1" s="10"/>
      <c r="C1" s="3671"/>
      <c r="D1" s="3671"/>
      <c r="E1" s="3671"/>
      <c r="F1" s="3671"/>
      <c r="G1" s="3671"/>
      <c r="H1" s="3671"/>
      <c r="I1" s="3671"/>
      <c r="J1" s="3671"/>
      <c r="K1" s="3671"/>
      <c r="M1" s="1848"/>
    </row>
    <row r="2" spans="1:14" ht="39.75" customHeight="1">
      <c r="A2" s="3672" t="s">
        <v>47</v>
      </c>
      <c r="B2" s="3672"/>
      <c r="C2" s="3672"/>
      <c r="D2" s="3672"/>
      <c r="E2" s="3672"/>
      <c r="F2" s="3672"/>
      <c r="G2" s="3672"/>
      <c r="H2" s="3672"/>
      <c r="I2" s="3672"/>
      <c r="J2" s="3672"/>
      <c r="K2" s="3672"/>
      <c r="L2" s="3672"/>
      <c r="M2" s="3672"/>
      <c r="N2" s="287"/>
    </row>
    <row r="3" spans="1:14" s="1725" customFormat="1" ht="45" customHeight="1">
      <c r="A3" s="1723"/>
      <c r="B3" s="3673"/>
      <c r="C3" s="3674"/>
      <c r="D3" s="3674"/>
      <c r="E3" s="3674"/>
      <c r="F3" s="3674"/>
      <c r="G3" s="3674"/>
      <c r="H3" s="3674"/>
      <c r="I3" s="3674"/>
      <c r="J3" s="3674"/>
      <c r="K3" s="3674"/>
      <c r="L3" s="3674"/>
      <c r="M3" s="3675"/>
      <c r="N3" s="1724"/>
    </row>
    <row r="4" spans="1:14" ht="30.1" customHeight="1">
      <c r="A4" s="3676"/>
      <c r="B4" s="3676"/>
      <c r="C4" s="1810">
        <f>SUBTOTAL(9,C9:C43)</f>
        <v>263630</v>
      </c>
      <c r="D4" s="1503"/>
      <c r="E4" s="1504"/>
      <c r="F4" s="1503"/>
      <c r="G4" s="1503"/>
      <c r="H4" s="1503"/>
      <c r="I4" s="1503"/>
      <c r="J4" s="1504">
        <f ca="1">TODAY()</f>
        <v>45988</v>
      </c>
      <c r="L4" s="1504"/>
      <c r="M4" s="1849"/>
      <c r="N4" s="287"/>
    </row>
    <row r="5" spans="1:14" s="1535" customFormat="1" ht="36" customHeight="1">
      <c r="A5" s="361" t="s">
        <v>48</v>
      </c>
      <c r="B5" s="204" t="s">
        <v>49</v>
      </c>
      <c r="C5" s="1811" t="s">
        <v>50</v>
      </c>
      <c r="D5" s="204" t="s">
        <v>51</v>
      </c>
      <c r="E5" s="204" t="s">
        <v>52</v>
      </c>
      <c r="F5" s="204" t="s">
        <v>53</v>
      </c>
      <c r="G5" s="204" t="s">
        <v>54</v>
      </c>
      <c r="H5" s="204" t="s">
        <v>55</v>
      </c>
      <c r="I5" s="204" t="s">
        <v>56</v>
      </c>
      <c r="J5" s="204" t="s">
        <v>57</v>
      </c>
      <c r="K5" s="204" t="s">
        <v>58</v>
      </c>
      <c r="L5" s="204" t="s">
        <v>59</v>
      </c>
      <c r="M5" s="1858" t="s">
        <v>60</v>
      </c>
      <c r="N5" s="1534" t="e">
        <f>SUM(#REF!)</f>
        <v>#REF!</v>
      </c>
    </row>
    <row r="6" spans="1:14" s="1548" customFormat="1" ht="86.95" customHeight="1">
      <c r="A6" s="1542" cm="1">
        <f t="array" ref="A6:A50">_xlfn.SEQUENCE(45,1,1)</f>
        <v>1</v>
      </c>
      <c r="B6" s="1493" t="s">
        <v>61</v>
      </c>
      <c r="C6" s="1826">
        <v>4000</v>
      </c>
      <c r="D6" s="1495" t="s">
        <v>62</v>
      </c>
      <c r="E6" s="1769" t="s">
        <v>18</v>
      </c>
      <c r="F6" s="1495" t="s">
        <v>63</v>
      </c>
      <c r="G6" s="1626" t="s">
        <v>64</v>
      </c>
      <c r="H6" s="1626" t="s">
        <v>65</v>
      </c>
      <c r="I6" s="1493" t="s">
        <v>66</v>
      </c>
      <c r="J6" s="1496" t="s">
        <v>67</v>
      </c>
      <c r="K6" s="1547"/>
      <c r="L6" s="1493"/>
      <c r="M6" s="1790" t="s">
        <v>68</v>
      </c>
    </row>
    <row r="7" spans="1:14" s="1548" customFormat="1" ht="223.5" customHeight="1">
      <c r="A7" s="1542">
        <v>2</v>
      </c>
      <c r="B7" s="1493" t="s">
        <v>69</v>
      </c>
      <c r="C7" s="1826">
        <v>11500</v>
      </c>
      <c r="D7" s="1495" t="s">
        <v>70</v>
      </c>
      <c r="E7" s="1493" t="s">
        <v>38</v>
      </c>
      <c r="F7" s="1495" t="s">
        <v>71</v>
      </c>
      <c r="G7" s="1748" t="s">
        <v>72</v>
      </c>
      <c r="H7" s="1493" t="s">
        <v>65</v>
      </c>
      <c r="I7" s="1493" t="s">
        <v>73</v>
      </c>
      <c r="J7" s="1605" t="s">
        <v>74</v>
      </c>
      <c r="K7" s="1547"/>
      <c r="L7" s="1493"/>
      <c r="M7" s="1790"/>
    </row>
    <row r="8" spans="1:14" s="1548" customFormat="1" ht="169.5" customHeight="1">
      <c r="A8" s="1542">
        <v>3</v>
      </c>
      <c r="B8" s="1493" t="s">
        <v>75</v>
      </c>
      <c r="C8" s="1826">
        <v>3900</v>
      </c>
      <c r="D8" s="1495" t="s">
        <v>76</v>
      </c>
      <c r="E8" s="1493" t="s">
        <v>18</v>
      </c>
      <c r="F8" s="1495" t="s">
        <v>77</v>
      </c>
      <c r="G8" s="1495" t="s">
        <v>64</v>
      </c>
      <c r="H8" s="1493" t="s">
        <v>65</v>
      </c>
      <c r="I8" s="1493" t="s">
        <v>78</v>
      </c>
      <c r="J8" s="1496" t="s">
        <v>79</v>
      </c>
      <c r="K8" s="1547"/>
      <c r="L8" s="1493"/>
      <c r="M8" s="1790" t="s">
        <v>68</v>
      </c>
    </row>
    <row r="9" spans="1:14" s="1548" customFormat="1" ht="140.94999999999999" customHeight="1">
      <c r="A9" s="1542">
        <v>4</v>
      </c>
      <c r="B9" s="1493" t="s">
        <v>80</v>
      </c>
      <c r="C9" s="1826">
        <v>17200</v>
      </c>
      <c r="D9" s="1495" t="s">
        <v>81</v>
      </c>
      <c r="E9" s="1493" t="s">
        <v>82</v>
      </c>
      <c r="F9" s="1495" t="s">
        <v>83</v>
      </c>
      <c r="G9" s="1748" t="s">
        <v>84</v>
      </c>
      <c r="H9" s="1493" t="s">
        <v>65</v>
      </c>
      <c r="I9" s="1769" t="s">
        <v>85</v>
      </c>
      <c r="J9" s="1885" t="s">
        <v>86</v>
      </c>
      <c r="K9" s="1771"/>
      <c r="L9" s="1493"/>
      <c r="M9" s="1790"/>
    </row>
    <row r="10" spans="1:14" s="1548" customFormat="1" ht="75.099999999999994" customHeight="1">
      <c r="A10" s="1542">
        <v>5</v>
      </c>
      <c r="B10" s="1493" t="s">
        <v>87</v>
      </c>
      <c r="C10" s="1826">
        <v>6000</v>
      </c>
      <c r="D10" s="1495" t="s">
        <v>76</v>
      </c>
      <c r="E10" s="1493" t="s">
        <v>88</v>
      </c>
      <c r="F10" s="1495" t="s">
        <v>89</v>
      </c>
      <c r="G10" s="1495" t="s">
        <v>64</v>
      </c>
      <c r="H10" s="1493" t="s">
        <v>65</v>
      </c>
      <c r="I10" s="1495" t="s">
        <v>90</v>
      </c>
      <c r="J10" s="1496" t="s">
        <v>91</v>
      </c>
      <c r="K10" s="1547"/>
      <c r="L10" s="1493"/>
      <c r="M10" s="1790" t="s">
        <v>68</v>
      </c>
    </row>
    <row r="11" spans="1:14" s="1548" customFormat="1" ht="77.3" customHeight="1">
      <c r="A11" s="1542">
        <v>6</v>
      </c>
      <c r="B11" s="1493" t="s">
        <v>92</v>
      </c>
      <c r="C11" s="1826">
        <v>4250</v>
      </c>
      <c r="D11" s="1495" t="s">
        <v>93</v>
      </c>
      <c r="E11" s="1493" t="s">
        <v>88</v>
      </c>
      <c r="F11" s="1495" t="s">
        <v>94</v>
      </c>
      <c r="G11" s="1495" t="s">
        <v>64</v>
      </c>
      <c r="H11" s="1493" t="s">
        <v>65</v>
      </c>
      <c r="I11" s="1493" t="s">
        <v>95</v>
      </c>
      <c r="J11" s="1600" t="s">
        <v>96</v>
      </c>
      <c r="K11" s="1547"/>
      <c r="L11" s="1493"/>
      <c r="M11" s="1790" t="s">
        <v>68</v>
      </c>
    </row>
    <row r="12" spans="1:14" s="1548" customFormat="1" ht="109.55" customHeight="1">
      <c r="A12" s="1542">
        <v>7</v>
      </c>
      <c r="B12" s="1493" t="s">
        <v>97</v>
      </c>
      <c r="C12" s="1826">
        <v>4700</v>
      </c>
      <c r="D12" s="1495" t="s">
        <v>98</v>
      </c>
      <c r="E12" s="1493" t="s">
        <v>26</v>
      </c>
      <c r="F12" s="1495" t="s">
        <v>99</v>
      </c>
      <c r="G12" s="1495" t="s">
        <v>64</v>
      </c>
      <c r="H12" s="1493" t="s">
        <v>65</v>
      </c>
      <c r="I12" s="1495" t="s">
        <v>100</v>
      </c>
      <c r="J12" s="1496" t="s">
        <v>101</v>
      </c>
      <c r="K12" s="1859" t="s">
        <v>102</v>
      </c>
      <c r="L12" s="1493"/>
      <c r="M12" s="1790" t="s">
        <v>68</v>
      </c>
    </row>
    <row r="13" spans="1:14" s="1548" customFormat="1" ht="69.8" customHeight="1">
      <c r="A13" s="1542">
        <v>8</v>
      </c>
      <c r="B13" s="1493" t="s">
        <v>103</v>
      </c>
      <c r="C13" s="1826">
        <v>3300</v>
      </c>
      <c r="D13" s="1766" t="s">
        <v>104</v>
      </c>
      <c r="E13" s="1493" t="s">
        <v>20</v>
      </c>
      <c r="F13" s="1495" t="s">
        <v>105</v>
      </c>
      <c r="G13" s="1495" t="s">
        <v>64</v>
      </c>
      <c r="H13" s="1493" t="s">
        <v>65</v>
      </c>
      <c r="I13" s="1545" t="s">
        <v>106</v>
      </c>
      <c r="J13" s="1600" t="s">
        <v>107</v>
      </c>
      <c r="K13" s="1843" t="s">
        <v>108</v>
      </c>
      <c r="L13" s="1493"/>
      <c r="M13" s="1790" t="s">
        <v>68</v>
      </c>
    </row>
    <row r="14" spans="1:14" s="1548" customFormat="1" ht="58.6" customHeight="1">
      <c r="A14" s="1542">
        <v>9</v>
      </c>
      <c r="B14" s="1493" t="s">
        <v>109</v>
      </c>
      <c r="C14" s="1826">
        <v>17000</v>
      </c>
      <c r="D14" s="1495" t="s">
        <v>110</v>
      </c>
      <c r="E14" s="1769" t="s">
        <v>38</v>
      </c>
      <c r="F14" s="1495" t="s">
        <v>111</v>
      </c>
      <c r="G14" s="1495" t="s">
        <v>64</v>
      </c>
      <c r="H14" s="1626" t="s">
        <v>65</v>
      </c>
      <c r="I14" s="1493" t="s">
        <v>112</v>
      </c>
      <c r="J14" s="1496" t="s">
        <v>113</v>
      </c>
      <c r="K14" s="1547"/>
      <c r="L14" s="1493"/>
      <c r="M14" s="1790"/>
    </row>
    <row r="15" spans="1:14" s="1548" customFormat="1" ht="57.75" customHeight="1">
      <c r="A15" s="1542">
        <v>10</v>
      </c>
      <c r="B15" s="1493" t="s">
        <v>114</v>
      </c>
      <c r="C15" s="1826">
        <v>3700</v>
      </c>
      <c r="D15" s="1495" t="s">
        <v>115</v>
      </c>
      <c r="E15" s="1493" t="s">
        <v>26</v>
      </c>
      <c r="F15" s="1495" t="s">
        <v>116</v>
      </c>
      <c r="G15" s="1495" t="s">
        <v>64</v>
      </c>
      <c r="H15" s="1493" t="s">
        <v>65</v>
      </c>
      <c r="I15" s="1495" t="s">
        <v>117</v>
      </c>
      <c r="J15" s="1496" t="s">
        <v>118</v>
      </c>
      <c r="K15" s="1547"/>
      <c r="L15" s="1493"/>
      <c r="M15" s="1790" t="s">
        <v>68</v>
      </c>
    </row>
    <row r="16" spans="1:14" s="1548" customFormat="1" ht="409.6" customHeight="1">
      <c r="A16" s="1542">
        <v>11</v>
      </c>
      <c r="B16" s="1493" t="s">
        <v>119</v>
      </c>
      <c r="C16" s="1826">
        <v>9600</v>
      </c>
      <c r="D16" s="1495" t="s">
        <v>104</v>
      </c>
      <c r="E16" s="1495" t="s">
        <v>120</v>
      </c>
      <c r="F16" s="1851" t="s">
        <v>121</v>
      </c>
      <c r="G16" s="1495" t="s">
        <v>64</v>
      </c>
      <c r="H16" s="1626" t="s">
        <v>65</v>
      </c>
      <c r="I16" s="1493" t="s">
        <v>122</v>
      </c>
      <c r="J16" s="1600" t="s">
        <v>123</v>
      </c>
      <c r="K16" s="1547" t="s">
        <v>124</v>
      </c>
      <c r="L16" s="1493"/>
      <c r="M16" s="1790"/>
    </row>
    <row r="17" spans="1:13" s="1548" customFormat="1" ht="120.1" customHeight="1">
      <c r="A17" s="1542">
        <v>12</v>
      </c>
      <c r="B17" s="1493" t="s">
        <v>125</v>
      </c>
      <c r="C17" s="1826">
        <v>4300</v>
      </c>
      <c r="D17" s="1495" t="s">
        <v>126</v>
      </c>
      <c r="E17" s="1493" t="s">
        <v>22</v>
      </c>
      <c r="F17" s="1495" t="s">
        <v>127</v>
      </c>
      <c r="G17" s="1495" t="s">
        <v>64</v>
      </c>
      <c r="H17" s="1493" t="s">
        <v>65</v>
      </c>
      <c r="I17" s="1493" t="s">
        <v>95</v>
      </c>
      <c r="J17" s="1496" t="s">
        <v>128</v>
      </c>
      <c r="K17" s="1547"/>
      <c r="L17" s="1493"/>
      <c r="M17" s="1790" t="s">
        <v>68</v>
      </c>
    </row>
    <row r="18" spans="1:13" s="1548" customFormat="1" ht="92.25" customHeight="1">
      <c r="A18" s="1542">
        <v>13</v>
      </c>
      <c r="B18" s="1493" t="s">
        <v>129</v>
      </c>
      <c r="C18" s="1826">
        <v>3080</v>
      </c>
      <c r="D18" s="1495" t="s">
        <v>130</v>
      </c>
      <c r="E18" s="1493" t="s">
        <v>24</v>
      </c>
      <c r="F18" s="1495" t="s">
        <v>131</v>
      </c>
      <c r="G18" s="1495" t="s">
        <v>64</v>
      </c>
      <c r="H18" s="1493" t="s">
        <v>65</v>
      </c>
      <c r="I18" s="1493" t="s">
        <v>90</v>
      </c>
      <c r="J18" s="1600" t="s">
        <v>132</v>
      </c>
      <c r="K18" s="1600" t="s">
        <v>133</v>
      </c>
      <c r="L18" s="1493"/>
      <c r="M18" s="1790" t="s">
        <v>68</v>
      </c>
    </row>
    <row r="19" spans="1:13" s="1548" customFormat="1" ht="96.8" customHeight="1">
      <c r="A19" s="1542">
        <v>14</v>
      </c>
      <c r="B19" s="1493" t="s">
        <v>134</v>
      </c>
      <c r="C19" s="1826">
        <v>2950</v>
      </c>
      <c r="D19" s="1495" t="s">
        <v>135</v>
      </c>
      <c r="E19" s="1493" t="s">
        <v>22</v>
      </c>
      <c r="F19" s="1495" t="s">
        <v>131</v>
      </c>
      <c r="G19" s="1495" t="s">
        <v>64</v>
      </c>
      <c r="H19" s="1493" t="s">
        <v>65</v>
      </c>
      <c r="I19" s="1495" t="s">
        <v>136</v>
      </c>
      <c r="J19" s="1496" t="s">
        <v>137</v>
      </c>
      <c r="K19" s="1859" t="s">
        <v>138</v>
      </c>
      <c r="L19" s="1493"/>
      <c r="M19" s="1790" t="s">
        <v>68</v>
      </c>
    </row>
    <row r="20" spans="1:13" s="1548" customFormat="1" ht="58.6" customHeight="1">
      <c r="A20" s="1542">
        <v>15</v>
      </c>
      <c r="B20" s="1493" t="s">
        <v>139</v>
      </c>
      <c r="C20" s="1826">
        <v>4400</v>
      </c>
      <c r="D20" s="1787" t="s">
        <v>140</v>
      </c>
      <c r="E20" s="1493" t="s">
        <v>24</v>
      </c>
      <c r="F20" s="1495" t="s">
        <v>141</v>
      </c>
      <c r="G20" s="1495" t="s">
        <v>64</v>
      </c>
      <c r="H20" s="1493" t="s">
        <v>65</v>
      </c>
      <c r="I20" s="1493" t="s">
        <v>142</v>
      </c>
      <c r="J20" s="1600" t="s">
        <v>143</v>
      </c>
      <c r="K20" s="1600" t="s">
        <v>144</v>
      </c>
      <c r="L20" s="1493"/>
      <c r="M20" s="1790" t="s">
        <v>68</v>
      </c>
    </row>
    <row r="21" spans="1:13" s="1548" customFormat="1" ht="269.35000000000002" customHeight="1">
      <c r="A21" s="1850">
        <v>16</v>
      </c>
      <c r="B21" s="1493" t="s">
        <v>145</v>
      </c>
      <c r="C21" s="1826">
        <v>7000</v>
      </c>
      <c r="D21" s="1495" t="s">
        <v>146</v>
      </c>
      <c r="E21" s="1769" t="s">
        <v>147</v>
      </c>
      <c r="F21" s="1495" t="s">
        <v>148</v>
      </c>
      <c r="G21" s="1748" t="s">
        <v>149</v>
      </c>
      <c r="H21" s="1493" t="s">
        <v>65</v>
      </c>
      <c r="I21" s="1493" t="s">
        <v>150</v>
      </c>
      <c r="J21" s="1634" t="s">
        <v>151</v>
      </c>
      <c r="K21" s="1859" t="s">
        <v>152</v>
      </c>
      <c r="L21" s="1493"/>
      <c r="M21" s="1790"/>
    </row>
    <row r="22" spans="1:13" s="1548" customFormat="1" ht="111.1" customHeight="1">
      <c r="A22" s="1542">
        <v>17</v>
      </c>
      <c r="B22" s="1493" t="s">
        <v>153</v>
      </c>
      <c r="C22" s="1826">
        <v>11000</v>
      </c>
      <c r="D22" s="1495" t="s">
        <v>135</v>
      </c>
      <c r="E22" s="1545" t="s">
        <v>22</v>
      </c>
      <c r="F22" s="1495" t="s">
        <v>154</v>
      </c>
      <c r="G22" s="1495" t="s">
        <v>64</v>
      </c>
      <c r="H22" s="1493" t="s">
        <v>65</v>
      </c>
      <c r="I22" s="1493" t="s">
        <v>155</v>
      </c>
      <c r="J22" s="1600" t="s">
        <v>156</v>
      </c>
      <c r="K22" s="1859" t="s">
        <v>157</v>
      </c>
      <c r="L22" s="1493"/>
      <c r="M22" s="1790" t="s">
        <v>68</v>
      </c>
    </row>
    <row r="23" spans="1:13" s="1559" customFormat="1" ht="65.25" customHeight="1">
      <c r="A23" s="1553">
        <v>18</v>
      </c>
      <c r="B23" s="1545" t="s">
        <v>158</v>
      </c>
      <c r="C23" s="1827">
        <v>4000</v>
      </c>
      <c r="D23" s="1543" t="s">
        <v>159</v>
      </c>
      <c r="E23" s="1545" t="s">
        <v>22</v>
      </c>
      <c r="F23" s="1543" t="s">
        <v>160</v>
      </c>
      <c r="G23" s="1495" t="s">
        <v>64</v>
      </c>
      <c r="H23" s="1545" t="s">
        <v>65</v>
      </c>
      <c r="I23" s="1545" t="s">
        <v>95</v>
      </c>
      <c r="J23" s="1546" t="s">
        <v>161</v>
      </c>
      <c r="K23" s="1860"/>
      <c r="L23" s="1545"/>
      <c r="M23" s="1852" t="s">
        <v>68</v>
      </c>
    </row>
    <row r="24" spans="1:13" s="1548" customFormat="1" ht="65.25" customHeight="1">
      <c r="A24" s="1542">
        <v>19</v>
      </c>
      <c r="B24" s="1493" t="s">
        <v>87</v>
      </c>
      <c r="C24" s="1826">
        <v>6000</v>
      </c>
      <c r="D24" s="1495" t="s">
        <v>162</v>
      </c>
      <c r="E24" s="1545" t="s">
        <v>88</v>
      </c>
      <c r="F24" s="1495" t="s">
        <v>163</v>
      </c>
      <c r="G24" s="1495" t="s">
        <v>64</v>
      </c>
      <c r="H24" s="1493" t="s">
        <v>65</v>
      </c>
      <c r="I24" s="1493" t="s">
        <v>164</v>
      </c>
      <c r="J24" s="1600" t="s">
        <v>165</v>
      </c>
      <c r="K24" s="1547" t="s">
        <v>166</v>
      </c>
      <c r="L24" s="1493"/>
      <c r="M24" s="1790" t="s">
        <v>68</v>
      </c>
    </row>
    <row r="25" spans="1:13" s="1548" customFormat="1" ht="57.1" customHeight="1">
      <c r="A25" s="1542">
        <v>20</v>
      </c>
      <c r="B25" s="1493" t="s">
        <v>167</v>
      </c>
      <c r="C25" s="1826">
        <v>700</v>
      </c>
      <c r="D25" s="1495" t="s">
        <v>168</v>
      </c>
      <c r="E25" s="1493" t="s">
        <v>38</v>
      </c>
      <c r="F25" s="1851" t="s">
        <v>169</v>
      </c>
      <c r="G25" s="1495" t="s">
        <v>64</v>
      </c>
      <c r="H25" s="1493" t="s">
        <v>65</v>
      </c>
      <c r="I25" s="1493" t="s">
        <v>170</v>
      </c>
      <c r="J25" s="1861" t="s">
        <v>171</v>
      </c>
      <c r="K25" s="1547"/>
      <c r="L25" s="1493"/>
      <c r="M25" s="1790"/>
    </row>
    <row r="26" spans="1:13" s="1548" customFormat="1" ht="68.95" customHeight="1">
      <c r="A26" s="1542">
        <v>21</v>
      </c>
      <c r="B26" s="1493" t="s">
        <v>172</v>
      </c>
      <c r="C26" s="1826">
        <v>5000</v>
      </c>
      <c r="D26" s="1495" t="s">
        <v>173</v>
      </c>
      <c r="E26" s="1493" t="s">
        <v>120</v>
      </c>
      <c r="F26" s="1495" t="s">
        <v>174</v>
      </c>
      <c r="G26" s="1495" t="s">
        <v>64</v>
      </c>
      <c r="H26" s="1493" t="s">
        <v>65</v>
      </c>
      <c r="I26" s="1493" t="s">
        <v>175</v>
      </c>
      <c r="J26" s="1600" t="s">
        <v>176</v>
      </c>
      <c r="K26" s="1547"/>
      <c r="L26" s="1493"/>
      <c r="M26" s="1790"/>
    </row>
    <row r="27" spans="1:13" s="1559" customFormat="1" ht="68.95" customHeight="1">
      <c r="A27" s="1553">
        <v>22</v>
      </c>
      <c r="B27" s="1545" t="s">
        <v>177</v>
      </c>
      <c r="C27" s="1827">
        <v>3800</v>
      </c>
      <c r="D27" s="1543" t="s">
        <v>178</v>
      </c>
      <c r="E27" s="1545" t="s">
        <v>24</v>
      </c>
      <c r="F27" s="1543" t="s">
        <v>179</v>
      </c>
      <c r="G27" s="1543" t="s">
        <v>64</v>
      </c>
      <c r="H27" s="1545" t="s">
        <v>65</v>
      </c>
      <c r="I27" s="1545" t="s">
        <v>142</v>
      </c>
      <c r="J27" s="1546" t="s">
        <v>180</v>
      </c>
      <c r="K27" s="1860" t="s">
        <v>166</v>
      </c>
      <c r="L27" s="1545"/>
      <c r="M27" s="1852" t="s">
        <v>68</v>
      </c>
    </row>
    <row r="28" spans="1:13" s="1548" customFormat="1" ht="108.7" customHeight="1">
      <c r="A28" s="1542">
        <v>23</v>
      </c>
      <c r="B28" s="1493" t="s">
        <v>181</v>
      </c>
      <c r="C28" s="1826">
        <v>16000</v>
      </c>
      <c r="D28" s="1495" t="s">
        <v>182</v>
      </c>
      <c r="E28" s="1493" t="s">
        <v>88</v>
      </c>
      <c r="F28" s="1495" t="s">
        <v>183</v>
      </c>
      <c r="G28" s="1495" t="s">
        <v>64</v>
      </c>
      <c r="H28" s="1493" t="s">
        <v>65</v>
      </c>
      <c r="I28" s="1495" t="s">
        <v>90</v>
      </c>
      <c r="J28" s="1496" t="s">
        <v>184</v>
      </c>
      <c r="K28" s="1843" t="s">
        <v>185</v>
      </c>
      <c r="L28" s="1493"/>
      <c r="M28" s="1790" t="s">
        <v>68</v>
      </c>
    </row>
    <row r="29" spans="1:13" s="1548" customFormat="1" ht="162" customHeight="1">
      <c r="A29" s="1542">
        <v>24</v>
      </c>
      <c r="B29" s="1493" t="s">
        <v>186</v>
      </c>
      <c r="C29" s="1826">
        <v>13000</v>
      </c>
      <c r="D29" s="1624" t="s">
        <v>135</v>
      </c>
      <c r="E29" s="1493" t="s">
        <v>24</v>
      </c>
      <c r="F29" s="1495" t="s">
        <v>187</v>
      </c>
      <c r="G29" s="1495" t="s">
        <v>188</v>
      </c>
      <c r="H29" s="1769" t="s">
        <v>65</v>
      </c>
      <c r="I29" s="1493" t="s">
        <v>90</v>
      </c>
      <c r="J29" s="1886" t="s">
        <v>189</v>
      </c>
      <c r="K29" s="1862" t="s">
        <v>190</v>
      </c>
      <c r="L29" s="1493"/>
      <c r="M29" s="1790" t="s">
        <v>68</v>
      </c>
    </row>
    <row r="30" spans="1:13" s="1548" customFormat="1" ht="123.8" customHeight="1">
      <c r="A30" s="1542">
        <v>25</v>
      </c>
      <c r="B30" s="1493" t="s">
        <v>191</v>
      </c>
      <c r="C30" s="1826">
        <v>8300</v>
      </c>
      <c r="D30" s="1495" t="s">
        <v>182</v>
      </c>
      <c r="E30" s="1545" t="s">
        <v>192</v>
      </c>
      <c r="F30" s="1495" t="s">
        <v>193</v>
      </c>
      <c r="G30" s="1495" t="s">
        <v>188</v>
      </c>
      <c r="H30" s="1493" t="s">
        <v>194</v>
      </c>
      <c r="I30" s="1493" t="s">
        <v>195</v>
      </c>
      <c r="J30" s="1496" t="s">
        <v>196</v>
      </c>
      <c r="K30" s="1843" t="s">
        <v>197</v>
      </c>
      <c r="L30" s="1493"/>
      <c r="M30" s="1790" t="s">
        <v>68</v>
      </c>
    </row>
    <row r="31" spans="1:13" s="1548" customFormat="1" ht="96.8" customHeight="1">
      <c r="A31" s="1542">
        <v>26</v>
      </c>
      <c r="B31" s="1493" t="s">
        <v>198</v>
      </c>
      <c r="C31" s="1826">
        <v>3300</v>
      </c>
      <c r="D31" s="1495" t="s">
        <v>168</v>
      </c>
      <c r="E31" s="1493" t="s">
        <v>20</v>
      </c>
      <c r="F31" s="1495" t="s">
        <v>199</v>
      </c>
      <c r="G31" s="1495" t="s">
        <v>188</v>
      </c>
      <c r="H31" s="1493" t="s">
        <v>65</v>
      </c>
      <c r="I31" s="1495" t="s">
        <v>200</v>
      </c>
      <c r="J31" s="1600" t="s">
        <v>201</v>
      </c>
      <c r="K31" s="1547" t="s">
        <v>166</v>
      </c>
      <c r="L31" s="1493"/>
      <c r="M31" s="1790" t="s">
        <v>68</v>
      </c>
    </row>
    <row r="32" spans="1:13" s="1548" customFormat="1" ht="75.75" customHeight="1">
      <c r="A32" s="1542">
        <v>27</v>
      </c>
      <c r="B32" s="1545" t="s">
        <v>202</v>
      </c>
      <c r="C32" s="1826">
        <v>4000</v>
      </c>
      <c r="D32" s="1495" t="s">
        <v>203</v>
      </c>
      <c r="E32" s="1545" t="s">
        <v>120</v>
      </c>
      <c r="F32" s="1495" t="s">
        <v>204</v>
      </c>
      <c r="G32" s="1748" t="s">
        <v>64</v>
      </c>
      <c r="H32" s="1545" t="s">
        <v>65</v>
      </c>
      <c r="I32" s="1493" t="s">
        <v>205</v>
      </c>
      <c r="J32" s="1600" t="s">
        <v>206</v>
      </c>
      <c r="K32" s="1600" t="s">
        <v>207</v>
      </c>
      <c r="L32" s="1493"/>
      <c r="M32" s="1790"/>
    </row>
    <row r="33" spans="1:14" s="1548" customFormat="1" ht="83.25" customHeight="1">
      <c r="A33" s="1542">
        <v>28</v>
      </c>
      <c r="B33" s="1493" t="s">
        <v>134</v>
      </c>
      <c r="C33" s="1826">
        <v>3000</v>
      </c>
      <c r="D33" s="1495" t="s">
        <v>208</v>
      </c>
      <c r="E33" s="1493" t="s">
        <v>20</v>
      </c>
      <c r="F33" s="1495" t="s">
        <v>209</v>
      </c>
      <c r="G33" s="1748" t="s">
        <v>64</v>
      </c>
      <c r="H33" s="1493" t="s">
        <v>65</v>
      </c>
      <c r="I33" s="1493" t="s">
        <v>142</v>
      </c>
      <c r="J33" s="1600" t="s">
        <v>210</v>
      </c>
      <c r="K33" s="1547"/>
      <c r="L33" s="1493"/>
      <c r="M33" s="1790" t="s">
        <v>68</v>
      </c>
    </row>
    <row r="34" spans="1:14" s="1548" customFormat="1" ht="111.1" customHeight="1">
      <c r="A34" s="1542">
        <v>29</v>
      </c>
      <c r="B34" s="1493" t="s">
        <v>87</v>
      </c>
      <c r="C34" s="1826">
        <v>6000</v>
      </c>
      <c r="D34" s="1495" t="s">
        <v>211</v>
      </c>
      <c r="E34" s="1493" t="s">
        <v>88</v>
      </c>
      <c r="F34" s="1495" t="s">
        <v>212</v>
      </c>
      <c r="G34" s="1748" t="s">
        <v>64</v>
      </c>
      <c r="H34" s="1493" t="s">
        <v>65</v>
      </c>
      <c r="I34" s="1493" t="s">
        <v>213</v>
      </c>
      <c r="J34" s="1600" t="s">
        <v>214</v>
      </c>
      <c r="K34" s="1547" t="s">
        <v>215</v>
      </c>
      <c r="L34" s="1493"/>
      <c r="M34" s="1790" t="s">
        <v>68</v>
      </c>
    </row>
    <row r="35" spans="1:14" s="1548" customFormat="1" ht="77.3" customHeight="1">
      <c r="A35" s="1553">
        <v>30</v>
      </c>
      <c r="B35" s="1545" t="s">
        <v>216</v>
      </c>
      <c r="C35" s="1827">
        <v>10000</v>
      </c>
      <c r="D35" s="1543" t="s">
        <v>217</v>
      </c>
      <c r="E35" s="1545" t="s">
        <v>38</v>
      </c>
      <c r="F35" s="1543" t="s">
        <v>218</v>
      </c>
      <c r="G35" s="1748" t="s">
        <v>64</v>
      </c>
      <c r="H35" s="1545" t="s">
        <v>65</v>
      </c>
      <c r="I35" s="1545" t="s">
        <v>219</v>
      </c>
      <c r="J35" s="1605" t="s">
        <v>220</v>
      </c>
      <c r="K35" s="1828"/>
      <c r="L35" s="1545"/>
      <c r="M35" s="1852"/>
    </row>
    <row r="36" spans="1:14" s="1548" customFormat="1" ht="63.7" customHeight="1">
      <c r="A36" s="1542">
        <v>31</v>
      </c>
      <c r="B36" s="1493" t="s">
        <v>92</v>
      </c>
      <c r="C36" s="1826">
        <v>4250</v>
      </c>
      <c r="D36" s="1495" t="s">
        <v>221</v>
      </c>
      <c r="E36" s="1493" t="s">
        <v>88</v>
      </c>
      <c r="F36" s="1495" t="s">
        <v>222</v>
      </c>
      <c r="G36" s="1748" t="s">
        <v>64</v>
      </c>
      <c r="H36" s="1493" t="s">
        <v>65</v>
      </c>
      <c r="I36" s="1493" t="s">
        <v>117</v>
      </c>
      <c r="J36" s="1600" t="s">
        <v>223</v>
      </c>
      <c r="K36" s="1547"/>
      <c r="L36" s="1493"/>
      <c r="M36" s="1790" t="s">
        <v>68</v>
      </c>
    </row>
    <row r="37" spans="1:14" s="1548" customFormat="1" ht="43.5" customHeight="1">
      <c r="A37" s="1457">
        <v>32</v>
      </c>
      <c r="B37" s="1458" t="s">
        <v>224</v>
      </c>
      <c r="C37" s="1865">
        <v>5000</v>
      </c>
      <c r="D37" s="1460" t="s">
        <v>225</v>
      </c>
      <c r="E37" s="1458" t="s">
        <v>120</v>
      </c>
      <c r="F37" s="1460" t="s">
        <v>226</v>
      </c>
      <c r="G37" s="1748" t="s">
        <v>64</v>
      </c>
      <c r="H37" s="1458" t="s">
        <v>65</v>
      </c>
      <c r="I37" s="1458" t="s">
        <v>175</v>
      </c>
      <c r="J37" s="1466" t="s">
        <v>227</v>
      </c>
      <c r="K37" s="1466"/>
      <c r="L37" s="1458"/>
      <c r="M37" s="1473"/>
      <c r="N37" s="1807"/>
    </row>
    <row r="38" spans="1:14" s="1548" customFormat="1" ht="81.7" customHeight="1">
      <c r="A38" s="1457">
        <v>33</v>
      </c>
      <c r="B38" s="1458" t="s">
        <v>228</v>
      </c>
      <c r="C38" s="1865">
        <f>35000+8500</f>
        <v>43500</v>
      </c>
      <c r="D38" s="1460" t="s">
        <v>229</v>
      </c>
      <c r="E38" s="1458" t="s">
        <v>38</v>
      </c>
      <c r="F38" s="1460" t="s">
        <v>230</v>
      </c>
      <c r="G38" s="1748" t="s">
        <v>64</v>
      </c>
      <c r="H38" s="1458" t="s">
        <v>65</v>
      </c>
      <c r="I38" s="1458" t="s">
        <v>231</v>
      </c>
      <c r="J38" s="1472" t="s">
        <v>232</v>
      </c>
      <c r="K38" s="1466" t="s">
        <v>233</v>
      </c>
      <c r="L38" s="1458"/>
      <c r="M38" s="1473"/>
      <c r="N38" s="1807"/>
    </row>
    <row r="39" spans="1:14" s="1548" customFormat="1" ht="257.3" customHeight="1">
      <c r="A39" s="1542">
        <v>34</v>
      </c>
      <c r="B39" s="1493" t="s">
        <v>234</v>
      </c>
      <c r="C39" s="1826">
        <v>12000</v>
      </c>
      <c r="D39" s="1495" t="s">
        <v>235</v>
      </c>
      <c r="E39" s="1493" t="s">
        <v>88</v>
      </c>
      <c r="F39" s="1495" t="s">
        <v>218</v>
      </c>
      <c r="G39" s="1495" t="s">
        <v>236</v>
      </c>
      <c r="H39" s="1493" t="s">
        <v>65</v>
      </c>
      <c r="I39" s="1493" t="s">
        <v>95</v>
      </c>
      <c r="J39" s="1496" t="s">
        <v>237</v>
      </c>
      <c r="K39" s="1600"/>
      <c r="L39" s="1493"/>
      <c r="M39" s="1790" t="s">
        <v>68</v>
      </c>
    </row>
    <row r="40" spans="1:14" s="1548" customFormat="1" ht="62.35" customHeight="1">
      <c r="A40" s="1542">
        <v>35</v>
      </c>
      <c r="B40" s="1493" t="s">
        <v>97</v>
      </c>
      <c r="C40" s="1826">
        <v>4700</v>
      </c>
      <c r="D40" s="1495" t="s">
        <v>238</v>
      </c>
      <c r="E40" s="1493" t="s">
        <v>20</v>
      </c>
      <c r="F40" s="1495" t="s">
        <v>239</v>
      </c>
      <c r="G40" s="1495" t="s">
        <v>236</v>
      </c>
      <c r="H40" s="1493" t="s">
        <v>65</v>
      </c>
      <c r="I40" s="1493" t="s">
        <v>240</v>
      </c>
      <c r="J40" s="1496" t="s">
        <v>241</v>
      </c>
      <c r="K40" s="1600"/>
      <c r="L40" s="1493"/>
      <c r="M40" s="1790" t="s">
        <v>68</v>
      </c>
    </row>
    <row r="41" spans="1:14" s="1548" customFormat="1" ht="72" customHeight="1">
      <c r="A41" s="1542">
        <v>36</v>
      </c>
      <c r="B41" s="1493" t="s">
        <v>125</v>
      </c>
      <c r="C41" s="1826">
        <v>4300</v>
      </c>
      <c r="D41" s="1495" t="s">
        <v>225</v>
      </c>
      <c r="E41" s="1493" t="s">
        <v>22</v>
      </c>
      <c r="F41" s="1495" t="s">
        <v>242</v>
      </c>
      <c r="G41" s="1495" t="s">
        <v>243</v>
      </c>
      <c r="H41" s="1493" t="s">
        <v>65</v>
      </c>
      <c r="I41" s="1495" t="s">
        <v>244</v>
      </c>
      <c r="J41" s="1600" t="s">
        <v>245</v>
      </c>
      <c r="K41" s="1547" t="s">
        <v>246</v>
      </c>
      <c r="L41" s="1493"/>
      <c r="M41" s="1790" t="s">
        <v>68</v>
      </c>
    </row>
    <row r="42" spans="1:14" s="1548" customFormat="1" ht="58.6" customHeight="1">
      <c r="A42" s="1542">
        <v>37</v>
      </c>
      <c r="B42" s="1493" t="s">
        <v>247</v>
      </c>
      <c r="C42" s="1826">
        <v>4300</v>
      </c>
      <c r="D42" s="1495" t="s">
        <v>248</v>
      </c>
      <c r="E42" s="1493" t="s">
        <v>88</v>
      </c>
      <c r="F42" s="1495" t="s">
        <v>249</v>
      </c>
      <c r="G42" s="1495" t="s">
        <v>243</v>
      </c>
      <c r="H42" s="1493" t="s">
        <v>65</v>
      </c>
      <c r="I42" s="1493" t="s">
        <v>117</v>
      </c>
      <c r="J42" s="1547" t="s">
        <v>250</v>
      </c>
      <c r="K42" s="1547" t="s">
        <v>251</v>
      </c>
      <c r="L42" s="1493"/>
      <c r="M42" s="1790" t="s">
        <v>68</v>
      </c>
    </row>
    <row r="43" spans="1:14" s="1548" customFormat="1" ht="86.95" customHeight="1">
      <c r="A43" s="1542">
        <v>38</v>
      </c>
      <c r="B43" s="1493" t="s">
        <v>252</v>
      </c>
      <c r="C43" s="1826">
        <v>4000</v>
      </c>
      <c r="D43" s="1495" t="s">
        <v>248</v>
      </c>
      <c r="E43" s="1493" t="s">
        <v>20</v>
      </c>
      <c r="F43" s="1495" t="s">
        <v>253</v>
      </c>
      <c r="G43" s="1495" t="s">
        <v>243</v>
      </c>
      <c r="H43" s="1545" t="s">
        <v>65</v>
      </c>
      <c r="I43" s="1543" t="s">
        <v>254</v>
      </c>
      <c r="J43" s="1605" t="s">
        <v>255</v>
      </c>
      <c r="K43" s="1600" t="s">
        <v>256</v>
      </c>
      <c r="L43" s="1493"/>
      <c r="M43" s="1790" t="s">
        <v>68</v>
      </c>
    </row>
    <row r="44" spans="1:14" s="1823" customFormat="1" ht="45" customHeight="1">
      <c r="A44" s="1797">
        <v>39</v>
      </c>
      <c r="B44" s="1801" t="s">
        <v>125</v>
      </c>
      <c r="C44" s="1830">
        <v>4300</v>
      </c>
      <c r="D44" s="1802" t="s">
        <v>208</v>
      </c>
      <c r="E44" s="1801" t="s">
        <v>22</v>
      </c>
      <c r="F44" s="1863" t="s">
        <v>257</v>
      </c>
      <c r="G44" s="1802"/>
      <c r="H44" s="1801"/>
      <c r="I44" s="1801"/>
      <c r="J44" s="1803"/>
      <c r="K44" s="1864"/>
      <c r="L44" s="1801"/>
      <c r="M44" s="1798"/>
    </row>
    <row r="45" spans="1:14" s="1823" customFormat="1" ht="52.5" customHeight="1">
      <c r="A45" s="1797">
        <v>40</v>
      </c>
      <c r="B45" s="1801" t="s">
        <v>258</v>
      </c>
      <c r="C45" s="1830">
        <v>4250</v>
      </c>
      <c r="D45" s="1802" t="s">
        <v>259</v>
      </c>
      <c r="E45" s="1801" t="s">
        <v>88</v>
      </c>
      <c r="F45" s="1863" t="s">
        <v>257</v>
      </c>
      <c r="G45" s="1802"/>
      <c r="H45" s="1801"/>
      <c r="I45" s="1801"/>
      <c r="J45" s="1805"/>
      <c r="K45" s="1805"/>
      <c r="L45" s="1801"/>
      <c r="M45" s="1798"/>
    </row>
    <row r="46" spans="1:14" s="1823" customFormat="1" ht="52.5" customHeight="1">
      <c r="A46" s="1797">
        <v>41</v>
      </c>
      <c r="B46" s="1801" t="s">
        <v>260</v>
      </c>
      <c r="C46" s="1830">
        <v>3800</v>
      </c>
      <c r="D46" s="1802" t="s">
        <v>225</v>
      </c>
      <c r="E46" s="1801" t="s">
        <v>20</v>
      </c>
      <c r="F46" s="1863" t="s">
        <v>257</v>
      </c>
      <c r="G46" s="1802"/>
      <c r="H46" s="1801"/>
      <c r="I46" s="1802"/>
      <c r="J46" s="1803"/>
      <c r="K46" s="1805"/>
      <c r="L46" s="1801"/>
      <c r="M46" s="1798" t="s">
        <v>68</v>
      </c>
    </row>
    <row r="47" spans="1:14" s="1777" customFormat="1" ht="58.6" customHeight="1">
      <c r="A47" s="738">
        <v>42</v>
      </c>
      <c r="B47" s="102"/>
      <c r="C47" s="1207"/>
      <c r="D47" s="109"/>
      <c r="E47" s="102"/>
      <c r="F47" s="109"/>
      <c r="G47" s="109"/>
      <c r="H47" s="102"/>
      <c r="I47" s="102"/>
      <c r="J47" s="143"/>
      <c r="K47" s="143"/>
      <c r="L47" s="102"/>
      <c r="M47" s="1853"/>
    </row>
    <row r="48" spans="1:14" s="1777" customFormat="1" ht="58.6" customHeight="1">
      <c r="A48" s="738">
        <v>43</v>
      </c>
      <c r="B48" s="102"/>
      <c r="C48" s="1207"/>
      <c r="D48" s="109"/>
      <c r="E48" s="102"/>
      <c r="F48" s="109"/>
      <c r="G48" s="109"/>
      <c r="H48" s="102"/>
      <c r="I48" s="102"/>
      <c r="J48" s="143"/>
      <c r="K48" s="143"/>
      <c r="L48" s="102"/>
      <c r="M48" s="1853"/>
    </row>
    <row r="49" spans="1:1" ht="58.6" customHeight="1">
      <c r="A49" s="359">
        <v>44</v>
      </c>
    </row>
    <row r="50" spans="1:1" ht="58.6" customHeight="1">
      <c r="A50" s="359">
        <v>45</v>
      </c>
    </row>
  </sheetData>
  <autoFilter ref="A5:P50" xr:uid="{00000000-0009-0000-0000-000001000000}"/>
  <mergeCells count="4">
    <mergeCell ref="C1:K1"/>
    <mergeCell ref="A2:M2"/>
    <mergeCell ref="B3:M3"/>
    <mergeCell ref="A4:B4"/>
  </mergeCells>
  <conditionalFormatting sqref="A1:A4">
    <cfRule type="duplicateValues" dxfId="906" priority="5"/>
  </conditionalFormatting>
  <conditionalFormatting sqref="A5">
    <cfRule type="duplicateValues" dxfId="905" priority="4"/>
  </conditionalFormatting>
  <conditionalFormatting sqref="B5">
    <cfRule type="duplicateValues" dxfId="904" priority="1"/>
    <cfRule type="duplicateValues" dxfId="903" priority="2"/>
    <cfRule type="duplicateValues" dxfId="902"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topRight"/>
      <selection pane="bottomLeft"/>
      <selection pane="bottomRight"/>
    </sheetView>
  </sheetViews>
  <sheetFormatPr defaultColWidth="25.625" defaultRowHeight="18.350000000000001"/>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375" style="9" customWidth="1"/>
    <col min="11" max="11" width="47.3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350000000000001" customHeight="1">
      <c r="B1" s="10"/>
      <c r="C1" s="3671"/>
      <c r="D1" s="3671"/>
      <c r="E1" s="3671"/>
      <c r="F1" s="3671"/>
      <c r="G1" s="3671"/>
      <c r="H1" s="3671"/>
      <c r="I1" s="3671"/>
      <c r="J1" s="3671"/>
      <c r="K1" s="3671"/>
      <c r="N1" s="1487"/>
    </row>
    <row r="2" spans="1:15" ht="34.5" customHeight="1">
      <c r="A2" s="3677" t="s">
        <v>261</v>
      </c>
      <c r="B2" s="3677"/>
      <c r="C2" s="3677"/>
      <c r="D2" s="3677"/>
      <c r="E2" s="3677"/>
      <c r="F2" s="3677"/>
      <c r="G2" s="3677"/>
      <c r="H2" s="3677"/>
      <c r="I2" s="3677"/>
      <c r="J2" s="3677"/>
      <c r="K2" s="3677"/>
      <c r="L2" s="3677"/>
      <c r="M2" s="3677"/>
      <c r="N2" s="3677"/>
      <c r="O2" s="287"/>
    </row>
    <row r="3" spans="1:15" ht="29.25" customHeight="1">
      <c r="A3" s="3676"/>
      <c r="B3" s="3676"/>
      <c r="D3" s="1503"/>
      <c r="E3" s="1504"/>
      <c r="F3" s="1503"/>
      <c r="G3" s="1503"/>
      <c r="H3" s="1503"/>
      <c r="I3" s="1503"/>
      <c r="J3" s="1504">
        <f ca="1">TODAY()</f>
        <v>45988</v>
      </c>
      <c r="L3" s="1504"/>
      <c r="M3" s="1504"/>
      <c r="N3" s="1504"/>
      <c r="O3" s="287"/>
    </row>
    <row r="4" spans="1:15" s="7" customFormat="1" ht="56.25" customHeight="1">
      <c r="A4" s="1505" t="s">
        <v>48</v>
      </c>
      <c r="B4" s="1506" t="s">
        <v>49</v>
      </c>
      <c r="C4" s="1507" t="s">
        <v>50</v>
      </c>
      <c r="D4" s="1506" t="s">
        <v>51</v>
      </c>
      <c r="E4" s="1506" t="s">
        <v>52</v>
      </c>
      <c r="F4" s="1506" t="s">
        <v>53</v>
      </c>
      <c r="G4" s="1506" t="s">
        <v>262</v>
      </c>
      <c r="H4" s="1506" t="s">
        <v>55</v>
      </c>
      <c r="I4" s="1506" t="s">
        <v>56</v>
      </c>
      <c r="J4" s="1508" t="s">
        <v>263</v>
      </c>
      <c r="K4" s="1506" t="s">
        <v>58</v>
      </c>
      <c r="L4" s="1506" t="s">
        <v>52</v>
      </c>
      <c r="M4" s="1506" t="s">
        <v>59</v>
      </c>
      <c r="N4" s="1506" t="s">
        <v>60</v>
      </c>
      <c r="O4" s="1404" t="e">
        <f>SUM(#REF!)</f>
        <v>#REF!</v>
      </c>
    </row>
    <row r="5" spans="1:15" s="929" customFormat="1" ht="59.3" customHeight="1">
      <c r="A5" s="1488" t="e" cm="1">
        <f t="array" aca="1" ref="A5" ca="1">_xlfn.SEQUENCE(30,1,1,)</f>
        <v>#NAME?</v>
      </c>
      <c r="B5" s="1303" t="s">
        <v>264</v>
      </c>
      <c r="C5" s="1489">
        <v>3650</v>
      </c>
      <c r="D5" s="1490" t="s">
        <v>265</v>
      </c>
      <c r="E5" s="1303" t="s">
        <v>266</v>
      </c>
      <c r="F5" s="1509" t="s">
        <v>267</v>
      </c>
      <c r="G5" s="1510"/>
      <c r="H5" s="1303" t="s">
        <v>65</v>
      </c>
      <c r="I5" s="1490" t="s">
        <v>268</v>
      </c>
      <c r="J5" s="1440" t="s">
        <v>269</v>
      </c>
      <c r="K5" s="1491"/>
      <c r="L5" s="1303"/>
      <c r="M5" s="1303"/>
      <c r="N5" s="1492"/>
    </row>
    <row r="6" spans="1:15" s="841" customFormat="1" ht="66.099999999999994" customHeight="1">
      <c r="A6" s="1299"/>
      <c r="B6" s="1300" t="s">
        <v>97</v>
      </c>
      <c r="C6" s="1301">
        <v>4620</v>
      </c>
      <c r="D6" s="1302" t="s">
        <v>270</v>
      </c>
      <c r="E6" s="1300" t="s">
        <v>266</v>
      </c>
      <c r="F6" s="1511" t="s">
        <v>267</v>
      </c>
      <c r="G6" s="1512"/>
      <c r="H6" s="1300" t="s">
        <v>65</v>
      </c>
      <c r="I6" s="1300" t="s">
        <v>117</v>
      </c>
      <c r="J6" s="1440" t="s">
        <v>271</v>
      </c>
      <c r="K6" s="1475"/>
      <c r="L6" s="1300"/>
      <c r="M6" s="1300"/>
      <c r="N6" s="1475"/>
    </row>
    <row r="7" spans="1:15" s="1467" customFormat="1" ht="144.69999999999999" customHeight="1">
      <c r="A7" s="1457"/>
      <c r="B7" s="1458" t="s">
        <v>272</v>
      </c>
      <c r="C7" s="1459">
        <v>8400</v>
      </c>
      <c r="D7" s="1460" t="s">
        <v>273</v>
      </c>
      <c r="E7" s="1458" t="s">
        <v>24</v>
      </c>
      <c r="F7" s="1513" t="s">
        <v>267</v>
      </c>
      <c r="G7" s="1514" t="s">
        <v>274</v>
      </c>
      <c r="H7" s="1458" t="s">
        <v>65</v>
      </c>
      <c r="I7" s="1458" t="s">
        <v>275</v>
      </c>
      <c r="J7" s="1465" t="s">
        <v>276</v>
      </c>
      <c r="K7" s="1466"/>
      <c r="L7" s="1458"/>
      <c r="M7" s="1458"/>
      <c r="N7" s="1471" t="s">
        <v>277</v>
      </c>
    </row>
    <row r="8" spans="1:15" s="841" customFormat="1" ht="110.25" customHeight="1">
      <c r="A8" s="1299"/>
      <c r="B8" s="1300" t="s">
        <v>278</v>
      </c>
      <c r="C8" s="1301">
        <v>16300</v>
      </c>
      <c r="D8" s="1302" t="s">
        <v>279</v>
      </c>
      <c r="E8" s="1300" t="s">
        <v>88</v>
      </c>
      <c r="F8" s="1511" t="s">
        <v>267</v>
      </c>
      <c r="G8" s="1512" t="s">
        <v>280</v>
      </c>
      <c r="H8" s="1300" t="s">
        <v>65</v>
      </c>
      <c r="I8" s="1300" t="s">
        <v>281</v>
      </c>
      <c r="J8" s="1440" t="s">
        <v>282</v>
      </c>
      <c r="K8" s="1304" t="s">
        <v>283</v>
      </c>
      <c r="L8" s="1300"/>
      <c r="M8" s="1300">
        <f>3700+3700+7000+2000*0.93</f>
        <v>16260</v>
      </c>
      <c r="N8" s="1475"/>
    </row>
    <row r="9" spans="1:15" s="841" customFormat="1" ht="95.95" customHeight="1">
      <c r="A9" s="1299"/>
      <c r="B9" s="1300" t="s">
        <v>284</v>
      </c>
      <c r="C9" s="1301">
        <v>6000</v>
      </c>
      <c r="D9" s="1302" t="s">
        <v>285</v>
      </c>
      <c r="E9" s="1300" t="s">
        <v>88</v>
      </c>
      <c r="F9" s="1511" t="s">
        <v>267</v>
      </c>
      <c r="G9" s="1512" t="s">
        <v>286</v>
      </c>
      <c r="H9" s="1300" t="s">
        <v>65</v>
      </c>
      <c r="I9" s="1302" t="s">
        <v>287</v>
      </c>
      <c r="J9" s="1440" t="s">
        <v>288</v>
      </c>
      <c r="K9" s="1499" t="s">
        <v>289</v>
      </c>
      <c r="L9" s="1300"/>
      <c r="M9" s="1300"/>
      <c r="N9" s="1475">
        <f>1000+2000+1500+500</f>
        <v>5000</v>
      </c>
    </row>
    <row r="10" spans="1:15" s="841" customFormat="1" ht="69.8" customHeight="1">
      <c r="A10" s="1299"/>
      <c r="B10" s="1300" t="s">
        <v>290</v>
      </c>
      <c r="C10" s="1301">
        <v>2950</v>
      </c>
      <c r="D10" s="1302" t="s">
        <v>291</v>
      </c>
      <c r="E10" s="1300" t="s">
        <v>22</v>
      </c>
      <c r="F10" s="1511" t="s">
        <v>292</v>
      </c>
      <c r="G10" s="1512" t="s">
        <v>293</v>
      </c>
      <c r="H10" s="1300" t="s">
        <v>65</v>
      </c>
      <c r="I10" s="1302" t="s">
        <v>294</v>
      </c>
      <c r="J10" s="1304" t="s">
        <v>295</v>
      </c>
      <c r="K10" s="1304"/>
      <c r="L10" s="1300"/>
      <c r="M10" s="1300"/>
      <c r="N10" s="1475"/>
    </row>
    <row r="11" spans="1:15" s="841" customFormat="1" ht="180" customHeight="1">
      <c r="A11" s="1299"/>
      <c r="B11" s="1300" t="s">
        <v>296</v>
      </c>
      <c r="C11" s="1301">
        <v>12000</v>
      </c>
      <c r="D11" s="1490" t="s">
        <v>297</v>
      </c>
      <c r="E11" s="1300" t="s">
        <v>88</v>
      </c>
      <c r="F11" s="1511" t="s">
        <v>267</v>
      </c>
      <c r="G11" s="1512" t="s">
        <v>298</v>
      </c>
      <c r="H11" s="1300" t="s">
        <v>65</v>
      </c>
      <c r="I11" s="1300" t="s">
        <v>90</v>
      </c>
      <c r="J11" s="1304" t="s">
        <v>299</v>
      </c>
      <c r="K11" s="1304" t="s">
        <v>300</v>
      </c>
      <c r="L11" s="1300"/>
      <c r="M11" s="1305">
        <f>3000+2000+1000+660+3000+560+1500</f>
        <v>11720</v>
      </c>
      <c r="N11" s="1475"/>
    </row>
    <row r="12" spans="1:15" s="841" customFormat="1" ht="171" customHeight="1">
      <c r="A12" s="1299"/>
      <c r="B12" s="1300" t="s">
        <v>301</v>
      </c>
      <c r="C12" s="1301">
        <v>12300</v>
      </c>
      <c r="D12" s="1302" t="s">
        <v>302</v>
      </c>
      <c r="E12" s="1300" t="s">
        <v>18</v>
      </c>
      <c r="F12" s="1511" t="s">
        <v>267</v>
      </c>
      <c r="G12" s="1512"/>
      <c r="H12" s="1300" t="s">
        <v>65</v>
      </c>
      <c r="I12" s="1302" t="s">
        <v>281</v>
      </c>
      <c r="J12" s="1304" t="s">
        <v>303</v>
      </c>
      <c r="K12" s="1304"/>
      <c r="L12" s="1300"/>
      <c r="M12" s="1300"/>
      <c r="N12" s="1475"/>
    </row>
    <row r="13" spans="1:15" s="841" customFormat="1" ht="170.35" customHeight="1">
      <c r="A13" s="1299"/>
      <c r="B13" s="1300" t="s">
        <v>304</v>
      </c>
      <c r="C13" s="1301">
        <v>3000</v>
      </c>
      <c r="D13" s="1302" t="s">
        <v>305</v>
      </c>
      <c r="E13" s="1300" t="s">
        <v>306</v>
      </c>
      <c r="F13" s="1511" t="s">
        <v>267</v>
      </c>
      <c r="G13" s="1512" t="s">
        <v>307</v>
      </c>
      <c r="H13" s="1300" t="s">
        <v>65</v>
      </c>
      <c r="I13" s="1300" t="s">
        <v>308</v>
      </c>
      <c r="J13" s="1304" t="s">
        <v>309</v>
      </c>
      <c r="K13" s="1441" t="s">
        <v>310</v>
      </c>
      <c r="L13" s="1300"/>
      <c r="M13" s="1300"/>
      <c r="N13" s="1475"/>
    </row>
    <row r="14" spans="1:15" s="1414" customFormat="1" ht="89.35" customHeight="1">
      <c r="A14" s="1405"/>
      <c r="B14" s="1406" t="s">
        <v>311</v>
      </c>
      <c r="C14" s="1407">
        <v>3940</v>
      </c>
      <c r="D14" s="1408" t="s">
        <v>312</v>
      </c>
      <c r="E14" s="1406" t="s">
        <v>22</v>
      </c>
      <c r="F14" s="1515" t="s">
        <v>267</v>
      </c>
      <c r="G14" s="1478"/>
      <c r="H14" s="1406" t="s">
        <v>65</v>
      </c>
      <c r="I14" s="1408" t="s">
        <v>313</v>
      </c>
      <c r="J14" s="1500" t="s">
        <v>314</v>
      </c>
      <c r="K14" s="1415">
        <f>3000+863</f>
        <v>3863</v>
      </c>
      <c r="L14" s="1406"/>
      <c r="M14" s="1406"/>
      <c r="N14" s="1476"/>
    </row>
    <row r="15" spans="1:15" s="1414" customFormat="1" ht="51.8" customHeight="1">
      <c r="A15" s="1405"/>
      <c r="B15" s="1406" t="s">
        <v>315</v>
      </c>
      <c r="C15" s="1407">
        <v>4250</v>
      </c>
      <c r="D15" s="1408" t="s">
        <v>316</v>
      </c>
      <c r="E15" s="1406" t="s">
        <v>22</v>
      </c>
      <c r="F15" s="1515" t="s">
        <v>267</v>
      </c>
      <c r="G15" s="1478"/>
      <c r="H15" s="1406" t="s">
        <v>65</v>
      </c>
      <c r="I15" s="1406" t="s">
        <v>281</v>
      </c>
      <c r="J15" s="1500" t="s">
        <v>317</v>
      </c>
      <c r="K15" s="1415"/>
      <c r="L15" s="1406"/>
      <c r="M15" s="1406"/>
      <c r="N15" s="1476"/>
    </row>
    <row r="16" spans="1:15" s="1414" customFormat="1" ht="78.8" customHeight="1">
      <c r="A16" s="1405"/>
      <c r="B16" s="1406" t="s">
        <v>290</v>
      </c>
      <c r="C16" s="1407">
        <v>2950</v>
      </c>
      <c r="D16" s="1408" t="s">
        <v>318</v>
      </c>
      <c r="E16" s="1406" t="s">
        <v>22</v>
      </c>
      <c r="F16" s="1515" t="s">
        <v>267</v>
      </c>
      <c r="G16" s="1516"/>
      <c r="H16" s="1406" t="s">
        <v>65</v>
      </c>
      <c r="I16" s="1406" t="s">
        <v>117</v>
      </c>
      <c r="J16" s="1500" t="s">
        <v>319</v>
      </c>
      <c r="K16" s="1479"/>
      <c r="L16" s="1406"/>
      <c r="M16" s="1406"/>
      <c r="N16" s="1476"/>
    </row>
    <row r="17" spans="1:15" s="1414" customFormat="1" ht="133.5" customHeight="1">
      <c r="A17" s="1405"/>
      <c r="B17" s="1406" t="s">
        <v>320</v>
      </c>
      <c r="C17" s="1407">
        <v>12800</v>
      </c>
      <c r="D17" s="1408" t="s">
        <v>321</v>
      </c>
      <c r="E17" s="1406" t="s">
        <v>88</v>
      </c>
      <c r="F17" s="1515" t="s">
        <v>267</v>
      </c>
      <c r="G17" s="1478"/>
      <c r="H17" s="1406" t="s">
        <v>65</v>
      </c>
      <c r="I17" s="1408" t="s">
        <v>322</v>
      </c>
      <c r="J17" s="1415" t="s">
        <v>323</v>
      </c>
      <c r="K17" s="1415" t="s">
        <v>324</v>
      </c>
      <c r="L17" s="1406"/>
      <c r="M17" s="1406">
        <f>12800-1700-6700-1500-800-300</f>
        <v>1800</v>
      </c>
      <c r="N17" s="1476"/>
    </row>
    <row r="18" spans="1:15" s="1414" customFormat="1" ht="63.7" customHeight="1">
      <c r="A18" s="1405"/>
      <c r="B18" s="1406" t="s">
        <v>325</v>
      </c>
      <c r="C18" s="1407">
        <v>12000</v>
      </c>
      <c r="D18" s="1408" t="s">
        <v>326</v>
      </c>
      <c r="E18" s="1406" t="s">
        <v>38</v>
      </c>
      <c r="F18" s="1515" t="s">
        <v>267</v>
      </c>
      <c r="G18" s="1516"/>
      <c r="H18" s="1406" t="s">
        <v>65</v>
      </c>
      <c r="I18" s="1406" t="s">
        <v>327</v>
      </c>
      <c r="J18" s="1500" t="s">
        <v>328</v>
      </c>
      <c r="K18" s="1479"/>
      <c r="L18" s="1406"/>
      <c r="M18" s="1406"/>
      <c r="N18" s="1476"/>
    </row>
    <row r="19" spans="1:15" s="1486" customFormat="1" ht="78.8" customHeight="1">
      <c r="A19" s="1480"/>
      <c r="B19" s="1481" t="s">
        <v>278</v>
      </c>
      <c r="C19" s="1482">
        <v>16300</v>
      </c>
      <c r="D19" s="1483" t="s">
        <v>329</v>
      </c>
      <c r="E19" s="1481" t="s">
        <v>88</v>
      </c>
      <c r="F19" s="1517" t="s">
        <v>267</v>
      </c>
      <c r="G19" s="1518"/>
      <c r="H19" s="1481" t="s">
        <v>65</v>
      </c>
      <c r="I19" s="1481" t="s">
        <v>281</v>
      </c>
      <c r="J19" s="1501" t="s">
        <v>330</v>
      </c>
      <c r="K19" s="1484"/>
      <c r="L19" s="1481"/>
      <c r="M19" s="1481"/>
      <c r="N19" s="1485"/>
    </row>
    <row r="20" spans="1:15" s="1414" customFormat="1" ht="78.8" customHeight="1">
      <c r="A20" s="1405"/>
      <c r="B20" s="1406" t="s">
        <v>331</v>
      </c>
      <c r="C20" s="1407">
        <v>3080</v>
      </c>
      <c r="D20" s="1408" t="s">
        <v>332</v>
      </c>
      <c r="E20" s="1406" t="s">
        <v>24</v>
      </c>
      <c r="F20" s="1515" t="s">
        <v>267</v>
      </c>
      <c r="G20" s="1516"/>
      <c r="H20" s="1406" t="s">
        <v>65</v>
      </c>
      <c r="I20" s="1406" t="s">
        <v>275</v>
      </c>
      <c r="J20" s="1500" t="s">
        <v>333</v>
      </c>
      <c r="K20" s="1479"/>
      <c r="L20" s="1406"/>
      <c r="M20" s="1406"/>
      <c r="N20" s="1476"/>
    </row>
    <row r="21" spans="1:15" s="1414" customFormat="1" ht="82.55" customHeight="1">
      <c r="A21" s="1405"/>
      <c r="B21" s="1406" t="s">
        <v>334</v>
      </c>
      <c r="C21" s="1407">
        <v>4620</v>
      </c>
      <c r="D21" s="1408" t="s">
        <v>335</v>
      </c>
      <c r="E21" s="1406" t="s">
        <v>266</v>
      </c>
      <c r="F21" s="1515" t="s">
        <v>267</v>
      </c>
      <c r="G21" s="1516"/>
      <c r="H21" s="1406" t="s">
        <v>65</v>
      </c>
      <c r="I21" s="1406" t="s">
        <v>281</v>
      </c>
      <c r="J21" s="1500" t="s">
        <v>336</v>
      </c>
      <c r="K21" s="1479"/>
      <c r="L21" s="1406"/>
      <c r="M21" s="1406"/>
      <c r="N21" s="1476"/>
    </row>
    <row r="22" spans="1:15" s="1486" customFormat="1" ht="83.25" customHeight="1">
      <c r="A22" s="1480"/>
      <c r="B22" s="1481" t="s">
        <v>337</v>
      </c>
      <c r="C22" s="1482">
        <v>5000</v>
      </c>
      <c r="D22" s="1483" t="s">
        <v>338</v>
      </c>
      <c r="E22" s="1481" t="s">
        <v>24</v>
      </c>
      <c r="F22" s="1517" t="s">
        <v>267</v>
      </c>
      <c r="G22" s="1518"/>
      <c r="H22" s="1481" t="s">
        <v>65</v>
      </c>
      <c r="I22" s="1481" t="s">
        <v>281</v>
      </c>
      <c r="J22" s="1501" t="s">
        <v>339</v>
      </c>
      <c r="K22" s="1484"/>
      <c r="L22" s="1481"/>
      <c r="M22" s="1481"/>
      <c r="N22" s="1485"/>
    </row>
    <row r="23" spans="1:15" s="1414" customFormat="1" ht="85.6" customHeight="1">
      <c r="A23" s="1405"/>
      <c r="B23" s="1406" t="s">
        <v>331</v>
      </c>
      <c r="C23" s="1407">
        <v>3100</v>
      </c>
      <c r="D23" s="1408" t="s">
        <v>340</v>
      </c>
      <c r="E23" s="1477" t="s">
        <v>24</v>
      </c>
      <c r="F23" s="1515" t="s">
        <v>341</v>
      </c>
      <c r="G23" s="1520"/>
      <c r="H23" s="1477" t="s">
        <v>65</v>
      </c>
      <c r="I23" s="1406" t="s">
        <v>213</v>
      </c>
      <c r="J23" s="1500" t="s">
        <v>342</v>
      </c>
      <c r="K23" s="1479"/>
      <c r="L23" s="1406"/>
      <c r="M23" s="1406"/>
      <c r="N23" s="1521"/>
    </row>
    <row r="24" spans="1:15" s="1414" customFormat="1" ht="66.75" customHeight="1">
      <c r="A24" s="1405"/>
      <c r="B24" s="1406" t="s">
        <v>343</v>
      </c>
      <c r="C24" s="1407">
        <v>3950</v>
      </c>
      <c r="D24" s="1408" t="s">
        <v>344</v>
      </c>
      <c r="E24" s="1406" t="s">
        <v>22</v>
      </c>
      <c r="F24" s="1515" t="s">
        <v>341</v>
      </c>
      <c r="G24" s="1478" t="s">
        <v>345</v>
      </c>
      <c r="H24" s="1406" t="s">
        <v>65</v>
      </c>
      <c r="I24" s="1408" t="s">
        <v>275</v>
      </c>
      <c r="J24" s="1500" t="s">
        <v>346</v>
      </c>
      <c r="K24" s="1479"/>
      <c r="L24" s="1406"/>
      <c r="M24" s="1406"/>
      <c r="N24" s="1476"/>
    </row>
    <row r="25" spans="1:15" s="1414" customFormat="1" ht="201.75">
      <c r="A25" s="1405"/>
      <c r="B25" s="1406" t="s">
        <v>347</v>
      </c>
      <c r="C25" s="1407">
        <v>11350</v>
      </c>
      <c r="D25" s="1408" t="s">
        <v>348</v>
      </c>
      <c r="E25" s="1406" t="s">
        <v>349</v>
      </c>
      <c r="F25" s="1515" t="s">
        <v>341</v>
      </c>
      <c r="G25" s="1516"/>
      <c r="H25" s="1406" t="s">
        <v>65</v>
      </c>
      <c r="I25" s="1408" t="s">
        <v>350</v>
      </c>
      <c r="J25" s="1500" t="s">
        <v>351</v>
      </c>
      <c r="K25" s="1415" t="s">
        <v>352</v>
      </c>
      <c r="L25" s="1406"/>
      <c r="M25" s="1406"/>
      <c r="N25" s="1476"/>
    </row>
    <row r="26" spans="1:15" s="1414" customFormat="1" ht="109.55" customHeight="1">
      <c r="A26" s="1405"/>
      <c r="B26" s="1406" t="s">
        <v>353</v>
      </c>
      <c r="C26" s="1407">
        <v>10670</v>
      </c>
      <c r="D26" s="1408" t="s">
        <v>354</v>
      </c>
      <c r="E26" s="1406" t="s">
        <v>88</v>
      </c>
      <c r="F26" s="1515" t="s">
        <v>64</v>
      </c>
      <c r="G26" s="1516"/>
      <c r="H26" s="1406" t="s">
        <v>65</v>
      </c>
      <c r="I26" s="1406" t="s">
        <v>213</v>
      </c>
      <c r="J26" s="1500" t="s">
        <v>355</v>
      </c>
      <c r="K26" s="1476">
        <f>10670-1000-980-950-200</f>
        <v>7540</v>
      </c>
      <c r="L26" s="1406"/>
      <c r="M26" s="1406"/>
      <c r="N26" s="1476"/>
    </row>
    <row r="27" spans="1:15" s="139" customFormat="1" ht="140.94999999999999" customHeight="1">
      <c r="A27" s="1405"/>
      <c r="B27" s="1406" t="s">
        <v>315</v>
      </c>
      <c r="C27" s="1407">
        <v>4250</v>
      </c>
      <c r="D27" s="1408" t="s">
        <v>356</v>
      </c>
      <c r="E27" s="1406" t="s">
        <v>22</v>
      </c>
      <c r="F27" s="1515" t="s">
        <v>64</v>
      </c>
      <c r="G27" s="1478" t="s">
        <v>64</v>
      </c>
      <c r="H27" s="1406" t="s">
        <v>65</v>
      </c>
      <c r="I27" s="1406" t="s">
        <v>164</v>
      </c>
      <c r="J27" s="1618" t="s">
        <v>357</v>
      </c>
      <c r="K27" s="1415">
        <f>4250-1180-980-1080</f>
        <v>1010</v>
      </c>
      <c r="L27" s="1406"/>
      <c r="M27" s="1406"/>
      <c r="N27" s="1476"/>
      <c r="O27" s="1414"/>
    </row>
    <row r="28" spans="1:15" s="1486" customFormat="1" ht="186.8" customHeight="1">
      <c r="A28" s="1480"/>
      <c r="B28" s="1481" t="s">
        <v>320</v>
      </c>
      <c r="C28" s="1482">
        <v>12800</v>
      </c>
      <c r="D28" s="1483" t="s">
        <v>354</v>
      </c>
      <c r="E28" s="1481" t="s">
        <v>88</v>
      </c>
      <c r="F28" s="1517" t="s">
        <v>64</v>
      </c>
      <c r="G28" s="1518"/>
      <c r="H28" s="1481" t="s">
        <v>65</v>
      </c>
      <c r="I28" s="1481" t="s">
        <v>213</v>
      </c>
      <c r="J28" s="1501" t="s">
        <v>358</v>
      </c>
      <c r="K28" s="1485"/>
      <c r="L28" s="1481"/>
      <c r="M28" s="1481"/>
      <c r="N28" s="1485"/>
    </row>
    <row r="29" spans="1:15" s="1414" customFormat="1" ht="90.7" customHeight="1">
      <c r="A29" s="1405"/>
      <c r="B29" s="1406" t="s">
        <v>334</v>
      </c>
      <c r="C29" s="1407">
        <v>4620</v>
      </c>
      <c r="D29" s="1522" t="s">
        <v>359</v>
      </c>
      <c r="E29" s="1477" t="s">
        <v>266</v>
      </c>
      <c r="F29" s="1515" t="s">
        <v>64</v>
      </c>
      <c r="G29" s="1520"/>
      <c r="H29" s="1406" t="s">
        <v>65</v>
      </c>
      <c r="I29" s="1477" t="s">
        <v>360</v>
      </c>
      <c r="J29" s="1500" t="s">
        <v>361</v>
      </c>
      <c r="K29" s="1476">
        <f>C29-928-900</f>
        <v>2792</v>
      </c>
      <c r="L29" s="1406"/>
      <c r="M29" s="1406"/>
      <c r="N29" s="1521"/>
    </row>
    <row r="30" spans="1:15" s="1414" customFormat="1" ht="120.1" customHeight="1">
      <c r="A30" s="1523"/>
      <c r="B30" s="1524" t="s">
        <v>284</v>
      </c>
      <c r="C30" s="1525">
        <v>6000</v>
      </c>
      <c r="D30" s="1526" t="s">
        <v>362</v>
      </c>
      <c r="E30" s="1527" t="s">
        <v>88</v>
      </c>
      <c r="F30" s="1515" t="s">
        <v>64</v>
      </c>
      <c r="G30" s="1528"/>
      <c r="H30" s="1406" t="s">
        <v>65</v>
      </c>
      <c r="I30" s="1529" t="s">
        <v>106</v>
      </c>
      <c r="J30" s="1619" t="s">
        <v>363</v>
      </c>
      <c r="K30" s="1530"/>
      <c r="L30" s="1524"/>
      <c r="M30" s="1524"/>
      <c r="N30" s="1521"/>
    </row>
    <row r="31" spans="1:15" s="841" customFormat="1" ht="77.3" customHeight="1">
      <c r="A31" s="1299"/>
      <c r="B31" s="1302" t="s">
        <v>343</v>
      </c>
      <c r="C31" s="1301">
        <v>3950</v>
      </c>
      <c r="D31" s="1302" t="s">
        <v>364</v>
      </c>
      <c r="E31" s="1442" t="s">
        <v>22</v>
      </c>
      <c r="F31" s="1531" t="s">
        <v>64</v>
      </c>
      <c r="G31" s="1532"/>
      <c r="H31" s="1300" t="s">
        <v>65</v>
      </c>
      <c r="I31" s="1620" t="s">
        <v>294</v>
      </c>
      <c r="J31" s="1440" t="s">
        <v>365</v>
      </c>
      <c r="K31" s="1304"/>
      <c r="L31" s="1300"/>
      <c r="M31" s="1300"/>
      <c r="N31" s="1533"/>
    </row>
    <row r="32" spans="1:15" s="1467" customFormat="1" ht="59.95" customHeight="1">
      <c r="A32" s="1457"/>
      <c r="B32" s="1460" t="s">
        <v>311</v>
      </c>
      <c r="C32" s="1459">
        <v>3950</v>
      </c>
      <c r="D32" s="1537" t="s">
        <v>366</v>
      </c>
      <c r="E32" s="1462" t="s">
        <v>22</v>
      </c>
      <c r="F32" s="1538" t="s">
        <v>64</v>
      </c>
      <c r="G32" s="1539"/>
      <c r="H32" s="1458" t="s">
        <v>65</v>
      </c>
      <c r="I32" s="1621" t="s">
        <v>294</v>
      </c>
      <c r="J32" s="1472" t="s">
        <v>367</v>
      </c>
      <c r="K32" s="1465"/>
      <c r="L32" s="1458"/>
      <c r="M32" s="1458"/>
      <c r="N32" s="1540"/>
    </row>
    <row r="33" spans="1:14" s="1548" customFormat="1" ht="64.55" customHeight="1">
      <c r="A33" s="1542"/>
      <c r="B33" s="1469" t="s">
        <v>290</v>
      </c>
      <c r="C33" s="1459">
        <v>2950</v>
      </c>
      <c r="D33" s="1543" t="s">
        <v>368</v>
      </c>
      <c r="E33" s="1462" t="s">
        <v>22</v>
      </c>
      <c r="F33" s="1538" t="s">
        <v>64</v>
      </c>
      <c r="G33" s="1544"/>
      <c r="H33" s="1545" t="s">
        <v>65</v>
      </c>
      <c r="I33" s="1543" t="s">
        <v>369</v>
      </c>
      <c r="J33" s="1546" t="s">
        <v>370</v>
      </c>
      <c r="K33" s="1547"/>
      <c r="L33" s="1493"/>
      <c r="M33" s="1493"/>
      <c r="N33" s="1498"/>
    </row>
    <row r="34" spans="1:14" s="1467" customFormat="1" ht="90" customHeight="1">
      <c r="A34" s="1542">
        <v>32</v>
      </c>
      <c r="B34" s="1469" t="s">
        <v>371</v>
      </c>
      <c r="C34" s="1549">
        <v>6400</v>
      </c>
      <c r="D34" s="1495" t="s">
        <v>372</v>
      </c>
      <c r="E34" s="1493" t="s">
        <v>373</v>
      </c>
      <c r="F34" s="1538" t="s">
        <v>64</v>
      </c>
      <c r="G34" s="1550"/>
      <c r="H34" s="1545" t="s">
        <v>65</v>
      </c>
      <c r="I34" s="1495" t="s">
        <v>374</v>
      </c>
      <c r="J34" s="1496" t="s">
        <v>375</v>
      </c>
      <c r="K34" s="1551" t="s">
        <v>376</v>
      </c>
      <c r="L34" s="1474"/>
      <c r="M34" s="1474"/>
      <c r="N34" s="1540"/>
    </row>
    <row r="35" spans="1:14" ht="37.549999999999997" customHeight="1">
      <c r="A35" s="671"/>
      <c r="B35" s="642"/>
      <c r="C35" s="1433"/>
      <c r="D35" s="3678" t="s">
        <v>377</v>
      </c>
      <c r="E35" s="3679"/>
      <c r="F35" s="3679"/>
      <c r="G35" s="3679"/>
      <c r="H35" s="3679"/>
      <c r="I35" s="3679"/>
      <c r="J35" s="3680"/>
      <c r="K35" s="1434"/>
      <c r="L35" s="642"/>
      <c r="M35" s="642"/>
      <c r="N35" s="1434"/>
    </row>
    <row r="36" spans="1:14" ht="37.549999999999997" customHeight="1">
      <c r="A36" s="360"/>
      <c r="B36" s="41"/>
      <c r="C36" s="1282"/>
      <c r="D36" s="3678"/>
      <c r="E36" s="3679"/>
      <c r="F36" s="3679"/>
      <c r="G36" s="3679"/>
      <c r="H36" s="3679"/>
      <c r="I36" s="3679"/>
      <c r="J36" s="3680"/>
      <c r="K36" s="44"/>
      <c r="L36" s="41"/>
      <c r="M36" s="41"/>
      <c r="N36" s="44"/>
    </row>
    <row r="37" spans="1:14" ht="37.549999999999997" customHeight="1">
      <c r="A37" s="360"/>
      <c r="B37" s="41"/>
      <c r="C37" s="1282"/>
      <c r="D37" s="3678"/>
      <c r="E37" s="3679"/>
      <c r="F37" s="3679"/>
      <c r="G37" s="3679"/>
      <c r="H37" s="3679"/>
      <c r="I37" s="3679"/>
      <c r="J37" s="3680"/>
      <c r="K37" s="44"/>
      <c r="L37" s="41"/>
      <c r="M37" s="41"/>
      <c r="N37" s="44"/>
    </row>
    <row r="38" spans="1:14" ht="37.549999999999997" customHeight="1">
      <c r="A38" s="360"/>
      <c r="B38" s="41"/>
      <c r="C38" s="1282"/>
      <c r="D38" s="3678"/>
      <c r="E38" s="3679"/>
      <c r="F38" s="3679"/>
      <c r="G38" s="3679"/>
      <c r="H38" s="3679"/>
      <c r="I38" s="3679"/>
      <c r="J38" s="3680"/>
      <c r="K38" s="44"/>
      <c r="L38" s="41"/>
      <c r="M38" s="41"/>
      <c r="N38" s="44"/>
    </row>
    <row r="39" spans="1:14" ht="37.549999999999997" customHeight="1">
      <c r="A39" s="360"/>
      <c r="B39" s="41"/>
      <c r="C39" s="1282"/>
      <c r="D39" s="3681"/>
      <c r="E39" s="3682"/>
      <c r="F39" s="3682"/>
      <c r="G39" s="3682"/>
      <c r="H39" s="3682"/>
      <c r="I39" s="3682"/>
      <c r="J39" s="3683"/>
      <c r="K39" s="44"/>
      <c r="L39" s="41"/>
      <c r="M39" s="41"/>
      <c r="N39" s="44"/>
    </row>
    <row r="40" spans="1:14" ht="84.75" customHeight="1">
      <c r="A40" s="360"/>
      <c r="B40" s="41"/>
      <c r="C40" s="1282"/>
      <c r="D40" s="90"/>
      <c r="E40" s="41"/>
      <c r="F40" s="90"/>
      <c r="G40" s="90"/>
      <c r="H40" s="1541"/>
      <c r="I40" s="41"/>
      <c r="J40" s="507" t="s">
        <v>378</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1" priority="5"/>
  </conditionalFormatting>
  <conditionalFormatting sqref="A4">
    <cfRule type="duplicateValues" dxfId="900" priority="4"/>
  </conditionalFormatting>
  <conditionalFormatting sqref="B4">
    <cfRule type="duplicateValues" dxfId="899" priority="1"/>
    <cfRule type="duplicateValues" dxfId="898" priority="2"/>
    <cfRule type="duplicateValues" dxfId="897"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5.375" style="1" customWidth="1"/>
    <col min="3" max="3" width="23.125" style="1138" customWidth="1"/>
    <col min="4" max="4" width="23.125" style="271" customWidth="1"/>
    <col min="5" max="5" width="37.875" style="271" customWidth="1"/>
    <col min="6" max="6" width="28.37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71"/>
      <c r="D1" s="3671"/>
      <c r="E1" s="3671"/>
      <c r="F1" s="3671"/>
      <c r="G1" s="3671"/>
      <c r="H1" s="3671"/>
      <c r="I1" s="3671"/>
      <c r="J1" s="3671"/>
      <c r="K1" s="1349"/>
    </row>
    <row r="2" spans="1:15" ht="34.5" customHeight="1">
      <c r="A2" s="3684" t="s">
        <v>379</v>
      </c>
      <c r="B2" s="3684"/>
      <c r="C2" s="3684"/>
      <c r="D2" s="3684"/>
      <c r="E2" s="3684"/>
      <c r="F2" s="3684"/>
      <c r="G2" s="3684"/>
      <c r="H2" s="3684"/>
      <c r="I2" s="3684"/>
      <c r="J2" s="3684"/>
      <c r="K2" s="1348"/>
      <c r="L2" s="1176"/>
      <c r="M2" s="805"/>
      <c r="N2" s="1180"/>
      <c r="O2" s="287"/>
    </row>
    <row r="3" spans="1:15" ht="43.5" customHeight="1">
      <c r="A3" s="360"/>
      <c r="B3" s="385"/>
      <c r="C3" s="1177">
        <f>SUBTOTAL(9,C5:C288)</f>
        <v>139861</v>
      </c>
      <c r="D3" s="849"/>
      <c r="E3" s="849"/>
      <c r="F3" s="849"/>
      <c r="G3" s="199"/>
      <c r="H3" s="199"/>
      <c r="I3" s="202"/>
      <c r="J3" s="1350">
        <f ca="1">TODAY()</f>
        <v>45988</v>
      </c>
      <c r="K3" s="1350"/>
      <c r="L3" s="1350"/>
      <c r="M3" s="808"/>
      <c r="N3" s="287"/>
      <c r="O3" s="287"/>
    </row>
    <row r="4" spans="1:15" s="7" customFormat="1" ht="56.25" customHeight="1">
      <c r="A4" s="810" t="s">
        <v>48</v>
      </c>
      <c r="B4" s="679" t="s">
        <v>380</v>
      </c>
      <c r="C4" s="1178" t="s">
        <v>50</v>
      </c>
      <c r="D4" s="679" t="s">
        <v>51</v>
      </c>
      <c r="E4" s="679" t="s">
        <v>53</v>
      </c>
      <c r="F4" s="679" t="s">
        <v>262</v>
      </c>
      <c r="G4" s="679" t="s">
        <v>55</v>
      </c>
      <c r="H4" s="679" t="s">
        <v>56</v>
      </c>
      <c r="I4" s="812" t="s">
        <v>57</v>
      </c>
      <c r="J4" s="679" t="s">
        <v>58</v>
      </c>
      <c r="K4" s="679" t="s">
        <v>60</v>
      </c>
      <c r="L4" s="679" t="s">
        <v>52</v>
      </c>
      <c r="M4" s="813" t="s">
        <v>381</v>
      </c>
      <c r="N4" s="325" t="s">
        <v>382</v>
      </c>
      <c r="O4" s="1404" t="e">
        <f>SUM(#REF!)</f>
        <v>#REF!</v>
      </c>
    </row>
    <row r="5" spans="1:15" s="367" customFormat="1" ht="146.75">
      <c r="A5" s="362" cm="1">
        <f t="array" ref="A5:A34">_xlfn.SEQUENCE(30,1,1,)</f>
        <v>1</v>
      </c>
      <c r="B5" s="72" t="s">
        <v>383</v>
      </c>
      <c r="C5" s="1308">
        <v>8075</v>
      </c>
      <c r="D5" s="97" t="s">
        <v>267</v>
      </c>
      <c r="E5" s="1332" t="s">
        <v>384</v>
      </c>
      <c r="F5" s="97"/>
      <c r="G5" s="185" t="s">
        <v>65</v>
      </c>
      <c r="H5" s="72" t="s">
        <v>213</v>
      </c>
      <c r="I5" s="74" t="s">
        <v>385</v>
      </c>
      <c r="J5" s="72"/>
      <c r="K5" s="72"/>
      <c r="L5" s="72" t="s">
        <v>24</v>
      </c>
      <c r="M5" s="1272"/>
      <c r="N5" s="72">
        <f>8075-1500-1800-2000-475-200-150</f>
        <v>1950</v>
      </c>
    </row>
    <row r="6" spans="1:15" s="367" customFormat="1" ht="68.3" customHeight="1">
      <c r="A6" s="362">
        <v>2</v>
      </c>
      <c r="B6" s="72" t="s">
        <v>290</v>
      </c>
      <c r="C6" s="1308">
        <v>3000</v>
      </c>
      <c r="D6" s="97" t="s">
        <v>267</v>
      </c>
      <c r="E6" s="1332" t="s">
        <v>386</v>
      </c>
      <c r="F6" s="97"/>
      <c r="G6" s="185" t="s">
        <v>65</v>
      </c>
      <c r="H6" s="72" t="s">
        <v>387</v>
      </c>
      <c r="I6" s="74" t="s">
        <v>388</v>
      </c>
      <c r="J6" s="72"/>
      <c r="K6" s="72"/>
      <c r="L6" s="72" t="s">
        <v>22</v>
      </c>
      <c r="M6" s="1272"/>
      <c r="N6" s="72"/>
    </row>
    <row r="7" spans="1:15" s="367" customFormat="1" ht="68.3" customHeight="1">
      <c r="A7" s="362">
        <v>3</v>
      </c>
      <c r="B7" s="72" t="s">
        <v>315</v>
      </c>
      <c r="C7" s="1308">
        <v>4250</v>
      </c>
      <c r="D7" s="97" t="s">
        <v>267</v>
      </c>
      <c r="E7" s="1332" t="s">
        <v>389</v>
      </c>
      <c r="F7" s="97"/>
      <c r="G7" s="185" t="s">
        <v>65</v>
      </c>
      <c r="H7" s="72" t="s">
        <v>106</v>
      </c>
      <c r="I7" s="74" t="s">
        <v>390</v>
      </c>
      <c r="J7" s="97" t="s">
        <v>391</v>
      </c>
      <c r="K7" s="72"/>
      <c r="L7" s="72" t="s">
        <v>22</v>
      </c>
      <c r="M7" s="1272"/>
      <c r="N7" s="72"/>
    </row>
    <row r="8" spans="1:15" s="367" customFormat="1" ht="68.3" customHeight="1">
      <c r="A8" s="362">
        <v>4</v>
      </c>
      <c r="B8" s="72" t="s">
        <v>311</v>
      </c>
      <c r="C8" s="1308">
        <v>3940</v>
      </c>
      <c r="D8" s="97" t="s">
        <v>267</v>
      </c>
      <c r="E8" s="1332" t="s">
        <v>392</v>
      </c>
      <c r="F8" s="97"/>
      <c r="G8" s="185" t="s">
        <v>65</v>
      </c>
      <c r="H8" s="72" t="s">
        <v>213</v>
      </c>
      <c r="I8" s="74" t="s">
        <v>393</v>
      </c>
      <c r="J8" s="72"/>
      <c r="K8" s="72"/>
      <c r="L8" s="72" t="s">
        <v>22</v>
      </c>
      <c r="M8" s="1272"/>
      <c r="N8" s="72"/>
    </row>
    <row r="9" spans="1:15" s="367" customFormat="1" ht="191.25" customHeight="1">
      <c r="A9" s="362">
        <v>5</v>
      </c>
      <c r="B9" s="72" t="s">
        <v>353</v>
      </c>
      <c r="C9" s="1308">
        <v>11800</v>
      </c>
      <c r="D9" s="97" t="s">
        <v>394</v>
      </c>
      <c r="E9" s="1332" t="s">
        <v>395</v>
      </c>
      <c r="F9" s="97"/>
      <c r="G9" s="185" t="s">
        <v>65</v>
      </c>
      <c r="H9" s="72" t="s">
        <v>213</v>
      </c>
      <c r="I9" s="74" t="s">
        <v>396</v>
      </c>
      <c r="J9" s="1418"/>
      <c r="K9" s="97"/>
      <c r="L9" s="72" t="s">
        <v>88</v>
      </c>
      <c r="M9" s="1272"/>
      <c r="N9" s="1273">
        <f>C9-5000-3850-650-275</f>
        <v>2025</v>
      </c>
    </row>
    <row r="10" spans="1:15" s="367" customFormat="1" ht="40.75">
      <c r="A10" s="362">
        <v>6</v>
      </c>
      <c r="B10" s="72" t="s">
        <v>397</v>
      </c>
      <c r="C10" s="1308">
        <v>5500</v>
      </c>
      <c r="D10" s="97" t="s">
        <v>267</v>
      </c>
      <c r="E10" s="1332" t="s">
        <v>398</v>
      </c>
      <c r="F10" s="97"/>
      <c r="G10" s="185" t="s">
        <v>65</v>
      </c>
      <c r="H10" s="72" t="s">
        <v>327</v>
      </c>
      <c r="I10" s="74" t="s">
        <v>399</v>
      </c>
      <c r="J10" s="1418" t="s">
        <v>400</v>
      </c>
      <c r="K10" s="97"/>
      <c r="L10" s="72" t="s">
        <v>349</v>
      </c>
      <c r="M10" s="1272"/>
      <c r="N10" s="1273"/>
    </row>
    <row r="11" spans="1:15" s="367" customFormat="1" ht="56.25" customHeight="1">
      <c r="A11" s="362">
        <v>7</v>
      </c>
      <c r="B11" s="72" t="s">
        <v>284</v>
      </c>
      <c r="C11" s="1308">
        <v>6000</v>
      </c>
      <c r="D11" s="1419" t="s">
        <v>267</v>
      </c>
      <c r="E11" s="1332" t="s">
        <v>401</v>
      </c>
      <c r="F11" s="1332"/>
      <c r="G11" s="185" t="s">
        <v>65</v>
      </c>
      <c r="H11" s="72" t="s">
        <v>213</v>
      </c>
      <c r="I11" s="74" t="s">
        <v>402</v>
      </c>
      <c r="J11" s="1420"/>
      <c r="K11" s="72"/>
      <c r="L11" s="72" t="s">
        <v>403</v>
      </c>
      <c r="M11" s="1272"/>
      <c r="N11" s="1273"/>
    </row>
    <row r="12" spans="1:15" s="367" customFormat="1" ht="75.75" customHeight="1">
      <c r="A12" s="362">
        <v>8</v>
      </c>
      <c r="B12" s="72" t="s">
        <v>125</v>
      </c>
      <c r="C12" s="1308">
        <v>4250</v>
      </c>
      <c r="D12" s="1419" t="s">
        <v>267</v>
      </c>
      <c r="E12" s="1332" t="s">
        <v>404</v>
      </c>
      <c r="F12" s="1332"/>
      <c r="G12" s="185" t="s">
        <v>65</v>
      </c>
      <c r="H12" s="72" t="s">
        <v>405</v>
      </c>
      <c r="I12" s="74" t="s">
        <v>406</v>
      </c>
      <c r="J12" s="1420"/>
      <c r="K12" s="72"/>
      <c r="L12" s="72" t="s">
        <v>22</v>
      </c>
      <c r="M12" s="1272"/>
      <c r="N12" s="1273"/>
    </row>
    <row r="13" spans="1:15" s="367" customFormat="1" ht="246.75" customHeight="1">
      <c r="A13" s="362">
        <v>9</v>
      </c>
      <c r="B13" s="72" t="s">
        <v>407</v>
      </c>
      <c r="C13" s="1308">
        <v>10200</v>
      </c>
      <c r="D13" s="97" t="s">
        <v>267</v>
      </c>
      <c r="E13" s="1332" t="s">
        <v>408</v>
      </c>
      <c r="F13" s="97"/>
      <c r="G13" s="185" t="s">
        <v>65</v>
      </c>
      <c r="H13" s="72" t="s">
        <v>409</v>
      </c>
      <c r="I13" s="74" t="s">
        <v>410</v>
      </c>
      <c r="J13" s="1418">
        <f>600+300+250+500+1000+2200+1200+800</f>
        <v>6850</v>
      </c>
      <c r="K13" s="97"/>
      <c r="L13" s="72" t="s">
        <v>88</v>
      </c>
      <c r="M13" s="1272"/>
      <c r="N13" s="1273"/>
    </row>
    <row r="14" spans="1:15" s="367" customFormat="1" ht="84.75" customHeight="1">
      <c r="A14" s="362">
        <v>10</v>
      </c>
      <c r="B14" s="72" t="s">
        <v>411</v>
      </c>
      <c r="C14" s="1308">
        <v>4320</v>
      </c>
      <c r="D14" s="97" t="s">
        <v>267</v>
      </c>
      <c r="E14" s="1332" t="s">
        <v>412</v>
      </c>
      <c r="F14" s="97"/>
      <c r="G14" s="185" t="s">
        <v>65</v>
      </c>
      <c r="H14" s="72" t="s">
        <v>142</v>
      </c>
      <c r="I14" s="74" t="s">
        <v>413</v>
      </c>
      <c r="J14" s="1421" t="s">
        <v>414</v>
      </c>
      <c r="K14" s="97"/>
      <c r="L14" s="72" t="s">
        <v>24</v>
      </c>
      <c r="M14" s="1272"/>
      <c r="N14" s="1273"/>
    </row>
    <row r="15" spans="1:15" s="367" customFormat="1" ht="77.3" customHeight="1">
      <c r="A15" s="362">
        <v>11</v>
      </c>
      <c r="B15" s="72" t="s">
        <v>320</v>
      </c>
      <c r="C15" s="1308">
        <v>16000</v>
      </c>
      <c r="D15" s="1419" t="s">
        <v>267</v>
      </c>
      <c r="E15" s="1332" t="s">
        <v>415</v>
      </c>
      <c r="F15" s="97"/>
      <c r="G15" s="185" t="s">
        <v>65</v>
      </c>
      <c r="H15" s="72" t="s">
        <v>213</v>
      </c>
      <c r="I15" s="1276" t="s">
        <v>416</v>
      </c>
      <c r="J15" s="1418"/>
      <c r="K15" s="97"/>
      <c r="L15" s="72" t="s">
        <v>88</v>
      </c>
      <c r="M15" s="1272"/>
      <c r="N15" s="1273"/>
    </row>
    <row r="16" spans="1:15" s="1249" customFormat="1" ht="121.6" customHeight="1">
      <c r="A16" s="1255">
        <v>12</v>
      </c>
      <c r="B16" s="1362" t="s">
        <v>417</v>
      </c>
      <c r="C16" s="1363">
        <v>11050</v>
      </c>
      <c r="D16" s="1422" t="s">
        <v>267</v>
      </c>
      <c r="E16" s="1423" t="s">
        <v>418</v>
      </c>
      <c r="F16" s="1365"/>
      <c r="G16" s="1424" t="s">
        <v>65</v>
      </c>
      <c r="H16" s="17" t="s">
        <v>213</v>
      </c>
      <c r="I16" s="1425" t="s">
        <v>419</v>
      </c>
      <c r="J16" s="1426"/>
      <c r="K16" s="1365"/>
      <c r="L16" s="1362" t="s">
        <v>26</v>
      </c>
      <c r="M16" s="1260"/>
      <c r="N16" s="1261"/>
    </row>
    <row r="17" spans="1:14" s="1251" customFormat="1" ht="81.7" customHeight="1">
      <c r="A17" s="1284">
        <v>13</v>
      </c>
      <c r="B17" s="17" t="s">
        <v>311</v>
      </c>
      <c r="C17" s="1285">
        <v>3750</v>
      </c>
      <c r="D17" s="1422" t="s">
        <v>267</v>
      </c>
      <c r="E17" s="1388" t="s">
        <v>420</v>
      </c>
      <c r="F17" s="23"/>
      <c r="G17" s="1287" t="s">
        <v>65</v>
      </c>
      <c r="H17" s="17" t="s">
        <v>142</v>
      </c>
      <c r="I17" s="21" t="s">
        <v>421</v>
      </c>
      <c r="J17" s="21"/>
      <c r="K17" s="36"/>
      <c r="L17" s="17" t="s">
        <v>22</v>
      </c>
      <c r="M17" s="1289"/>
      <c r="N17" s="63"/>
    </row>
    <row r="18" spans="1:14" s="367" customFormat="1" ht="122.95" customHeight="1">
      <c r="A18" s="362">
        <v>14</v>
      </c>
      <c r="B18" s="72" t="s">
        <v>422</v>
      </c>
      <c r="C18" s="1308">
        <v>15000</v>
      </c>
      <c r="D18" s="1419" t="s">
        <v>267</v>
      </c>
      <c r="E18" s="1392" t="s">
        <v>423</v>
      </c>
      <c r="F18" s="97"/>
      <c r="G18" s="185" t="s">
        <v>65</v>
      </c>
      <c r="H18" s="76" t="s">
        <v>213</v>
      </c>
      <c r="I18" s="74" t="s">
        <v>424</v>
      </c>
      <c r="J18" s="72"/>
      <c r="K18" s="72"/>
      <c r="L18" s="72" t="s">
        <v>88</v>
      </c>
      <c r="M18" s="1272"/>
      <c r="N18" s="72"/>
    </row>
    <row r="19" spans="1:14" s="367" customFormat="1" ht="55.55" customHeight="1">
      <c r="A19" s="695">
        <v>15</v>
      </c>
      <c r="B19" s="76" t="s">
        <v>425</v>
      </c>
      <c r="C19" s="1323">
        <v>6500</v>
      </c>
      <c r="D19" s="1368" t="s">
        <v>267</v>
      </c>
      <c r="E19" s="1392" t="s">
        <v>426</v>
      </c>
      <c r="F19" s="1324"/>
      <c r="G19" s="1317" t="s">
        <v>65</v>
      </c>
      <c r="H19" s="76" t="s">
        <v>327</v>
      </c>
      <c r="I19" s="1353" t="s">
        <v>427</v>
      </c>
      <c r="J19" s="1427"/>
      <c r="K19" s="1324"/>
      <c r="L19" s="76" t="s">
        <v>428</v>
      </c>
      <c r="M19" s="1327"/>
      <c r="N19" s="1328"/>
    </row>
    <row r="20" spans="1:14" s="367" customFormat="1" ht="84.75" customHeight="1">
      <c r="A20" s="695">
        <v>16</v>
      </c>
      <c r="B20" s="72" t="s">
        <v>429</v>
      </c>
      <c r="C20" s="1308">
        <v>4000</v>
      </c>
      <c r="D20" s="97" t="s">
        <v>267</v>
      </c>
      <c r="E20" s="1332" t="s">
        <v>430</v>
      </c>
      <c r="F20" s="97"/>
      <c r="G20" s="185" t="s">
        <v>65</v>
      </c>
      <c r="H20" s="72" t="s">
        <v>213</v>
      </c>
      <c r="I20" s="74" t="s">
        <v>431</v>
      </c>
      <c r="J20" s="1428"/>
      <c r="K20" s="97"/>
      <c r="L20" s="72" t="s">
        <v>22</v>
      </c>
      <c r="M20" s="1272"/>
      <c r="N20" s="1273"/>
    </row>
    <row r="21" spans="1:14" s="367" customFormat="1" ht="84.75" customHeight="1">
      <c r="A21" s="695">
        <v>17</v>
      </c>
      <c r="B21" s="72" t="s">
        <v>432</v>
      </c>
      <c r="C21" s="1308">
        <v>6770</v>
      </c>
      <c r="D21" s="97" t="s">
        <v>267</v>
      </c>
      <c r="E21" s="1332" t="s">
        <v>433</v>
      </c>
      <c r="F21" s="97"/>
      <c r="G21" s="185" t="s">
        <v>65</v>
      </c>
      <c r="H21" s="72" t="s">
        <v>434</v>
      </c>
      <c r="I21" s="74" t="s">
        <v>435</v>
      </c>
      <c r="J21" s="1428"/>
      <c r="K21" s="97">
        <f>2320+2000+280</f>
        <v>4600</v>
      </c>
      <c r="L21" s="72" t="s">
        <v>403</v>
      </c>
      <c r="M21" s="1272"/>
      <c r="N21" s="1273"/>
    </row>
    <row r="22" spans="1:14" s="367" customFormat="1" ht="79.5" customHeight="1">
      <c r="A22" s="362">
        <v>18</v>
      </c>
      <c r="B22" s="72" t="s">
        <v>436</v>
      </c>
      <c r="C22" s="1308">
        <v>1000</v>
      </c>
      <c r="D22" s="97" t="s">
        <v>267</v>
      </c>
      <c r="E22" s="97"/>
      <c r="F22" s="97" t="s">
        <v>437</v>
      </c>
      <c r="G22" s="185" t="s">
        <v>65</v>
      </c>
      <c r="H22" s="72" t="s">
        <v>106</v>
      </c>
      <c r="I22" s="74" t="s">
        <v>438</v>
      </c>
      <c r="J22" s="1429" t="s">
        <v>439</v>
      </c>
      <c r="K22" s="72"/>
      <c r="L22" s="72" t="s">
        <v>88</v>
      </c>
      <c r="M22" s="1272"/>
      <c r="N22" s="72"/>
    </row>
    <row r="23" spans="1:14" s="367" customFormat="1" ht="80.349999999999994" customHeight="1">
      <c r="A23" s="362">
        <v>19</v>
      </c>
      <c r="B23" s="72" t="s">
        <v>315</v>
      </c>
      <c r="C23" s="1308">
        <v>4250</v>
      </c>
      <c r="D23" s="97" t="s">
        <v>267</v>
      </c>
      <c r="E23" s="1332" t="s">
        <v>440</v>
      </c>
      <c r="F23" s="97"/>
      <c r="G23" s="185" t="s">
        <v>65</v>
      </c>
      <c r="H23" s="72" t="s">
        <v>240</v>
      </c>
      <c r="I23" s="74" t="s">
        <v>441</v>
      </c>
      <c r="J23" s="72"/>
      <c r="K23" s="72">
        <f>1680+2390+158</f>
        <v>4228</v>
      </c>
      <c r="L23" s="72" t="s">
        <v>22</v>
      </c>
      <c r="M23" s="1272"/>
      <c r="N23" s="72"/>
    </row>
    <row r="24" spans="1:14" s="367" customFormat="1" ht="99.7" customHeight="1">
      <c r="A24" s="362">
        <v>20</v>
      </c>
      <c r="B24" s="72" t="s">
        <v>272</v>
      </c>
      <c r="C24" s="1308">
        <v>7206</v>
      </c>
      <c r="D24" s="97" t="s">
        <v>267</v>
      </c>
      <c r="E24" s="1332" t="s">
        <v>442</v>
      </c>
      <c r="F24" s="1430" t="s">
        <v>443</v>
      </c>
      <c r="G24" s="185" t="s">
        <v>65</v>
      </c>
      <c r="H24" s="72" t="s">
        <v>213</v>
      </c>
      <c r="I24" s="1276" t="s">
        <v>444</v>
      </c>
      <c r="J24" s="1428" t="s">
        <v>445</v>
      </c>
      <c r="K24" s="97">
        <f>3106+1200+2900</f>
        <v>7206</v>
      </c>
      <c r="L24" s="72" t="s">
        <v>24</v>
      </c>
      <c r="M24" s="1272"/>
      <c r="N24" s="1273"/>
    </row>
    <row r="25" spans="1:14" s="367" customFormat="1" ht="63.85">
      <c r="A25" s="362">
        <v>21</v>
      </c>
      <c r="B25" s="72" t="s">
        <v>290</v>
      </c>
      <c r="C25" s="1308">
        <v>3000</v>
      </c>
      <c r="D25" s="97" t="s">
        <v>267</v>
      </c>
      <c r="E25" s="1332" t="s">
        <v>446</v>
      </c>
      <c r="F25" s="1430" t="s">
        <v>443</v>
      </c>
      <c r="G25" s="185" t="s">
        <v>65</v>
      </c>
      <c r="H25" s="72" t="s">
        <v>213</v>
      </c>
      <c r="I25" s="1276" t="s">
        <v>447</v>
      </c>
      <c r="J25" s="97"/>
      <c r="K25" s="72"/>
      <c r="L25" s="72" t="s">
        <v>22</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29.9">
      <c r="A28" s="359">
        <v>24</v>
      </c>
      <c r="C28" s="1179"/>
      <c r="D28" s="1431"/>
      <c r="E28" s="1431"/>
      <c r="F28" s="7"/>
      <c r="I28" s="9"/>
      <c r="M28" s="804"/>
    </row>
    <row r="29" spans="1:14" s="1" customFormat="1" ht="77.3" customHeight="1">
      <c r="A29" s="359">
        <v>25</v>
      </c>
      <c r="C29" s="1179"/>
      <c r="D29" s="3685"/>
      <c r="E29" s="3685"/>
      <c r="F29" s="7"/>
      <c r="G29" s="271"/>
      <c r="I29" s="9"/>
      <c r="M29" s="804"/>
    </row>
    <row r="30" spans="1:14" s="1" customFormat="1" ht="18.7" customHeight="1">
      <c r="A30" s="359">
        <v>26</v>
      </c>
      <c r="C30" s="1179"/>
      <c r="D30" s="3685"/>
      <c r="E30" s="3685"/>
      <c r="F30" s="7"/>
      <c r="I30" s="9" t="s">
        <v>448</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6" priority="8"/>
  </conditionalFormatting>
  <conditionalFormatting sqref="A4">
    <cfRule type="duplicateValues" dxfId="895" priority="4"/>
  </conditionalFormatting>
  <conditionalFormatting sqref="B3">
    <cfRule type="duplicateValues" dxfId="894" priority="5"/>
    <cfRule type="duplicateValues" dxfId="893" priority="6"/>
    <cfRule type="duplicateValues" dxfId="892" priority="7"/>
  </conditionalFormatting>
  <conditionalFormatting sqref="B4">
    <cfRule type="duplicateValues" dxfId="891" priority="1"/>
    <cfRule type="duplicateValues" dxfId="890" priority="2"/>
    <cfRule type="duplicateValues" dxfId="889"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71"/>
      <c r="D1" s="3671"/>
      <c r="E1" s="3671"/>
      <c r="F1" s="3671"/>
      <c r="G1" s="3671"/>
      <c r="H1" s="3671"/>
      <c r="I1" s="3671"/>
      <c r="J1" s="3671"/>
      <c r="K1" s="1349"/>
    </row>
    <row r="2" spans="1:15" ht="34.5" customHeight="1">
      <c r="A2" s="3684" t="s">
        <v>449</v>
      </c>
      <c r="B2" s="3684"/>
      <c r="C2" s="3684"/>
      <c r="D2" s="3684"/>
      <c r="E2" s="3684"/>
      <c r="F2" s="3684"/>
      <c r="G2" s="3684"/>
      <c r="H2" s="3684"/>
      <c r="I2" s="3684"/>
      <c r="J2" s="3684"/>
      <c r="K2" s="1348"/>
      <c r="L2" s="1176"/>
      <c r="M2" s="805"/>
      <c r="N2" s="1180"/>
      <c r="O2" s="287"/>
    </row>
    <row r="3" spans="1:15" ht="43.5" customHeight="1">
      <c r="A3" s="360"/>
      <c r="B3" s="385"/>
      <c r="C3" s="1177">
        <f>SUBTOTAL(9,C5:C303)</f>
        <v>195736</v>
      </c>
      <c r="D3" s="849"/>
      <c r="E3" s="849"/>
      <c r="F3" s="849"/>
      <c r="G3" s="199"/>
      <c r="H3" s="199"/>
      <c r="I3" s="202"/>
      <c r="J3" s="1350">
        <f ca="1">TODAY()</f>
        <v>45988</v>
      </c>
      <c r="K3" s="1350"/>
      <c r="L3" s="1350"/>
      <c r="M3" s="808"/>
      <c r="N3" s="287"/>
      <c r="O3" s="287"/>
    </row>
    <row r="4" spans="1:15" s="7" customFormat="1" ht="56.25" customHeight="1">
      <c r="A4" s="810" t="s">
        <v>48</v>
      </c>
      <c r="B4" s="679" t="s">
        <v>380</v>
      </c>
      <c r="C4" s="1178" t="s">
        <v>50</v>
      </c>
      <c r="D4" s="679" t="s">
        <v>51</v>
      </c>
      <c r="E4" s="679" t="s">
        <v>53</v>
      </c>
      <c r="F4" s="679" t="s">
        <v>262</v>
      </c>
      <c r="G4" s="679" t="s">
        <v>55</v>
      </c>
      <c r="H4" s="679" t="s">
        <v>56</v>
      </c>
      <c r="I4" s="812" t="s">
        <v>57</v>
      </c>
      <c r="J4" s="679" t="s">
        <v>58</v>
      </c>
      <c r="K4" s="679" t="s">
        <v>60</v>
      </c>
      <c r="L4" s="679" t="s">
        <v>52</v>
      </c>
      <c r="M4" s="813" t="s">
        <v>381</v>
      </c>
      <c r="N4" s="325" t="s">
        <v>382</v>
      </c>
      <c r="O4" s="1404" t="e">
        <f>SUM(#REF!)</f>
        <v>#REF!</v>
      </c>
    </row>
    <row r="5" spans="1:15" s="1249" customFormat="1" ht="47.25" customHeight="1">
      <c r="A5" s="1255" cm="1">
        <f t="array" ref="A5:A34">_xlfn.SEQUENCE(30,1,1,)</f>
        <v>1</v>
      </c>
      <c r="B5" s="1362" t="s">
        <v>450</v>
      </c>
      <c r="C5" s="1363">
        <v>12000</v>
      </c>
      <c r="D5" s="1364" t="s">
        <v>267</v>
      </c>
      <c r="E5" s="1365" t="s">
        <v>451</v>
      </c>
      <c r="F5" s="1366">
        <v>44572</v>
      </c>
      <c r="G5" s="1256" t="s">
        <v>65</v>
      </c>
      <c r="H5" s="1365" t="s">
        <v>327</v>
      </c>
      <c r="I5" s="1259" t="s">
        <v>452</v>
      </c>
      <c r="J5" s="1367"/>
      <c r="K5" s="1367" t="s">
        <v>453</v>
      </c>
      <c r="L5" s="1362" t="s">
        <v>428</v>
      </c>
      <c r="M5" s="1260"/>
      <c r="N5" s="1261"/>
    </row>
    <row r="6" spans="1:15" s="367" customFormat="1" ht="86.95" customHeight="1">
      <c r="A6" s="695">
        <v>2</v>
      </c>
      <c r="B6" s="76" t="s">
        <v>454</v>
      </c>
      <c r="C6" s="1323">
        <v>14370</v>
      </c>
      <c r="D6" s="1364" t="s">
        <v>267</v>
      </c>
      <c r="E6" s="1320" t="s">
        <v>455</v>
      </c>
      <c r="F6" s="1370" t="s">
        <v>456</v>
      </c>
      <c r="G6" s="1317" t="s">
        <v>65</v>
      </c>
      <c r="H6" s="76" t="s">
        <v>213</v>
      </c>
      <c r="I6" s="1416" t="s">
        <v>457</v>
      </c>
      <c r="J6" s="1371" t="s">
        <v>458</v>
      </c>
      <c r="K6" s="1356" t="s">
        <v>453</v>
      </c>
      <c r="L6" s="76" t="s">
        <v>88</v>
      </c>
      <c r="M6" s="1327"/>
      <c r="N6" s="76"/>
    </row>
    <row r="7" spans="1:15" s="1249" customFormat="1" ht="89.35" customHeight="1">
      <c r="A7" s="1262">
        <v>3</v>
      </c>
      <c r="B7" s="310" t="s">
        <v>459</v>
      </c>
      <c r="C7" s="1363">
        <v>10200</v>
      </c>
      <c r="D7" s="1364" t="s">
        <v>267</v>
      </c>
      <c r="E7" s="1372" t="s">
        <v>460</v>
      </c>
      <c r="F7" s="1373" t="s">
        <v>461</v>
      </c>
      <c r="G7" s="1374" t="s">
        <v>65</v>
      </c>
      <c r="H7" s="1264" t="s">
        <v>462</v>
      </c>
      <c r="I7" s="1375" t="s">
        <v>463</v>
      </c>
      <c r="J7" s="1376">
        <f>C7-5000-3000-2000</f>
        <v>200</v>
      </c>
      <c r="K7" s="1377" t="s">
        <v>453</v>
      </c>
      <c r="L7" s="310" t="s">
        <v>88</v>
      </c>
      <c r="M7" s="1378"/>
      <c r="N7" s="310"/>
    </row>
    <row r="8" spans="1:15" s="1249" customFormat="1" ht="90" customHeight="1">
      <c r="A8" s="1262">
        <v>4</v>
      </c>
      <c r="B8" s="310" t="s">
        <v>311</v>
      </c>
      <c r="C8" s="1363">
        <v>3940</v>
      </c>
      <c r="D8" s="1364" t="s">
        <v>267</v>
      </c>
      <c r="E8" s="1372" t="s">
        <v>464</v>
      </c>
      <c r="F8" s="1373"/>
      <c r="G8" s="1374" t="s">
        <v>65</v>
      </c>
      <c r="H8" s="1264" t="s">
        <v>240</v>
      </c>
      <c r="I8" s="1375" t="s">
        <v>465</v>
      </c>
      <c r="J8" s="1379"/>
      <c r="K8" s="1377" t="s">
        <v>453</v>
      </c>
      <c r="L8" s="310" t="s">
        <v>22</v>
      </c>
      <c r="M8" s="1378"/>
      <c r="N8" s="310">
        <f>C8-1000-800-650</f>
        <v>1490</v>
      </c>
    </row>
    <row r="9" spans="1:15" s="1249" customFormat="1" ht="63" customHeight="1">
      <c r="A9" s="1262">
        <v>5</v>
      </c>
      <c r="B9" s="310" t="s">
        <v>290</v>
      </c>
      <c r="C9" s="1363">
        <v>3000</v>
      </c>
      <c r="D9" s="1364" t="s">
        <v>267</v>
      </c>
      <c r="E9" s="1372" t="s">
        <v>466</v>
      </c>
      <c r="F9" s="1373"/>
      <c r="G9" s="1374" t="s">
        <v>65</v>
      </c>
      <c r="H9" s="1264" t="s">
        <v>142</v>
      </c>
      <c r="I9" s="1375" t="s">
        <v>467</v>
      </c>
      <c r="J9" s="1379"/>
      <c r="K9" s="1377" t="s">
        <v>453</v>
      </c>
      <c r="L9" s="310" t="s">
        <v>22</v>
      </c>
      <c r="M9" s="1378"/>
      <c r="N9" s="310"/>
    </row>
    <row r="10" spans="1:15" s="367" customFormat="1" ht="220.6" customHeight="1">
      <c r="A10" s="695">
        <v>6</v>
      </c>
      <c r="B10" s="76" t="s">
        <v>320</v>
      </c>
      <c r="C10" s="1323">
        <v>16000</v>
      </c>
      <c r="D10" s="1364" t="s">
        <v>267</v>
      </c>
      <c r="E10" s="1383" t="s">
        <v>468</v>
      </c>
      <c r="F10" s="91" t="s">
        <v>469</v>
      </c>
      <c r="G10" s="1380" t="s">
        <v>65</v>
      </c>
      <c r="H10" s="76" t="s">
        <v>213</v>
      </c>
      <c r="I10" s="1417" t="s">
        <v>470</v>
      </c>
      <c r="J10" s="1371" t="s">
        <v>471</v>
      </c>
      <c r="K10" s="1342" t="s">
        <v>472</v>
      </c>
      <c r="L10" s="76" t="s">
        <v>88</v>
      </c>
      <c r="M10" s="1327"/>
      <c r="N10" s="76">
        <f>16000-1900-600-1500-2700-1800-800-600</f>
        <v>6100</v>
      </c>
    </row>
    <row r="11" spans="1:15" s="367" customFormat="1" ht="55.05">
      <c r="A11" s="695">
        <v>7</v>
      </c>
      <c r="B11" s="76" t="s">
        <v>432</v>
      </c>
      <c r="C11" s="1323">
        <v>6770</v>
      </c>
      <c r="D11" s="1364" t="s">
        <v>267</v>
      </c>
      <c r="E11" s="1383" t="s">
        <v>473</v>
      </c>
      <c r="F11" s="91"/>
      <c r="G11" s="1380" t="s">
        <v>65</v>
      </c>
      <c r="H11" s="76" t="s">
        <v>213</v>
      </c>
      <c r="I11" s="1417" t="s">
        <v>474</v>
      </c>
      <c r="J11" s="1371">
        <f>6770-3000-1800</f>
        <v>1970</v>
      </c>
      <c r="K11" s="1342" t="s">
        <v>453</v>
      </c>
      <c r="L11" s="76" t="s">
        <v>18</v>
      </c>
      <c r="M11" s="1327"/>
      <c r="N11" s="76"/>
    </row>
    <row r="12" spans="1:15" s="367" customFormat="1" ht="36.700000000000003">
      <c r="A12" s="695">
        <v>8</v>
      </c>
      <c r="B12" s="76" t="s">
        <v>315</v>
      </c>
      <c r="C12" s="1323">
        <v>4250</v>
      </c>
      <c r="D12" s="1364" t="s">
        <v>267</v>
      </c>
      <c r="E12" s="1383" t="s">
        <v>475</v>
      </c>
      <c r="F12" s="91"/>
      <c r="G12" s="1380" t="s">
        <v>65</v>
      </c>
      <c r="H12" s="76" t="s">
        <v>142</v>
      </c>
      <c r="I12" s="1417" t="s">
        <v>476</v>
      </c>
      <c r="J12" s="1371" t="s">
        <v>477</v>
      </c>
      <c r="K12" s="1342" t="s">
        <v>453</v>
      </c>
      <c r="L12" s="76" t="s">
        <v>22</v>
      </c>
      <c r="M12" s="1327"/>
      <c r="N12" s="76"/>
    </row>
    <row r="13" spans="1:15" s="367" customFormat="1" ht="73.400000000000006">
      <c r="A13" s="695">
        <v>9</v>
      </c>
      <c r="B13" s="76" t="s">
        <v>407</v>
      </c>
      <c r="C13" s="1323">
        <v>10200</v>
      </c>
      <c r="D13" s="1364" t="s">
        <v>267</v>
      </c>
      <c r="E13" s="1383" t="s">
        <v>478</v>
      </c>
      <c r="F13" s="91" t="s">
        <v>479</v>
      </c>
      <c r="G13" s="1380" t="s">
        <v>65</v>
      </c>
      <c r="H13" s="76" t="s">
        <v>213</v>
      </c>
      <c r="I13" s="1417" t="s">
        <v>480</v>
      </c>
      <c r="J13" s="1371" t="s">
        <v>481</v>
      </c>
      <c r="K13" s="1342" t="s">
        <v>453</v>
      </c>
      <c r="L13" s="76" t="s">
        <v>88</v>
      </c>
      <c r="M13" s="1327"/>
      <c r="N13" s="76"/>
    </row>
    <row r="14" spans="1:15" s="367" customFormat="1" ht="71.349999999999994" customHeight="1">
      <c r="A14" s="362">
        <v>10</v>
      </c>
      <c r="B14" s="72" t="s">
        <v>290</v>
      </c>
      <c r="C14" s="1308">
        <v>3000</v>
      </c>
      <c r="D14" s="97" t="s">
        <v>267</v>
      </c>
      <c r="E14" s="1384" t="s">
        <v>482</v>
      </c>
      <c r="F14" s="1381"/>
      <c r="G14" s="185" t="s">
        <v>65</v>
      </c>
      <c r="H14" s="72" t="s">
        <v>483</v>
      </c>
      <c r="I14" s="1276" t="s">
        <v>484</v>
      </c>
      <c r="J14" s="1382">
        <f>3000-2000-300</f>
        <v>700</v>
      </c>
      <c r="K14" s="1356" t="s">
        <v>453</v>
      </c>
      <c r="L14" s="72" t="s">
        <v>22</v>
      </c>
      <c r="M14" s="1272"/>
      <c r="N14" s="72">
        <f>3000-2000-560</f>
        <v>440</v>
      </c>
    </row>
    <row r="15" spans="1:15" s="367" customFormat="1" ht="220.6" customHeight="1">
      <c r="A15" s="362">
        <v>11</v>
      </c>
      <c r="B15" s="72" t="s">
        <v>284</v>
      </c>
      <c r="C15" s="1308">
        <v>6000</v>
      </c>
      <c r="D15" s="97" t="s">
        <v>267</v>
      </c>
      <c r="E15" s="1384" t="s">
        <v>485</v>
      </c>
      <c r="F15" s="1381"/>
      <c r="G15" s="185" t="s">
        <v>65</v>
      </c>
      <c r="H15" s="72" t="s">
        <v>213</v>
      </c>
      <c r="I15" s="1276" t="s">
        <v>486</v>
      </c>
      <c r="J15" s="1309">
        <f>6000-2500-293</f>
        <v>3207</v>
      </c>
      <c r="K15" s="1356" t="s">
        <v>453</v>
      </c>
      <c r="L15" s="72" t="s">
        <v>18</v>
      </c>
      <c r="M15" s="1272"/>
      <c r="N15" s="72"/>
    </row>
    <row r="16" spans="1:15" s="367" customFormat="1" ht="102.75" customHeight="1">
      <c r="A16" s="695">
        <v>12</v>
      </c>
      <c r="B16" s="76" t="s">
        <v>311</v>
      </c>
      <c r="C16" s="1323">
        <v>3500</v>
      </c>
      <c r="D16" s="1324" t="s">
        <v>267</v>
      </c>
      <c r="E16" s="1385" t="s">
        <v>487</v>
      </c>
      <c r="F16" s="1386"/>
      <c r="G16" s="1317" t="s">
        <v>65</v>
      </c>
      <c r="H16" s="76" t="s">
        <v>142</v>
      </c>
      <c r="I16" s="1353" t="s">
        <v>488</v>
      </c>
      <c r="J16" s="1387"/>
      <c r="K16" s="1371" t="s">
        <v>453</v>
      </c>
      <c r="L16" s="76" t="s">
        <v>22</v>
      </c>
      <c r="M16" s="1327"/>
      <c r="N16" s="76"/>
    </row>
    <row r="17" spans="1:15" s="1249" customFormat="1" ht="172.55" customHeight="1">
      <c r="A17" s="1284">
        <v>13</v>
      </c>
      <c r="B17" s="17" t="s">
        <v>320</v>
      </c>
      <c r="C17" s="1285">
        <v>16000</v>
      </c>
      <c r="D17" s="1365" t="s">
        <v>267</v>
      </c>
      <c r="E17" s="1388" t="s">
        <v>489</v>
      </c>
      <c r="F17" s="1389"/>
      <c r="G17" s="1287" t="s">
        <v>65</v>
      </c>
      <c r="H17" s="17" t="s">
        <v>213</v>
      </c>
      <c r="I17" s="1314" t="s">
        <v>490</v>
      </c>
      <c r="J17" s="1390"/>
      <c r="K17" s="1391" t="s">
        <v>453</v>
      </c>
      <c r="L17" s="17" t="s">
        <v>88</v>
      </c>
      <c r="M17" s="1289"/>
      <c r="N17" s="17">
        <f>4400+4080+1240+660+1900+3000</f>
        <v>15280</v>
      </c>
    </row>
    <row r="18" spans="1:15" s="1249" customFormat="1" ht="40.75">
      <c r="A18" s="1284">
        <v>14</v>
      </c>
      <c r="B18" s="17" t="s">
        <v>125</v>
      </c>
      <c r="C18" s="1285">
        <v>4250</v>
      </c>
      <c r="D18" s="1365" t="s">
        <v>267</v>
      </c>
      <c r="E18" s="1388" t="s">
        <v>491</v>
      </c>
      <c r="F18" s="1389"/>
      <c r="G18" s="1287" t="s">
        <v>65</v>
      </c>
      <c r="H18" s="17" t="s">
        <v>142</v>
      </c>
      <c r="I18" s="1314" t="s">
        <v>492</v>
      </c>
      <c r="J18" s="1390"/>
      <c r="K18" s="1391" t="s">
        <v>453</v>
      </c>
      <c r="L18" s="17" t="s">
        <v>22</v>
      </c>
      <c r="M18" s="1289"/>
      <c r="N18" s="17"/>
    </row>
    <row r="19" spans="1:15" s="1249" customFormat="1" ht="146.75">
      <c r="A19" s="1284">
        <v>15</v>
      </c>
      <c r="B19" s="17" t="s">
        <v>290</v>
      </c>
      <c r="C19" s="1285">
        <v>3000</v>
      </c>
      <c r="D19" s="1365" t="s">
        <v>267</v>
      </c>
      <c r="E19" s="1388" t="s">
        <v>493</v>
      </c>
      <c r="F19" s="1389" t="s">
        <v>494</v>
      </c>
      <c r="G19" s="1287" t="s">
        <v>65</v>
      </c>
      <c r="H19" s="17" t="s">
        <v>495</v>
      </c>
      <c r="I19" s="1314" t="s">
        <v>496</v>
      </c>
      <c r="J19" s="1390" t="s">
        <v>497</v>
      </c>
      <c r="K19" s="1391" t="s">
        <v>498</v>
      </c>
      <c r="L19" s="17" t="s">
        <v>22</v>
      </c>
      <c r="M19" s="1289"/>
      <c r="N19" s="17"/>
    </row>
    <row r="20" spans="1:15" s="1249" customFormat="1" ht="91.7">
      <c r="A20" s="1284">
        <v>16</v>
      </c>
      <c r="B20" s="17" t="s">
        <v>499</v>
      </c>
      <c r="C20" s="1285">
        <v>8000</v>
      </c>
      <c r="D20" s="1365" t="s">
        <v>267</v>
      </c>
      <c r="E20" s="1388" t="s">
        <v>500</v>
      </c>
      <c r="F20" s="1389" t="s">
        <v>501</v>
      </c>
      <c r="G20" s="1287" t="s">
        <v>65</v>
      </c>
      <c r="H20" s="17" t="s">
        <v>213</v>
      </c>
      <c r="I20" s="1314" t="s">
        <v>502</v>
      </c>
      <c r="J20" s="1390" t="s">
        <v>503</v>
      </c>
      <c r="K20" s="1391" t="s">
        <v>472</v>
      </c>
      <c r="L20" s="17" t="s">
        <v>26</v>
      </c>
      <c r="M20" s="1289"/>
      <c r="N20" s="17"/>
    </row>
    <row r="21" spans="1:15" s="367" customFormat="1" ht="125.35" customHeight="1">
      <c r="A21" s="695">
        <v>17</v>
      </c>
      <c r="B21" s="76" t="s">
        <v>432</v>
      </c>
      <c r="C21" s="1323">
        <v>6770</v>
      </c>
      <c r="D21" s="97" t="s">
        <v>267</v>
      </c>
      <c r="E21" s="1392" t="s">
        <v>504</v>
      </c>
      <c r="F21" s="1386"/>
      <c r="G21" s="1317" t="s">
        <v>65</v>
      </c>
      <c r="H21" s="76" t="s">
        <v>106</v>
      </c>
      <c r="I21" s="1353" t="s">
        <v>505</v>
      </c>
      <c r="J21" s="1393" t="s">
        <v>506</v>
      </c>
      <c r="K21" s="1371" t="s">
        <v>498</v>
      </c>
      <c r="L21" s="76" t="s">
        <v>18</v>
      </c>
      <c r="M21" s="1327"/>
      <c r="N21" s="1328">
        <f>2000+2000+1000+200+670</f>
        <v>5870</v>
      </c>
    </row>
    <row r="22" spans="1:15" s="367" customFormat="1" ht="120.75" customHeight="1">
      <c r="A22" s="695">
        <v>18</v>
      </c>
      <c r="B22" s="76" t="s">
        <v>311</v>
      </c>
      <c r="C22" s="1323">
        <v>3940</v>
      </c>
      <c r="D22" s="97" t="s">
        <v>267</v>
      </c>
      <c r="E22" s="1392" t="s">
        <v>507</v>
      </c>
      <c r="F22" s="1386"/>
      <c r="G22" s="1317" t="s">
        <v>65</v>
      </c>
      <c r="H22" s="76" t="s">
        <v>508</v>
      </c>
      <c r="I22" s="1353" t="s">
        <v>509</v>
      </c>
      <c r="J22" s="1393">
        <f>C22-1500-1972</f>
        <v>468</v>
      </c>
      <c r="K22" s="1371" t="s">
        <v>510</v>
      </c>
      <c r="L22" s="76" t="s">
        <v>22</v>
      </c>
      <c r="M22" s="1327"/>
      <c r="N22" s="1328">
        <f>1000+650+350+1500</f>
        <v>3500</v>
      </c>
    </row>
    <row r="23" spans="1:15" s="367" customFormat="1" ht="98.35" customHeight="1">
      <c r="A23" s="362">
        <v>19</v>
      </c>
      <c r="B23" s="72" t="s">
        <v>407</v>
      </c>
      <c r="C23" s="1308">
        <v>10200</v>
      </c>
      <c r="D23" s="97" t="s">
        <v>292</v>
      </c>
      <c r="E23" s="1392" t="s">
        <v>511</v>
      </c>
      <c r="F23" s="97"/>
      <c r="G23" s="185" t="s">
        <v>65</v>
      </c>
      <c r="H23" s="72" t="s">
        <v>213</v>
      </c>
      <c r="I23" s="74" t="s">
        <v>512</v>
      </c>
      <c r="J23" s="72"/>
      <c r="K23" s="72" t="s">
        <v>453</v>
      </c>
      <c r="L23" s="72" t="s">
        <v>88</v>
      </c>
      <c r="M23" s="1272"/>
      <c r="N23" s="72">
        <f>3800+1300-10200</f>
        <v>-5100</v>
      </c>
    </row>
    <row r="24" spans="1:15" s="367" customFormat="1" ht="67.599999999999994" customHeight="1">
      <c r="A24" s="362">
        <v>20</v>
      </c>
      <c r="B24" s="72" t="s">
        <v>315</v>
      </c>
      <c r="C24" s="1308">
        <v>4250</v>
      </c>
      <c r="D24" s="1397" t="s">
        <v>267</v>
      </c>
      <c r="E24" s="1332" t="s">
        <v>513</v>
      </c>
      <c r="F24" s="1398"/>
      <c r="G24" s="185" t="s">
        <v>65</v>
      </c>
      <c r="H24" s="72" t="s">
        <v>142</v>
      </c>
      <c r="I24" s="74" t="s">
        <v>514</v>
      </c>
      <c r="J24" s="72"/>
      <c r="K24" s="72" t="s">
        <v>453</v>
      </c>
      <c r="L24" s="72" t="s">
        <v>22</v>
      </c>
      <c r="M24" s="1272"/>
      <c r="N24" s="72"/>
    </row>
    <row r="25" spans="1:15" s="855" customFormat="1" ht="46.55" customHeight="1">
      <c r="A25" s="904">
        <v>21</v>
      </c>
      <c r="B25" s="816" t="s">
        <v>290</v>
      </c>
      <c r="C25" s="1399">
        <v>3000</v>
      </c>
      <c r="D25" s="1397" t="s">
        <v>267</v>
      </c>
      <c r="E25" s="1332" t="s">
        <v>515</v>
      </c>
      <c r="F25" s="905"/>
      <c r="G25" s="182" t="s">
        <v>65</v>
      </c>
      <c r="H25" s="182" t="s">
        <v>142</v>
      </c>
      <c r="I25" s="512" t="s">
        <v>514</v>
      </c>
      <c r="J25" s="182"/>
      <c r="K25" s="182"/>
      <c r="L25" s="182" t="s">
        <v>22</v>
      </c>
      <c r="M25" s="1400"/>
      <c r="N25" s="182"/>
      <c r="O25" s="389"/>
    </row>
    <row r="26" spans="1:15" s="367" customFormat="1" ht="207" customHeight="1">
      <c r="A26" s="362">
        <v>22</v>
      </c>
      <c r="B26" s="72" t="s">
        <v>516</v>
      </c>
      <c r="C26" s="1308">
        <v>16000</v>
      </c>
      <c r="D26" s="97" t="s">
        <v>292</v>
      </c>
      <c r="E26" s="1332" t="s">
        <v>517</v>
      </c>
      <c r="F26" s="97"/>
      <c r="G26" s="185" t="s">
        <v>65</v>
      </c>
      <c r="H26" s="72" t="s">
        <v>213</v>
      </c>
      <c r="I26" s="1276" t="s">
        <v>518</v>
      </c>
      <c r="J26" s="97">
        <f>500+1300+1000+3000+135+800+3000+4500+100+200</f>
        <v>14535</v>
      </c>
      <c r="K26" s="72"/>
      <c r="L26" s="72" t="s">
        <v>88</v>
      </c>
      <c r="M26" s="1272"/>
      <c r="N26" s="72"/>
    </row>
    <row r="27" spans="1:15" s="367" customFormat="1" ht="111.1" customHeight="1">
      <c r="A27" s="362">
        <v>23</v>
      </c>
      <c r="B27" s="72" t="s">
        <v>519</v>
      </c>
      <c r="C27" s="1308">
        <v>5000</v>
      </c>
      <c r="D27" s="97" t="s">
        <v>267</v>
      </c>
      <c r="E27" s="1332" t="s">
        <v>520</v>
      </c>
      <c r="F27" s="97"/>
      <c r="G27" s="185" t="s">
        <v>65</v>
      </c>
      <c r="H27" s="72" t="s">
        <v>521</v>
      </c>
      <c r="I27" s="1276" t="s">
        <v>522</v>
      </c>
      <c r="J27" s="1310" t="s">
        <v>523</v>
      </c>
      <c r="K27" s="72" t="s">
        <v>510</v>
      </c>
      <c r="L27" s="72" t="s">
        <v>524</v>
      </c>
      <c r="M27" s="1272"/>
      <c r="N27" s="72"/>
    </row>
    <row r="28" spans="1:15" s="367" customFormat="1" ht="86.95" customHeight="1">
      <c r="A28" s="362">
        <v>24</v>
      </c>
      <c r="B28" s="72" t="s">
        <v>432</v>
      </c>
      <c r="C28" s="1308">
        <v>6771</v>
      </c>
      <c r="D28" s="97" t="s">
        <v>292</v>
      </c>
      <c r="E28" s="1332" t="s">
        <v>525</v>
      </c>
      <c r="F28" s="97"/>
      <c r="G28" s="185" t="s">
        <v>65</v>
      </c>
      <c r="H28" s="72" t="s">
        <v>164</v>
      </c>
      <c r="I28" s="74" t="s">
        <v>526</v>
      </c>
      <c r="J28" s="72"/>
      <c r="K28" s="72"/>
      <c r="L28" s="72" t="s">
        <v>18</v>
      </c>
      <c r="M28" s="1272"/>
      <c r="N28" s="72"/>
      <c r="O28" s="148"/>
    </row>
    <row r="29" spans="1:15" s="1413" customFormat="1" ht="201.75" customHeight="1">
      <c r="A29" s="1405">
        <v>25</v>
      </c>
      <c r="B29" s="1406" t="s">
        <v>383</v>
      </c>
      <c r="C29" s="1407">
        <v>8075</v>
      </c>
      <c r="D29" s="1408" t="s">
        <v>394</v>
      </c>
      <c r="E29" s="1409" t="s">
        <v>527</v>
      </c>
      <c r="F29" s="1408"/>
      <c r="G29" s="1410" t="s">
        <v>65</v>
      </c>
      <c r="H29" s="1406" t="s">
        <v>213</v>
      </c>
      <c r="I29" s="1415" t="s">
        <v>528</v>
      </c>
      <c r="J29" s="1411"/>
      <c r="K29" s="1406"/>
      <c r="L29" s="1406" t="s">
        <v>24</v>
      </c>
      <c r="M29" s="1412"/>
      <c r="N29" s="1406">
        <f>8075-1500-1800-2200-100-475</f>
        <v>2000</v>
      </c>
    </row>
    <row r="30" spans="1:15" s="1" customFormat="1" ht="67.599999999999994" customHeight="1">
      <c r="A30" s="360">
        <v>26</v>
      </c>
      <c r="B30" s="41" t="s">
        <v>290</v>
      </c>
      <c r="C30" s="1401">
        <v>3000</v>
      </c>
      <c r="D30" s="90" t="s">
        <v>394</v>
      </c>
      <c r="E30" s="1402" t="s">
        <v>529</v>
      </c>
      <c r="F30" s="90"/>
      <c r="G30" s="1254" t="s">
        <v>65</v>
      </c>
      <c r="H30" s="41" t="s">
        <v>387</v>
      </c>
      <c r="I30" s="507" t="s">
        <v>388</v>
      </c>
      <c r="J30" s="41"/>
      <c r="K30" s="41"/>
      <c r="L30" s="41" t="s">
        <v>22</v>
      </c>
      <c r="M30" s="1403"/>
      <c r="N30" s="41"/>
    </row>
    <row r="31" spans="1:15" s="1" customFormat="1" ht="67.599999999999994" customHeight="1">
      <c r="A31" s="360">
        <v>27</v>
      </c>
      <c r="B31" s="41" t="s">
        <v>315</v>
      </c>
      <c r="C31" s="1401">
        <v>4250</v>
      </c>
      <c r="D31" s="90" t="s">
        <v>530</v>
      </c>
      <c r="E31" s="1402" t="s">
        <v>531</v>
      </c>
      <c r="F31" s="90"/>
      <c r="G31" s="1254" t="s">
        <v>65</v>
      </c>
      <c r="H31" s="41" t="s">
        <v>106</v>
      </c>
      <c r="I31" s="507" t="s">
        <v>532</v>
      </c>
      <c r="J31" s="90" t="s">
        <v>391</v>
      </c>
      <c r="K31" s="41"/>
      <c r="L31" s="41" t="s">
        <v>22</v>
      </c>
      <c r="M31" s="1403"/>
      <c r="N31" s="41"/>
    </row>
    <row r="32" spans="1:15" s="1" customFormat="1" ht="56.25" customHeight="1">
      <c r="A32" s="359">
        <v>28</v>
      </c>
      <c r="B32" s="1" t="s">
        <v>425</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213</v>
      </c>
      <c r="I34" s="477" t="s">
        <v>533</v>
      </c>
      <c r="M34" s="804"/>
    </row>
    <row r="35" spans="1:14" s="1" customFormat="1" ht="36.700000000000003">
      <c r="A35" s="359"/>
      <c r="C35" s="1179"/>
      <c r="D35" s="271"/>
      <c r="E35" s="271"/>
      <c r="F35" s="271"/>
      <c r="H35" s="1" t="s">
        <v>106</v>
      </c>
      <c r="I35" s="477" t="s">
        <v>534</v>
      </c>
      <c r="M35" s="804"/>
    </row>
    <row r="52" spans="9:9" s="1" customFormat="1">
      <c r="I52" s="9" t="s">
        <v>535</v>
      </c>
    </row>
  </sheetData>
  <autoFilter ref="A4:Q51" xr:uid="{00000000-0009-0000-0000-000001000000}"/>
  <mergeCells count="2">
    <mergeCell ref="C1:J1"/>
    <mergeCell ref="A2:J2"/>
  </mergeCells>
  <conditionalFormatting sqref="A1:A3">
    <cfRule type="duplicateValues" dxfId="888" priority="8"/>
  </conditionalFormatting>
  <conditionalFormatting sqref="A4">
    <cfRule type="duplicateValues" dxfId="887" priority="4"/>
  </conditionalFormatting>
  <conditionalFormatting sqref="B3">
    <cfRule type="duplicateValues" dxfId="886" priority="5"/>
    <cfRule type="duplicateValues" dxfId="885" priority="6"/>
    <cfRule type="duplicateValues" dxfId="884" priority="7"/>
  </conditionalFormatting>
  <conditionalFormatting sqref="B4">
    <cfRule type="duplicateValues" dxfId="883" priority="1"/>
    <cfRule type="duplicateValues" dxfId="882" priority="2"/>
    <cfRule type="duplicateValues" dxfId="881"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375" style="9" customWidth="1"/>
    <col min="9" max="9" width="48.375" style="9" customWidth="1"/>
    <col min="10" max="10" width="25.625" style="1" customWidth="1"/>
    <col min="11" max="11" width="10.25" style="804" hidden="1" customWidth="1"/>
    <col min="12" max="12" width="25.625" style="3" customWidth="1"/>
    <col min="13" max="13" width="15.375" style="3" customWidth="1"/>
    <col min="14" max="14" width="34.625" style="3" customWidth="1"/>
    <col min="15" max="16384" width="25.625" style="3"/>
  </cols>
  <sheetData>
    <row r="1" spans="1:13" ht="17.350000000000001" customHeight="1">
      <c r="B1" s="10"/>
      <c r="C1" s="3671"/>
      <c r="D1" s="3671"/>
      <c r="E1" s="3671"/>
      <c r="F1" s="3671"/>
      <c r="G1" s="3671"/>
      <c r="H1" s="3671"/>
      <c r="I1" s="3671"/>
    </row>
    <row r="2" spans="1:13" ht="34.5" customHeight="1">
      <c r="A2" s="3684" t="s">
        <v>536</v>
      </c>
      <c r="B2" s="3684"/>
      <c r="C2" s="3684"/>
      <c r="D2" s="3684"/>
      <c r="E2" s="3684"/>
      <c r="F2" s="3684"/>
      <c r="G2" s="3684"/>
      <c r="H2" s="3684"/>
      <c r="I2" s="3684"/>
      <c r="J2" s="1139"/>
      <c r="K2" s="805"/>
      <c r="L2" s="196"/>
      <c r="M2" s="197"/>
    </row>
    <row r="3" spans="1:13" ht="13.6" customHeight="1">
      <c r="A3" s="360"/>
      <c r="B3" s="385"/>
      <c r="C3" s="1136">
        <f>SUBTOTAL(9,C7:C375)</f>
        <v>192114</v>
      </c>
      <c r="D3" s="378"/>
      <c r="E3" s="849"/>
      <c r="F3" s="201"/>
      <c r="G3" s="199"/>
      <c r="H3" s="202"/>
      <c r="I3" s="3686">
        <f ca="1">TODAY()</f>
        <v>45988</v>
      </c>
      <c r="J3" s="3686"/>
      <c r="K3" s="808"/>
      <c r="L3" s="197"/>
      <c r="M3" s="197"/>
    </row>
    <row r="4" spans="1:13" s="7" customFormat="1" ht="50.95">
      <c r="A4" s="810" t="s">
        <v>48</v>
      </c>
      <c r="B4" s="679" t="s">
        <v>380</v>
      </c>
      <c r="C4" s="1137" t="s">
        <v>50</v>
      </c>
      <c r="D4" s="679" t="s">
        <v>51</v>
      </c>
      <c r="E4" s="679" t="s">
        <v>53</v>
      </c>
      <c r="F4" s="679" t="s">
        <v>55</v>
      </c>
      <c r="G4" s="679" t="s">
        <v>56</v>
      </c>
      <c r="H4" s="812" t="s">
        <v>57</v>
      </c>
      <c r="I4" s="679" t="s">
        <v>58</v>
      </c>
      <c r="J4" s="679" t="s">
        <v>52</v>
      </c>
      <c r="K4" s="813" t="s">
        <v>381</v>
      </c>
      <c r="L4" s="753" t="s">
        <v>382</v>
      </c>
      <c r="M4" s="754">
        <f>SUM(M5:M10)</f>
        <v>176641</v>
      </c>
    </row>
    <row r="5" spans="1:13" s="336" customFormat="1" ht="48.75" customHeight="1">
      <c r="A5" s="797" cm="1">
        <f t="array" ref="A5:A64">_xlfn.SEQUENCE(60,1,1,)</f>
        <v>1</v>
      </c>
      <c r="B5" s="115" t="s">
        <v>537</v>
      </c>
      <c r="C5" s="1140">
        <v>3200</v>
      </c>
      <c r="D5" s="380" t="s">
        <v>267</v>
      </c>
      <c r="E5" s="380" t="s">
        <v>538</v>
      </c>
      <c r="F5" s="91" t="s">
        <v>65</v>
      </c>
      <c r="G5" s="91" t="s">
        <v>142</v>
      </c>
      <c r="H5" s="1141" t="s">
        <v>539</v>
      </c>
      <c r="I5" s="1142"/>
      <c r="J5" s="154" t="s">
        <v>22</v>
      </c>
      <c r="K5" s="1082">
        <f t="shared" ref="K5:K51" si="0">C5</f>
        <v>3200</v>
      </c>
      <c r="L5" s="241" t="s">
        <v>88</v>
      </c>
      <c r="M5" s="242">
        <f t="shared" ref="M5:M10" si="1">SUMIF($J:$J,L5,K:K)</f>
        <v>26500</v>
      </c>
    </row>
    <row r="6" spans="1:13" s="336" customFormat="1" ht="48.75" customHeight="1">
      <c r="A6" s="797">
        <v>2</v>
      </c>
      <c r="B6" s="91" t="s">
        <v>540</v>
      </c>
      <c r="C6" s="1140">
        <v>3250</v>
      </c>
      <c r="D6" s="380" t="s">
        <v>267</v>
      </c>
      <c r="E6" s="380" t="s">
        <v>541</v>
      </c>
      <c r="F6" s="91" t="s">
        <v>65</v>
      </c>
      <c r="G6" s="115" t="s">
        <v>294</v>
      </c>
      <c r="H6" s="93" t="s">
        <v>542</v>
      </c>
      <c r="I6" s="1143" t="s">
        <v>543</v>
      </c>
      <c r="J6" s="154" t="s">
        <v>24</v>
      </c>
      <c r="K6" s="1082">
        <f t="shared" si="0"/>
        <v>3250</v>
      </c>
      <c r="L6" s="852" t="s">
        <v>26</v>
      </c>
      <c r="M6" s="242">
        <f t="shared" si="1"/>
        <v>12300</v>
      </c>
    </row>
    <row r="7" spans="1:13" s="336" customFormat="1" ht="90" customHeight="1">
      <c r="A7" s="797">
        <v>3</v>
      </c>
      <c r="B7" s="91" t="s">
        <v>544</v>
      </c>
      <c r="C7" s="1140">
        <v>4060</v>
      </c>
      <c r="D7" s="380" t="s">
        <v>267</v>
      </c>
      <c r="E7" s="380" t="s">
        <v>545</v>
      </c>
      <c r="F7" s="91" t="s">
        <v>65</v>
      </c>
      <c r="G7" s="115" t="s">
        <v>546</v>
      </c>
      <c r="H7" s="93" t="s">
        <v>547</v>
      </c>
      <c r="I7" s="1143" t="s">
        <v>548</v>
      </c>
      <c r="J7" s="154" t="s">
        <v>18</v>
      </c>
      <c r="K7" s="1082">
        <f t="shared" si="0"/>
        <v>4060</v>
      </c>
      <c r="L7" s="247" t="s">
        <v>18</v>
      </c>
      <c r="M7" s="242">
        <f t="shared" si="1"/>
        <v>45430</v>
      </c>
    </row>
    <row r="8" spans="1:13" s="855" customFormat="1" ht="53.35" customHeight="1">
      <c r="A8" s="706">
        <v>4</v>
      </c>
      <c r="B8" s="177" t="s">
        <v>549</v>
      </c>
      <c r="C8" s="186">
        <v>15000</v>
      </c>
      <c r="D8" s="707" t="s">
        <v>267</v>
      </c>
      <c r="E8" s="388" t="s">
        <v>550</v>
      </c>
      <c r="F8" s="177" t="s">
        <v>65</v>
      </c>
      <c r="G8" s="177" t="s">
        <v>551</v>
      </c>
      <c r="H8" s="188" t="s">
        <v>552</v>
      </c>
      <c r="I8" s="854" t="s">
        <v>553</v>
      </c>
      <c r="J8" s="177" t="s">
        <v>554</v>
      </c>
      <c r="K8" s="1082">
        <f t="shared" si="0"/>
        <v>15000</v>
      </c>
      <c r="L8" s="1070" t="s">
        <v>555</v>
      </c>
      <c r="M8" s="210">
        <f t="shared" si="1"/>
        <v>8361</v>
      </c>
    </row>
    <row r="9" spans="1:13" s="367" customFormat="1" ht="53.35" customHeight="1">
      <c r="A9" s="797">
        <v>5</v>
      </c>
      <c r="B9" s="91" t="s">
        <v>556</v>
      </c>
      <c r="C9" s="120">
        <v>3050</v>
      </c>
      <c r="D9" s="707" t="s">
        <v>267</v>
      </c>
      <c r="E9" s="380" t="s">
        <v>557</v>
      </c>
      <c r="F9" s="91" t="s">
        <v>65</v>
      </c>
      <c r="G9" s="91" t="s">
        <v>558</v>
      </c>
      <c r="H9" s="119" t="s">
        <v>559</v>
      </c>
      <c r="I9" s="119"/>
      <c r="J9" s="91" t="s">
        <v>24</v>
      </c>
      <c r="K9" s="1082">
        <f t="shared" si="0"/>
        <v>3050</v>
      </c>
      <c r="L9" s="1070" t="s">
        <v>22</v>
      </c>
      <c r="M9" s="242">
        <f t="shared" si="1"/>
        <v>41050</v>
      </c>
    </row>
    <row r="10" spans="1:13" s="367" customFormat="1" ht="61.5" customHeight="1">
      <c r="A10" s="706">
        <v>6</v>
      </c>
      <c r="B10" s="115" t="s">
        <v>560</v>
      </c>
      <c r="C10" s="1140">
        <v>1150</v>
      </c>
      <c r="D10" s="707" t="s">
        <v>267</v>
      </c>
      <c r="E10" s="380" t="s">
        <v>561</v>
      </c>
      <c r="F10" s="91" t="s">
        <v>65</v>
      </c>
      <c r="G10" s="91" t="s">
        <v>213</v>
      </c>
      <c r="H10" s="1144" t="s">
        <v>562</v>
      </c>
      <c r="I10" s="1145" t="s">
        <v>563</v>
      </c>
      <c r="J10" s="154" t="s">
        <v>26</v>
      </c>
      <c r="K10" s="1082">
        <f t="shared" si="0"/>
        <v>1150</v>
      </c>
      <c r="L10" s="177" t="s">
        <v>24</v>
      </c>
      <c r="M10" s="242">
        <f t="shared" si="1"/>
        <v>43000</v>
      </c>
    </row>
    <row r="11" spans="1:13" s="336" customFormat="1" ht="56.25" customHeight="1">
      <c r="A11" s="927">
        <v>7</v>
      </c>
      <c r="B11" s="115" t="s">
        <v>564</v>
      </c>
      <c r="C11" s="1140">
        <v>4000</v>
      </c>
      <c r="D11" s="707" t="s">
        <v>267</v>
      </c>
      <c r="E11" s="380" t="s">
        <v>565</v>
      </c>
      <c r="F11" s="91" t="s">
        <v>65</v>
      </c>
      <c r="G11" s="91" t="s">
        <v>213</v>
      </c>
      <c r="H11" s="1144" t="s">
        <v>566</v>
      </c>
      <c r="I11" s="1145" t="s">
        <v>563</v>
      </c>
      <c r="J11" s="154" t="s">
        <v>22</v>
      </c>
      <c r="K11" s="1082">
        <f t="shared" si="0"/>
        <v>4000</v>
      </c>
    </row>
    <row r="12" spans="1:13" s="336" customFormat="1" ht="48.75" customHeight="1">
      <c r="A12" s="786">
        <v>8</v>
      </c>
      <c r="B12" s="89" t="s">
        <v>567</v>
      </c>
      <c r="C12" s="1146">
        <v>3400</v>
      </c>
      <c r="D12" s="707" t="s">
        <v>267</v>
      </c>
      <c r="E12" s="133" t="s">
        <v>568</v>
      </c>
      <c r="F12" s="87" t="s">
        <v>65</v>
      </c>
      <c r="G12" s="87" t="s">
        <v>558</v>
      </c>
      <c r="H12" s="146" t="s">
        <v>569</v>
      </c>
      <c r="I12" s="1145" t="s">
        <v>563</v>
      </c>
      <c r="J12" s="129" t="s">
        <v>88</v>
      </c>
      <c r="K12" s="1082">
        <f t="shared" si="0"/>
        <v>3400</v>
      </c>
    </row>
    <row r="13" spans="1:13" s="336" customFormat="1" ht="56.25" customHeight="1">
      <c r="A13" s="927">
        <v>9</v>
      </c>
      <c r="B13" s="115" t="s">
        <v>570</v>
      </c>
      <c r="C13" s="1140">
        <v>3800</v>
      </c>
      <c r="D13" s="707" t="s">
        <v>267</v>
      </c>
      <c r="E13" s="380" t="s">
        <v>571</v>
      </c>
      <c r="F13" s="91" t="s">
        <v>65</v>
      </c>
      <c r="G13" s="91" t="s">
        <v>213</v>
      </c>
      <c r="H13" s="1144" t="s">
        <v>566</v>
      </c>
      <c r="I13" s="1145" t="s">
        <v>563</v>
      </c>
      <c r="J13" s="154" t="s">
        <v>18</v>
      </c>
      <c r="K13" s="1082">
        <f t="shared" si="0"/>
        <v>3800</v>
      </c>
    </row>
    <row r="14" spans="1:13" s="336" customFormat="1" ht="56.25" customHeight="1">
      <c r="A14" s="786">
        <v>10</v>
      </c>
      <c r="B14" s="115" t="s">
        <v>572</v>
      </c>
      <c r="C14" s="1140">
        <v>2787</v>
      </c>
      <c r="D14" s="707" t="s">
        <v>267</v>
      </c>
      <c r="E14" s="380" t="s">
        <v>573</v>
      </c>
      <c r="F14" s="91" t="s">
        <v>65</v>
      </c>
      <c r="G14" s="91" t="s">
        <v>213</v>
      </c>
      <c r="H14" s="1144" t="s">
        <v>574</v>
      </c>
      <c r="I14" s="1145" t="s">
        <v>563</v>
      </c>
      <c r="J14" s="154" t="s">
        <v>555</v>
      </c>
      <c r="K14" s="1082">
        <f t="shared" si="0"/>
        <v>2787</v>
      </c>
    </row>
    <row r="15" spans="1:13" s="367" customFormat="1" ht="53.35" customHeight="1">
      <c r="A15" s="971">
        <v>11</v>
      </c>
      <c r="B15" s="87" t="s">
        <v>575</v>
      </c>
      <c r="C15" s="1151">
        <v>3750</v>
      </c>
      <c r="D15" s="707" t="s">
        <v>267</v>
      </c>
      <c r="E15" s="133" t="s">
        <v>576</v>
      </c>
      <c r="F15" s="87" t="s">
        <v>65</v>
      </c>
      <c r="G15" s="87" t="s">
        <v>240</v>
      </c>
      <c r="H15" s="93" t="s">
        <v>577</v>
      </c>
      <c r="I15" s="133"/>
      <c r="J15" s="87" t="s">
        <v>88</v>
      </c>
      <c r="K15" s="1082">
        <f t="shared" si="0"/>
        <v>3750</v>
      </c>
      <c r="L15" s="336"/>
      <c r="M15" s="336"/>
    </row>
    <row r="16" spans="1:13" s="367" customFormat="1" ht="50.3" customHeight="1">
      <c r="A16" s="927">
        <v>12</v>
      </c>
      <c r="B16" s="87" t="s">
        <v>578</v>
      </c>
      <c r="C16" s="1151">
        <v>4350</v>
      </c>
      <c r="D16" s="707" t="s">
        <v>267</v>
      </c>
      <c r="E16" s="133" t="s">
        <v>579</v>
      </c>
      <c r="F16" s="87" t="s">
        <v>65</v>
      </c>
      <c r="G16" s="91" t="s">
        <v>213</v>
      </c>
      <c r="H16" s="108" t="s">
        <v>580</v>
      </c>
      <c r="I16" s="87"/>
      <c r="J16" s="87" t="s">
        <v>18</v>
      </c>
      <c r="K16" s="1082">
        <f t="shared" si="0"/>
        <v>4350</v>
      </c>
      <c r="L16" s="336"/>
      <c r="M16" s="336"/>
    </row>
    <row r="17" spans="1:13" s="367" customFormat="1" ht="50.3" customHeight="1">
      <c r="A17" s="927">
        <v>13</v>
      </c>
      <c r="B17" s="87" t="s">
        <v>581</v>
      </c>
      <c r="C17" s="1151">
        <v>3550</v>
      </c>
      <c r="D17" s="707" t="s">
        <v>267</v>
      </c>
      <c r="E17" s="133" t="s">
        <v>582</v>
      </c>
      <c r="F17" s="87" t="s">
        <v>65</v>
      </c>
      <c r="G17" s="91" t="s">
        <v>558</v>
      </c>
      <c r="H17" s="93" t="s">
        <v>583</v>
      </c>
      <c r="I17" s="87"/>
      <c r="J17" s="87" t="s">
        <v>88</v>
      </c>
      <c r="K17" s="1082">
        <f t="shared" si="0"/>
        <v>3550</v>
      </c>
      <c r="L17" s="336"/>
      <c r="M17" s="336"/>
    </row>
    <row r="18" spans="1:13" s="336" customFormat="1" ht="56.25" customHeight="1">
      <c r="A18" s="927">
        <v>14</v>
      </c>
      <c r="B18" s="115" t="s">
        <v>584</v>
      </c>
      <c r="C18" s="1140">
        <v>4500</v>
      </c>
      <c r="D18" s="707" t="s">
        <v>267</v>
      </c>
      <c r="E18" s="380" t="s">
        <v>585</v>
      </c>
      <c r="F18" s="91" t="s">
        <v>65</v>
      </c>
      <c r="G18" s="91" t="s">
        <v>213</v>
      </c>
      <c r="H18" s="1144" t="s">
        <v>586</v>
      </c>
      <c r="I18" s="1145" t="s">
        <v>563</v>
      </c>
      <c r="J18" s="154" t="s">
        <v>88</v>
      </c>
      <c r="K18" s="1082">
        <f t="shared" si="0"/>
        <v>4500</v>
      </c>
    </row>
    <row r="19" spans="1:13" s="367" customFormat="1" ht="72" customHeight="1">
      <c r="A19" s="971">
        <v>15</v>
      </c>
      <c r="B19" s="87" t="s">
        <v>587</v>
      </c>
      <c r="C19" s="1146">
        <v>4600</v>
      </c>
      <c r="D19" s="707" t="s">
        <v>267</v>
      </c>
      <c r="E19" s="133" t="s">
        <v>588</v>
      </c>
      <c r="F19" s="87" t="s">
        <v>65</v>
      </c>
      <c r="G19" s="91" t="s">
        <v>213</v>
      </c>
      <c r="H19" s="1144" t="s">
        <v>589</v>
      </c>
      <c r="I19" s="1145" t="s">
        <v>563</v>
      </c>
      <c r="J19" s="87" t="s">
        <v>26</v>
      </c>
      <c r="K19" s="1082">
        <f t="shared" si="0"/>
        <v>4600</v>
      </c>
      <c r="L19" s="336"/>
      <c r="M19" s="336"/>
    </row>
    <row r="20" spans="1:13" s="367" customFormat="1" ht="42.8" customHeight="1">
      <c r="A20" s="706">
        <v>16</v>
      </c>
      <c r="B20" s="115" t="s">
        <v>590</v>
      </c>
      <c r="C20" s="1140">
        <v>3500</v>
      </c>
      <c r="D20" s="707" t="s">
        <v>267</v>
      </c>
      <c r="E20" s="380" t="s">
        <v>591</v>
      </c>
      <c r="F20" s="91" t="s">
        <v>65</v>
      </c>
      <c r="G20" s="91" t="s">
        <v>213</v>
      </c>
      <c r="H20" s="1144" t="s">
        <v>592</v>
      </c>
      <c r="I20" s="1168" t="s">
        <v>563</v>
      </c>
      <c r="J20" s="154" t="s">
        <v>22</v>
      </c>
      <c r="K20" s="1082">
        <f t="shared" si="0"/>
        <v>3500</v>
      </c>
      <c r="L20" s="1152"/>
      <c r="M20" s="853"/>
    </row>
    <row r="21" spans="1:13" s="336" customFormat="1" ht="56.25" customHeight="1">
      <c r="A21" s="971">
        <v>17</v>
      </c>
      <c r="B21" s="115" t="s">
        <v>593</v>
      </c>
      <c r="C21" s="1140">
        <v>3250</v>
      </c>
      <c r="D21" s="707" t="s">
        <v>267</v>
      </c>
      <c r="E21" s="380" t="s">
        <v>594</v>
      </c>
      <c r="F21" s="91" t="s">
        <v>65</v>
      </c>
      <c r="G21" s="91" t="s">
        <v>294</v>
      </c>
      <c r="H21" s="1144" t="s">
        <v>595</v>
      </c>
      <c r="I21" s="1153" t="s">
        <v>596</v>
      </c>
      <c r="J21" s="154" t="s">
        <v>24</v>
      </c>
      <c r="K21" s="1082">
        <f t="shared" si="0"/>
        <v>3250</v>
      </c>
    </row>
    <row r="22" spans="1:13" s="1155" customFormat="1" ht="68.3" customHeight="1">
      <c r="A22" s="1140">
        <v>18</v>
      </c>
      <c r="B22" s="1156" t="s">
        <v>575</v>
      </c>
      <c r="C22" s="1140">
        <v>4300</v>
      </c>
      <c r="D22" s="707" t="s">
        <v>267</v>
      </c>
      <c r="E22" s="1157" t="s">
        <v>597</v>
      </c>
      <c r="F22" s="1140" t="s">
        <v>65</v>
      </c>
      <c r="G22" s="1156" t="s">
        <v>213</v>
      </c>
      <c r="H22" s="1159" t="s">
        <v>598</v>
      </c>
      <c r="I22" s="1140" t="s">
        <v>599</v>
      </c>
      <c r="J22" s="1156" t="s">
        <v>24</v>
      </c>
      <c r="K22" s="1082">
        <f t="shared" si="0"/>
        <v>4300</v>
      </c>
      <c r="L22" s="1140"/>
      <c r="M22" s="1140"/>
    </row>
    <row r="23" spans="1:13" s="1154" customFormat="1" ht="44.35" customHeight="1">
      <c r="A23" s="1140">
        <v>19</v>
      </c>
      <c r="B23" s="1156" t="s">
        <v>600</v>
      </c>
      <c r="C23" s="1140">
        <v>3280</v>
      </c>
      <c r="D23" s="707" t="s">
        <v>267</v>
      </c>
      <c r="E23" s="1157" t="s">
        <v>601</v>
      </c>
      <c r="F23" s="1140" t="s">
        <v>65</v>
      </c>
      <c r="G23" s="1156" t="s">
        <v>558</v>
      </c>
      <c r="H23" s="1158" t="s">
        <v>583</v>
      </c>
      <c r="I23" s="1140" t="s">
        <v>602</v>
      </c>
      <c r="J23" s="1156" t="s">
        <v>24</v>
      </c>
      <c r="K23" s="1082">
        <f t="shared" si="0"/>
        <v>3280</v>
      </c>
      <c r="L23" s="1140"/>
      <c r="M23" s="1140"/>
    </row>
    <row r="24" spans="1:13" ht="59.3" hidden="1" customHeight="1">
      <c r="A24" s="1140">
        <v>20</v>
      </c>
      <c r="B24" s="1156" t="s">
        <v>603</v>
      </c>
      <c r="C24" s="1140">
        <v>2787</v>
      </c>
      <c r="D24" s="707" t="s">
        <v>267</v>
      </c>
      <c r="E24" s="1157" t="s">
        <v>604</v>
      </c>
      <c r="F24" s="1156" t="s">
        <v>65</v>
      </c>
      <c r="G24" s="1156" t="s">
        <v>213</v>
      </c>
      <c r="H24" s="1159" t="s">
        <v>574</v>
      </c>
      <c r="I24" s="1140"/>
      <c r="J24" s="1156" t="s">
        <v>555</v>
      </c>
      <c r="K24" s="1082">
        <f t="shared" si="0"/>
        <v>2787</v>
      </c>
      <c r="L24" s="1140"/>
      <c r="M24" s="1140"/>
    </row>
    <row r="25" spans="1:13" s="336" customFormat="1" ht="44.35" customHeight="1">
      <c r="A25" s="786">
        <v>21</v>
      </c>
      <c r="B25" s="87" t="s">
        <v>605</v>
      </c>
      <c r="C25" s="1160">
        <v>3030</v>
      </c>
      <c r="D25" s="707" t="s">
        <v>267</v>
      </c>
      <c r="E25" s="133" t="s">
        <v>606</v>
      </c>
      <c r="F25" s="87" t="s">
        <v>65</v>
      </c>
      <c r="G25" s="91" t="s">
        <v>558</v>
      </c>
      <c r="H25" s="93" t="s">
        <v>583</v>
      </c>
      <c r="I25" s="87"/>
      <c r="J25" s="87" t="s">
        <v>24</v>
      </c>
      <c r="K25" s="335">
        <f t="shared" si="0"/>
        <v>3030</v>
      </c>
    </row>
    <row r="26" spans="1:13" s="336" customFormat="1" ht="61.5" customHeight="1">
      <c r="A26" s="786">
        <v>22</v>
      </c>
      <c r="B26" s="87" t="s">
        <v>607</v>
      </c>
      <c r="C26" s="1160">
        <v>3400</v>
      </c>
      <c r="D26" s="707" t="s">
        <v>267</v>
      </c>
      <c r="E26" s="133" t="s">
        <v>608</v>
      </c>
      <c r="F26" s="87" t="s">
        <v>65</v>
      </c>
      <c r="G26" s="91" t="s">
        <v>558</v>
      </c>
      <c r="H26" s="93" t="s">
        <v>583</v>
      </c>
      <c r="I26" s="87"/>
      <c r="J26" s="87" t="s">
        <v>22</v>
      </c>
      <c r="K26" s="335">
        <f t="shared" si="0"/>
        <v>3400</v>
      </c>
    </row>
    <row r="27" spans="1:13" s="336" customFormat="1" ht="61.5" customHeight="1">
      <c r="A27" s="786">
        <v>23</v>
      </c>
      <c r="B27" s="87" t="s">
        <v>609</v>
      </c>
      <c r="C27" s="1160">
        <v>4700</v>
      </c>
      <c r="D27" s="707" t="s">
        <v>267</v>
      </c>
      <c r="E27" s="133" t="s">
        <v>610</v>
      </c>
      <c r="F27" s="87" t="s">
        <v>65</v>
      </c>
      <c r="G27" s="91" t="s">
        <v>164</v>
      </c>
      <c r="H27" s="93" t="s">
        <v>611</v>
      </c>
      <c r="I27" s="392" t="s">
        <v>612</v>
      </c>
      <c r="J27" s="87" t="s">
        <v>22</v>
      </c>
      <c r="K27" s="335">
        <f t="shared" si="0"/>
        <v>4700</v>
      </c>
    </row>
    <row r="28" spans="1:13" s="336" customFormat="1" ht="95.3" customHeight="1">
      <c r="A28" s="786">
        <v>24</v>
      </c>
      <c r="B28" s="87" t="s">
        <v>334</v>
      </c>
      <c r="C28" s="1160">
        <v>4720</v>
      </c>
      <c r="D28" s="707" t="s">
        <v>267</v>
      </c>
      <c r="E28" s="133" t="s">
        <v>613</v>
      </c>
      <c r="F28" s="87" t="s">
        <v>65</v>
      </c>
      <c r="G28" s="91" t="s">
        <v>213</v>
      </c>
      <c r="H28" s="93" t="s">
        <v>614</v>
      </c>
      <c r="I28" s="1161" t="s">
        <v>615</v>
      </c>
      <c r="J28" s="87" t="s">
        <v>18</v>
      </c>
      <c r="K28" s="335">
        <f t="shared" si="0"/>
        <v>4720</v>
      </c>
    </row>
    <row r="29" spans="1:13" s="336" customFormat="1" ht="91.7">
      <c r="A29" s="786">
        <v>25</v>
      </c>
      <c r="B29" s="87" t="s">
        <v>556</v>
      </c>
      <c r="C29" s="1160">
        <v>2910</v>
      </c>
      <c r="D29" s="707" t="s">
        <v>267</v>
      </c>
      <c r="E29" s="133" t="s">
        <v>616</v>
      </c>
      <c r="F29" s="87" t="s">
        <v>65</v>
      </c>
      <c r="G29" s="87" t="s">
        <v>240</v>
      </c>
      <c r="H29" s="93" t="s">
        <v>617</v>
      </c>
      <c r="I29" s="1162" t="s">
        <v>618</v>
      </c>
      <c r="J29" s="87" t="s">
        <v>24</v>
      </c>
      <c r="K29" s="335">
        <f t="shared" si="0"/>
        <v>2910</v>
      </c>
    </row>
    <row r="30" spans="1:13" s="336" customFormat="1" ht="55.05">
      <c r="A30" s="786">
        <v>26</v>
      </c>
      <c r="B30" s="87" t="s">
        <v>540</v>
      </c>
      <c r="C30" s="1160">
        <v>3250</v>
      </c>
      <c r="D30" s="707" t="s">
        <v>267</v>
      </c>
      <c r="E30" s="133" t="s">
        <v>619</v>
      </c>
      <c r="F30" s="87" t="s">
        <v>65</v>
      </c>
      <c r="G30" s="91" t="s">
        <v>213</v>
      </c>
      <c r="H30" s="93" t="s">
        <v>620</v>
      </c>
      <c r="I30" s="1163" t="s">
        <v>621</v>
      </c>
      <c r="J30" s="87" t="s">
        <v>24</v>
      </c>
      <c r="K30" s="335">
        <f t="shared" si="0"/>
        <v>3250</v>
      </c>
    </row>
    <row r="31" spans="1:13" s="336" customFormat="1" ht="80.349999999999994" customHeight="1">
      <c r="A31" s="789">
        <v>27</v>
      </c>
      <c r="B31" s="125" t="s">
        <v>622</v>
      </c>
      <c r="C31" s="1160">
        <v>3600</v>
      </c>
      <c r="D31" s="707" t="s">
        <v>267</v>
      </c>
      <c r="E31" s="133" t="s">
        <v>623</v>
      </c>
      <c r="F31" s="87" t="s">
        <v>65</v>
      </c>
      <c r="G31" s="91" t="s">
        <v>213</v>
      </c>
      <c r="H31" s="108" t="s">
        <v>624</v>
      </c>
      <c r="I31" s="969" t="s">
        <v>625</v>
      </c>
      <c r="J31" s="87" t="s">
        <v>26</v>
      </c>
      <c r="K31" s="335">
        <f t="shared" si="0"/>
        <v>3600</v>
      </c>
    </row>
    <row r="32" spans="1:13" s="336" customFormat="1" ht="57.75" customHeight="1">
      <c r="A32" s="789">
        <v>28</v>
      </c>
      <c r="B32" s="125" t="s">
        <v>626</v>
      </c>
      <c r="C32" s="1160">
        <v>1900</v>
      </c>
      <c r="D32" s="707" t="s">
        <v>267</v>
      </c>
      <c r="E32" s="133" t="s">
        <v>627</v>
      </c>
      <c r="F32" s="87" t="s">
        <v>65</v>
      </c>
      <c r="G32" s="91" t="s">
        <v>213</v>
      </c>
      <c r="H32" s="1124" t="s">
        <v>628</v>
      </c>
      <c r="I32" s="1227" t="s">
        <v>629</v>
      </c>
      <c r="J32" s="129" t="s">
        <v>18</v>
      </c>
      <c r="K32" s="335">
        <f t="shared" si="0"/>
        <v>1900</v>
      </c>
    </row>
    <row r="33" spans="1:13" s="336" customFormat="1" ht="36" customHeight="1">
      <c r="A33" s="789">
        <v>29</v>
      </c>
      <c r="B33" s="125" t="s">
        <v>630</v>
      </c>
      <c r="C33" s="1160">
        <v>4000</v>
      </c>
      <c r="D33" s="707" t="s">
        <v>267</v>
      </c>
      <c r="E33" s="133" t="s">
        <v>631</v>
      </c>
      <c r="F33" s="87" t="s">
        <v>65</v>
      </c>
      <c r="G33" s="91" t="s">
        <v>558</v>
      </c>
      <c r="H33" s="108" t="s">
        <v>632</v>
      </c>
      <c r="I33" s="1234" t="s">
        <v>629</v>
      </c>
      <c r="J33" s="87" t="s">
        <v>88</v>
      </c>
      <c r="K33" s="335">
        <f t="shared" si="0"/>
        <v>4000</v>
      </c>
    </row>
    <row r="34" spans="1:13" s="336" customFormat="1" ht="63" customHeight="1">
      <c r="A34" s="789">
        <v>30</v>
      </c>
      <c r="B34" s="125" t="s">
        <v>633</v>
      </c>
      <c r="C34" s="1160">
        <v>3150</v>
      </c>
      <c r="D34" s="707" t="s">
        <v>267</v>
      </c>
      <c r="E34" s="133" t="s">
        <v>634</v>
      </c>
      <c r="F34" s="87" t="s">
        <v>65</v>
      </c>
      <c r="G34" s="91" t="s">
        <v>213</v>
      </c>
      <c r="H34" s="93" t="s">
        <v>635</v>
      </c>
      <c r="I34" s="392"/>
      <c r="J34" s="87" t="s">
        <v>18</v>
      </c>
      <c r="K34" s="335">
        <f t="shared" si="0"/>
        <v>3150</v>
      </c>
    </row>
    <row r="35" spans="1:13" s="336" customFormat="1" ht="57.75" customHeight="1">
      <c r="A35" s="789">
        <v>31</v>
      </c>
      <c r="B35" s="816" t="s">
        <v>636</v>
      </c>
      <c r="C35" s="1160">
        <v>3750</v>
      </c>
      <c r="D35" s="133" t="s">
        <v>267</v>
      </c>
      <c r="E35" s="133" t="s">
        <v>637</v>
      </c>
      <c r="F35" s="87" t="s">
        <v>65</v>
      </c>
      <c r="G35" s="91" t="s">
        <v>558</v>
      </c>
      <c r="H35" s="93" t="s">
        <v>638</v>
      </c>
      <c r="I35" s="140" t="s">
        <v>639</v>
      </c>
      <c r="J35" s="87" t="s">
        <v>88</v>
      </c>
      <c r="K35" s="335">
        <f t="shared" si="0"/>
        <v>3750</v>
      </c>
    </row>
    <row r="36" spans="1:13" s="336" customFormat="1" ht="72" customHeight="1">
      <c r="A36" s="1005">
        <v>32</v>
      </c>
      <c r="B36" s="87" t="s">
        <v>640</v>
      </c>
      <c r="C36" s="1164">
        <v>3100</v>
      </c>
      <c r="D36" s="133" t="s">
        <v>267</v>
      </c>
      <c r="E36" s="380" t="s">
        <v>641</v>
      </c>
      <c r="F36" s="87" t="s">
        <v>65</v>
      </c>
      <c r="G36" s="91" t="s">
        <v>213</v>
      </c>
      <c r="H36" s="93" t="s">
        <v>642</v>
      </c>
      <c r="I36" s="392" t="s">
        <v>643</v>
      </c>
      <c r="J36" s="87" t="s">
        <v>22</v>
      </c>
      <c r="K36" s="335">
        <f t="shared" si="0"/>
        <v>3100</v>
      </c>
    </row>
    <row r="37" spans="1:13" s="336" customFormat="1" ht="110.05">
      <c r="A37" s="786">
        <v>33</v>
      </c>
      <c r="B37" s="87" t="s">
        <v>581</v>
      </c>
      <c r="C37" s="1146">
        <v>3550</v>
      </c>
      <c r="D37" s="133" t="s">
        <v>267</v>
      </c>
      <c r="E37" s="133" t="s">
        <v>644</v>
      </c>
      <c r="F37" s="87" t="s">
        <v>65</v>
      </c>
      <c r="G37" s="87" t="s">
        <v>558</v>
      </c>
      <c r="H37" s="93" t="s">
        <v>645</v>
      </c>
      <c r="I37" s="392"/>
      <c r="J37" s="87" t="s">
        <v>88</v>
      </c>
      <c r="K37" s="335">
        <f t="shared" si="0"/>
        <v>3550</v>
      </c>
    </row>
    <row r="38" spans="1:13" s="336" customFormat="1" ht="100.55" customHeight="1">
      <c r="A38" s="797">
        <v>34</v>
      </c>
      <c r="B38" s="91" t="s">
        <v>600</v>
      </c>
      <c r="C38" s="1140">
        <v>3250</v>
      </c>
      <c r="D38" s="133" t="s">
        <v>267</v>
      </c>
      <c r="E38" s="380" t="s">
        <v>646</v>
      </c>
      <c r="F38" s="154" t="s">
        <v>65</v>
      </c>
      <c r="G38" s="91" t="s">
        <v>558</v>
      </c>
      <c r="H38" s="119" t="s">
        <v>647</v>
      </c>
      <c r="I38" s="969" t="s">
        <v>648</v>
      </c>
      <c r="J38" s="91" t="s">
        <v>24</v>
      </c>
      <c r="K38" s="335">
        <f t="shared" si="0"/>
        <v>3250</v>
      </c>
    </row>
    <row r="39" spans="1:13" s="367" customFormat="1" ht="100.55" customHeight="1">
      <c r="A39" s="786">
        <v>35</v>
      </c>
      <c r="B39" s="87" t="s">
        <v>649</v>
      </c>
      <c r="C39" s="1146">
        <v>4300</v>
      </c>
      <c r="D39" s="133" t="s">
        <v>267</v>
      </c>
      <c r="E39" s="133" t="s">
        <v>650</v>
      </c>
      <c r="F39" s="87" t="s">
        <v>65</v>
      </c>
      <c r="G39" s="87" t="s">
        <v>213</v>
      </c>
      <c r="H39" s="93" t="s">
        <v>651</v>
      </c>
      <c r="I39" s="93" t="s">
        <v>652</v>
      </c>
      <c r="J39" s="87" t="s">
        <v>24</v>
      </c>
      <c r="K39" s="335">
        <f t="shared" si="0"/>
        <v>4300</v>
      </c>
      <c r="L39" s="336"/>
      <c r="M39" s="336"/>
    </row>
    <row r="40" spans="1:13" s="150" customFormat="1" ht="100.55" customHeight="1">
      <c r="A40" s="706">
        <v>36</v>
      </c>
      <c r="B40" s="177" t="s">
        <v>653</v>
      </c>
      <c r="C40" s="1165">
        <v>2950</v>
      </c>
      <c r="D40" s="133" t="s">
        <v>267</v>
      </c>
      <c r="E40" s="388" t="s">
        <v>654</v>
      </c>
      <c r="F40" s="177" t="s">
        <v>65</v>
      </c>
      <c r="G40" s="177" t="s">
        <v>213</v>
      </c>
      <c r="H40" s="188" t="s">
        <v>655</v>
      </c>
      <c r="I40" s="188" t="s">
        <v>656</v>
      </c>
      <c r="J40" s="177" t="s">
        <v>22</v>
      </c>
      <c r="K40" s="335">
        <f t="shared" si="0"/>
        <v>2950</v>
      </c>
      <c r="L40" s="1166">
        <f>C40-(950+950+850)</f>
        <v>200</v>
      </c>
    </row>
    <row r="41" spans="1:13" s="367" customFormat="1" ht="100.55" customHeight="1">
      <c r="A41" s="797">
        <v>37</v>
      </c>
      <c r="B41" s="91" t="s">
        <v>572</v>
      </c>
      <c r="C41" s="1140">
        <v>2787</v>
      </c>
      <c r="D41" s="133" t="s">
        <v>267</v>
      </c>
      <c r="E41" s="380" t="s">
        <v>657</v>
      </c>
      <c r="F41" s="91" t="s">
        <v>65</v>
      </c>
      <c r="G41" s="91" t="s">
        <v>213</v>
      </c>
      <c r="H41" s="119" t="s">
        <v>658</v>
      </c>
      <c r="I41" s="122" t="s">
        <v>659</v>
      </c>
      <c r="J41" s="91" t="s">
        <v>555</v>
      </c>
      <c r="K41" s="335">
        <f t="shared" si="0"/>
        <v>2787</v>
      </c>
      <c r="L41" s="336">
        <f>1450+1000+325</f>
        <v>2775</v>
      </c>
      <c r="M41" s="336"/>
    </row>
    <row r="42" spans="1:13" s="367" customFormat="1" ht="100.55" customHeight="1">
      <c r="A42" s="786">
        <v>38</v>
      </c>
      <c r="B42" s="87" t="s">
        <v>660</v>
      </c>
      <c r="C42" s="1146">
        <v>1920</v>
      </c>
      <c r="D42" s="133" t="s">
        <v>267</v>
      </c>
      <c r="E42" s="133"/>
      <c r="F42" s="87" t="s">
        <v>65</v>
      </c>
      <c r="G42" s="87" t="s">
        <v>213</v>
      </c>
      <c r="H42" s="93" t="s">
        <v>661</v>
      </c>
      <c r="I42" s="140"/>
      <c r="J42" s="87" t="s">
        <v>24</v>
      </c>
      <c r="K42" s="335">
        <f t="shared" si="0"/>
        <v>1920</v>
      </c>
      <c r="L42" s="336"/>
      <c r="M42" s="336"/>
    </row>
    <row r="43" spans="1:13" s="367" customFormat="1" ht="110.05">
      <c r="A43" s="786">
        <v>39</v>
      </c>
      <c r="B43" s="87" t="s">
        <v>662</v>
      </c>
      <c r="C43" s="1146">
        <v>4700</v>
      </c>
      <c r="D43" s="133" t="s">
        <v>267</v>
      </c>
      <c r="E43" s="133" t="s">
        <v>663</v>
      </c>
      <c r="F43" s="87" t="s">
        <v>65</v>
      </c>
      <c r="G43" s="87" t="s">
        <v>664</v>
      </c>
      <c r="H43" s="93" t="s">
        <v>665</v>
      </c>
      <c r="I43" s="140" t="s">
        <v>666</v>
      </c>
      <c r="J43" s="87" t="s">
        <v>18</v>
      </c>
      <c r="K43" s="335">
        <f t="shared" si="0"/>
        <v>4700</v>
      </c>
      <c r="L43" s="336"/>
      <c r="M43" s="336"/>
    </row>
    <row r="44" spans="1:13" s="367" customFormat="1" ht="100.55" customHeight="1">
      <c r="A44" s="786">
        <v>40</v>
      </c>
      <c r="B44" s="87" t="s">
        <v>667</v>
      </c>
      <c r="C44" s="1146">
        <v>3200</v>
      </c>
      <c r="D44" s="133" t="s">
        <v>267</v>
      </c>
      <c r="E44" s="133" t="s">
        <v>668</v>
      </c>
      <c r="F44" s="87" t="s">
        <v>65</v>
      </c>
      <c r="G44" s="87" t="s">
        <v>213</v>
      </c>
      <c r="H44" s="93" t="s">
        <v>669</v>
      </c>
      <c r="I44" s="140" t="s">
        <v>670</v>
      </c>
      <c r="J44" s="87" t="s">
        <v>22</v>
      </c>
      <c r="K44" s="335">
        <f t="shared" si="0"/>
        <v>3200</v>
      </c>
      <c r="L44" s="336"/>
      <c r="M44" s="336"/>
    </row>
    <row r="45" spans="1:13" s="367" customFormat="1" ht="100.55" customHeight="1">
      <c r="A45" s="797">
        <v>41</v>
      </c>
      <c r="B45" s="91" t="s">
        <v>556</v>
      </c>
      <c r="C45" s="1140">
        <v>2910</v>
      </c>
      <c r="D45" s="380" t="s">
        <v>267</v>
      </c>
      <c r="E45" s="380" t="s">
        <v>671</v>
      </c>
      <c r="F45" s="91" t="s">
        <v>65</v>
      </c>
      <c r="G45" s="91" t="s">
        <v>164</v>
      </c>
      <c r="H45" s="119" t="s">
        <v>672</v>
      </c>
      <c r="I45" s="122" t="s">
        <v>673</v>
      </c>
      <c r="J45" s="91" t="s">
        <v>24</v>
      </c>
      <c r="K45" s="335">
        <f t="shared" si="0"/>
        <v>2910</v>
      </c>
      <c r="L45" s="336"/>
      <c r="M45" s="336"/>
    </row>
    <row r="46" spans="1:13" s="367" customFormat="1" ht="100.55" customHeight="1">
      <c r="A46" s="786">
        <v>42</v>
      </c>
      <c r="B46" s="87" t="s">
        <v>674</v>
      </c>
      <c r="C46" s="1146">
        <v>4900</v>
      </c>
      <c r="D46" s="380" t="s">
        <v>267</v>
      </c>
      <c r="E46" s="133" t="s">
        <v>675</v>
      </c>
      <c r="F46" s="87" t="s">
        <v>65</v>
      </c>
      <c r="G46" s="388" t="s">
        <v>213</v>
      </c>
      <c r="H46" s="1168" t="s">
        <v>676</v>
      </c>
      <c r="I46" s="108"/>
      <c r="J46" s="87" t="s">
        <v>18</v>
      </c>
      <c r="K46" s="335">
        <f t="shared" si="0"/>
        <v>4900</v>
      </c>
      <c r="L46" s="336"/>
      <c r="M46" s="336"/>
    </row>
    <row r="47" spans="1:13" s="367" customFormat="1" ht="100.55" customHeight="1">
      <c r="A47" s="786">
        <v>43</v>
      </c>
      <c r="B47" s="87" t="s">
        <v>677</v>
      </c>
      <c r="C47" s="1146">
        <v>2950</v>
      </c>
      <c r="D47" s="380" t="s">
        <v>267</v>
      </c>
      <c r="E47" s="133" t="s">
        <v>675</v>
      </c>
      <c r="F47" s="87" t="s">
        <v>65</v>
      </c>
      <c r="G47" s="388" t="s">
        <v>213</v>
      </c>
      <c r="H47" s="149" t="s">
        <v>678</v>
      </c>
      <c r="I47" s="108"/>
      <c r="J47" s="87" t="s">
        <v>26</v>
      </c>
      <c r="K47" s="335">
        <f t="shared" si="0"/>
        <v>2950</v>
      </c>
      <c r="L47" s="336"/>
      <c r="M47" s="336"/>
    </row>
    <row r="48" spans="1:13" s="367" customFormat="1" ht="100.55" customHeight="1">
      <c r="A48" s="786">
        <v>44</v>
      </c>
      <c r="B48" s="87" t="s">
        <v>679</v>
      </c>
      <c r="C48" s="1146">
        <v>3800</v>
      </c>
      <c r="D48" s="380" t="s">
        <v>267</v>
      </c>
      <c r="E48" s="133" t="s">
        <v>680</v>
      </c>
      <c r="F48" s="87" t="s">
        <v>65</v>
      </c>
      <c r="G48" s="388" t="s">
        <v>117</v>
      </c>
      <c r="H48" s="149" t="s">
        <v>681</v>
      </c>
      <c r="I48" s="108" t="s">
        <v>682</v>
      </c>
      <c r="J48" s="87" t="s">
        <v>22</v>
      </c>
      <c r="K48" s="335">
        <f t="shared" si="0"/>
        <v>3800</v>
      </c>
      <c r="L48" s="336"/>
      <c r="M48" s="336"/>
    </row>
    <row r="49" spans="1:13" s="367" customFormat="1" ht="100.55" customHeight="1">
      <c r="A49" s="786">
        <v>45</v>
      </c>
      <c r="B49" s="87" t="s">
        <v>653</v>
      </c>
      <c r="C49" s="1146">
        <v>2950</v>
      </c>
      <c r="D49" s="380" t="s">
        <v>267</v>
      </c>
      <c r="E49" s="133" t="s">
        <v>683</v>
      </c>
      <c r="F49" s="87" t="s">
        <v>65</v>
      </c>
      <c r="G49" s="388" t="s">
        <v>213</v>
      </c>
      <c r="H49" s="1168" t="s">
        <v>684</v>
      </c>
      <c r="I49" s="1094" t="s">
        <v>685</v>
      </c>
      <c r="J49" s="87" t="s">
        <v>22</v>
      </c>
      <c r="K49" s="335">
        <f t="shared" si="0"/>
        <v>2950</v>
      </c>
      <c r="L49" s="336"/>
      <c r="M49" s="336"/>
    </row>
    <row r="50" spans="1:13" s="367" customFormat="1" ht="100.55" customHeight="1">
      <c r="A50" s="786">
        <v>46</v>
      </c>
      <c r="B50" s="87" t="s">
        <v>686</v>
      </c>
      <c r="C50" s="1146">
        <v>5300</v>
      </c>
      <c r="D50" s="380" t="s">
        <v>267</v>
      </c>
      <c r="E50" s="133" t="s">
        <v>687</v>
      </c>
      <c r="F50" s="87" t="s">
        <v>65</v>
      </c>
      <c r="G50" s="388" t="s">
        <v>558</v>
      </c>
      <c r="H50" s="1168" t="s">
        <v>688</v>
      </c>
      <c r="I50" s="1094" t="s">
        <v>685</v>
      </c>
      <c r="J50" s="87" t="s">
        <v>18</v>
      </c>
      <c r="K50" s="335">
        <f t="shared" si="0"/>
        <v>5300</v>
      </c>
      <c r="L50" s="336"/>
      <c r="M50" s="336"/>
    </row>
    <row r="51" spans="1:13" s="367" customFormat="1" ht="100.55" customHeight="1">
      <c r="A51" s="786">
        <v>47</v>
      </c>
      <c r="B51" s="87" t="s">
        <v>584</v>
      </c>
      <c r="C51" s="1146">
        <v>4500</v>
      </c>
      <c r="D51" s="380" t="s">
        <v>267</v>
      </c>
      <c r="E51" s="133" t="s">
        <v>689</v>
      </c>
      <c r="F51" s="87" t="s">
        <v>65</v>
      </c>
      <c r="G51" s="388" t="s">
        <v>213</v>
      </c>
      <c r="H51" s="1168" t="s">
        <v>690</v>
      </c>
      <c r="I51" s="1094" t="s">
        <v>685</v>
      </c>
      <c r="J51" s="87" t="s">
        <v>18</v>
      </c>
      <c r="K51" s="335">
        <f t="shared" si="0"/>
        <v>4500</v>
      </c>
      <c r="L51" s="336"/>
      <c r="M51" s="336"/>
    </row>
    <row r="52" spans="1:13" s="367" customFormat="1" ht="100.55" customHeight="1">
      <c r="A52" s="786">
        <v>48</v>
      </c>
      <c r="B52" s="87" t="s">
        <v>605</v>
      </c>
      <c r="C52" s="1146">
        <v>3050</v>
      </c>
      <c r="D52" s="380" t="s">
        <v>267</v>
      </c>
      <c r="E52" s="133" t="s">
        <v>691</v>
      </c>
      <c r="F52" s="87" t="s">
        <v>65</v>
      </c>
      <c r="G52" s="388" t="s">
        <v>213</v>
      </c>
      <c r="H52" s="149" t="s">
        <v>692</v>
      </c>
      <c r="I52" s="1094" t="s">
        <v>685</v>
      </c>
      <c r="J52" s="87" t="s">
        <v>24</v>
      </c>
      <c r="K52" s="335"/>
      <c r="L52" s="336"/>
      <c r="M52" s="336"/>
    </row>
    <row r="53" spans="1:13" s="855" customFormat="1" ht="100.55" customHeight="1">
      <c r="A53" s="706">
        <v>49</v>
      </c>
      <c r="B53" s="177" t="s">
        <v>640</v>
      </c>
      <c r="C53" s="1165">
        <v>3050</v>
      </c>
      <c r="D53" s="707" t="s">
        <v>267</v>
      </c>
      <c r="E53" s="388" t="s">
        <v>693</v>
      </c>
      <c r="F53" s="177" t="s">
        <v>65</v>
      </c>
      <c r="G53" s="388" t="s">
        <v>213</v>
      </c>
      <c r="H53" s="1168" t="s">
        <v>694</v>
      </c>
      <c r="I53" s="854" t="s">
        <v>685</v>
      </c>
      <c r="J53" s="177" t="s">
        <v>22</v>
      </c>
      <c r="K53" s="1127">
        <f>C53</f>
        <v>3050</v>
      </c>
      <c r="L53" s="150"/>
      <c r="M53" s="150"/>
    </row>
    <row r="54" spans="1:13" s="855" customFormat="1" ht="100.55" customHeight="1">
      <c r="A54" s="706">
        <v>50</v>
      </c>
      <c r="B54" s="177" t="s">
        <v>667</v>
      </c>
      <c r="C54" s="1165">
        <v>3200</v>
      </c>
      <c r="D54" s="707" t="s">
        <v>267</v>
      </c>
      <c r="E54" s="388" t="s">
        <v>695</v>
      </c>
      <c r="F54" s="177" t="s">
        <v>65</v>
      </c>
      <c r="G54" s="388" t="s">
        <v>213</v>
      </c>
      <c r="H54" s="149" t="s">
        <v>696</v>
      </c>
      <c r="I54" s="188" t="s">
        <v>697</v>
      </c>
      <c r="J54" s="177" t="s">
        <v>22</v>
      </c>
      <c r="K54" s="1127">
        <f>C54</f>
        <v>3200</v>
      </c>
      <c r="L54" s="150"/>
      <c r="M54" s="150"/>
    </row>
    <row r="55" spans="1:13" s="855" customFormat="1" ht="53.35" customHeight="1">
      <c r="A55" s="699">
        <v>51</v>
      </c>
      <c r="B55" s="180" t="s">
        <v>607</v>
      </c>
      <c r="C55" s="1170">
        <v>3400</v>
      </c>
      <c r="D55" s="707" t="s">
        <v>267</v>
      </c>
      <c r="E55" s="707" t="s">
        <v>698</v>
      </c>
      <c r="F55" s="180" t="s">
        <v>65</v>
      </c>
      <c r="G55" s="1097" t="s">
        <v>558</v>
      </c>
      <c r="H55" s="1235" t="s">
        <v>688</v>
      </c>
      <c r="I55" s="1171"/>
      <c r="J55" s="180" t="s">
        <v>22</v>
      </c>
      <c r="K55" s="1127"/>
      <c r="L55" s="150"/>
      <c r="M55" s="150"/>
    </row>
    <row r="56" spans="1:13" s="367" customFormat="1" ht="91.7">
      <c r="A56" s="786">
        <v>52</v>
      </c>
      <c r="B56" s="87" t="s">
        <v>600</v>
      </c>
      <c r="C56" s="1146">
        <v>3260</v>
      </c>
      <c r="D56" s="707" t="s">
        <v>267</v>
      </c>
      <c r="E56" s="133" t="s">
        <v>699</v>
      </c>
      <c r="F56" s="89" t="s">
        <v>65</v>
      </c>
      <c r="G56" s="87" t="s">
        <v>106</v>
      </c>
      <c r="H56" s="149" t="s">
        <v>700</v>
      </c>
      <c r="I56" s="1172"/>
      <c r="J56" s="129" t="s">
        <v>24</v>
      </c>
      <c r="K56" s="1173"/>
      <c r="L56" s="336"/>
      <c r="M56" s="336"/>
    </row>
    <row r="57" spans="1:13" s="367" customFormat="1" ht="91.7">
      <c r="A57" s="786">
        <v>53</v>
      </c>
      <c r="B57" s="87" t="s">
        <v>701</v>
      </c>
      <c r="C57" s="1146">
        <v>4300</v>
      </c>
      <c r="D57" s="707" t="s">
        <v>267</v>
      </c>
      <c r="E57" s="133" t="s">
        <v>702</v>
      </c>
      <c r="F57" s="87" t="s">
        <v>65</v>
      </c>
      <c r="G57" s="388" t="s">
        <v>213</v>
      </c>
      <c r="H57" s="1235" t="s">
        <v>703</v>
      </c>
      <c r="I57" s="392" t="s">
        <v>704</v>
      </c>
      <c r="J57" s="87" t="s">
        <v>24</v>
      </c>
      <c r="K57" s="335">
        <f>C57</f>
        <v>4300</v>
      </c>
      <c r="L57" s="336"/>
      <c r="M57" s="336"/>
    </row>
    <row r="58" spans="1:13" s="367" customFormat="1" ht="55.05">
      <c r="A58" s="786">
        <v>54</v>
      </c>
      <c r="B58" s="87" t="s">
        <v>544</v>
      </c>
      <c r="C58" s="1175">
        <v>4050</v>
      </c>
      <c r="D58" s="388" t="s">
        <v>267</v>
      </c>
      <c r="E58" s="349" t="s">
        <v>705</v>
      </c>
      <c r="F58" s="89" t="s">
        <v>65</v>
      </c>
      <c r="G58" s="89" t="s">
        <v>164</v>
      </c>
      <c r="H58" s="149" t="s">
        <v>706</v>
      </c>
      <c r="I58" s="1174"/>
      <c r="J58" s="129" t="s">
        <v>18</v>
      </c>
      <c r="K58" s="1066">
        <f>C58</f>
        <v>4050</v>
      </c>
      <c r="L58" s="336"/>
      <c r="M58" s="336"/>
    </row>
    <row r="59" spans="1:13" s="1" customFormat="1">
      <c r="A59" s="359">
        <v>55</v>
      </c>
      <c r="C59" s="1138"/>
      <c r="D59" s="271"/>
      <c r="E59" s="271"/>
      <c r="H59" s="9" t="s">
        <v>707</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87" t="s">
        <v>708</v>
      </c>
      <c r="I61" s="9"/>
      <c r="K61" s="804"/>
      <c r="L61" s="3"/>
      <c r="M61" s="3"/>
    </row>
    <row r="62" spans="1:13" s="1" customFormat="1">
      <c r="A62" s="359">
        <v>58</v>
      </c>
      <c r="C62" s="1138"/>
      <c r="D62" s="271"/>
      <c r="E62" s="271"/>
      <c r="H62" s="3688"/>
      <c r="I62" s="9"/>
      <c r="K62" s="804"/>
      <c r="L62" s="3"/>
      <c r="M62" s="3"/>
    </row>
    <row r="63" spans="1:13" s="1" customFormat="1">
      <c r="A63" s="359">
        <v>59</v>
      </c>
      <c r="C63" s="1138"/>
      <c r="D63" s="271"/>
      <c r="E63" s="271"/>
      <c r="H63" s="3688"/>
      <c r="K63" s="804"/>
      <c r="L63" s="3"/>
      <c r="M63" s="3"/>
    </row>
    <row r="64" spans="1:13" s="1" customFormat="1">
      <c r="A64" s="359">
        <v>60</v>
      </c>
      <c r="C64" s="1138"/>
      <c r="D64" s="271"/>
      <c r="E64" s="271"/>
      <c r="H64" s="9"/>
      <c r="I64" s="9"/>
      <c r="K64" s="804"/>
      <c r="L64" s="3"/>
      <c r="M64" s="3"/>
    </row>
    <row r="65" spans="8:8">
      <c r="H65" s="9">
        <v>7.77777777777777E+52</v>
      </c>
    </row>
    <row r="84" spans="2:11">
      <c r="B84" s="102" t="s">
        <v>709</v>
      </c>
      <c r="C84" s="1148" t="s">
        <v>710</v>
      </c>
      <c r="D84" s="109" t="s">
        <v>711</v>
      </c>
      <c r="E84" s="109"/>
      <c r="F84" s="102" t="s">
        <v>65</v>
      </c>
      <c r="G84" s="102" t="s">
        <v>213</v>
      </c>
      <c r="H84" s="696" t="s">
        <v>566</v>
      </c>
      <c r="I84" s="1149" t="s">
        <v>712</v>
      </c>
      <c r="J84" s="102" t="s">
        <v>18</v>
      </c>
      <c r="K84" s="1150" t="str">
        <f>C84</f>
        <v>hủy</v>
      </c>
    </row>
    <row r="85" spans="2:11" s="1" customFormat="1">
      <c r="B85" s="102" t="s">
        <v>713</v>
      </c>
      <c r="C85" s="1135"/>
      <c r="D85" s="102" t="s">
        <v>714</v>
      </c>
      <c r="E85" s="102"/>
      <c r="F85" s="102" t="s">
        <v>65</v>
      </c>
      <c r="G85" s="102" t="s">
        <v>213</v>
      </c>
      <c r="H85" s="143"/>
      <c r="I85" s="102"/>
      <c r="J85" s="102" t="s">
        <v>24</v>
      </c>
      <c r="K85" s="1147"/>
    </row>
    <row r="86" spans="2:11" s="1" customFormat="1">
      <c r="B86" s="102" t="s">
        <v>715</v>
      </c>
      <c r="C86" s="1167" t="s">
        <v>716</v>
      </c>
      <c r="D86" s="109"/>
      <c r="E86" s="109" t="s">
        <v>717</v>
      </c>
      <c r="F86" s="102" t="s">
        <v>65</v>
      </c>
      <c r="G86" s="612" t="s">
        <v>558</v>
      </c>
      <c r="H86" s="1042"/>
      <c r="I86" s="157"/>
      <c r="J86" s="102" t="s">
        <v>22</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0" priority="15"/>
  </conditionalFormatting>
  <conditionalFormatting sqref="A4">
    <cfRule type="duplicateValues" dxfId="879" priority="11"/>
  </conditionalFormatting>
  <conditionalFormatting sqref="A5">
    <cfRule type="duplicateValues" dxfId="878" priority="2"/>
  </conditionalFormatting>
  <conditionalFormatting sqref="A6">
    <cfRule type="duplicateValues" dxfId="877" priority="6"/>
  </conditionalFormatting>
  <conditionalFormatting sqref="A7">
    <cfRule type="duplicateValues" dxfId="876" priority="5"/>
  </conditionalFormatting>
  <conditionalFormatting sqref="A10 A20">
    <cfRule type="duplicateValues" dxfId="875" priority="7"/>
  </conditionalFormatting>
  <conditionalFormatting sqref="A12">
    <cfRule type="duplicateValues" dxfId="874" priority="1064"/>
  </conditionalFormatting>
  <conditionalFormatting sqref="A25:A28 A30">
    <cfRule type="duplicateValues" dxfId="873" priority="1065"/>
  </conditionalFormatting>
  <conditionalFormatting sqref="B3">
    <cfRule type="duplicateValues" dxfId="872" priority="12"/>
    <cfRule type="duplicateValues" dxfId="871" priority="13"/>
    <cfRule type="duplicateValues" dxfId="870" priority="14"/>
  </conditionalFormatting>
  <conditionalFormatting sqref="B4">
    <cfRule type="duplicateValues" dxfId="869" priority="8"/>
    <cfRule type="duplicateValues" dxfId="868" priority="9"/>
    <cfRule type="duplicateValues" dxfId="867"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71"/>
      <c r="D1" s="3671"/>
      <c r="E1" s="3671"/>
      <c r="F1" s="3671"/>
      <c r="G1" s="3671"/>
      <c r="H1" s="3671"/>
      <c r="I1" s="3671"/>
      <c r="J1" s="3671"/>
      <c r="K1" s="1349"/>
    </row>
    <row r="2" spans="1:15" ht="34.5" customHeight="1">
      <c r="A2" s="3684" t="s">
        <v>718</v>
      </c>
      <c r="B2" s="3684"/>
      <c r="C2" s="3684"/>
      <c r="D2" s="3684"/>
      <c r="E2" s="3684"/>
      <c r="F2" s="3684"/>
      <c r="G2" s="3684"/>
      <c r="H2" s="3684"/>
      <c r="I2" s="3684"/>
      <c r="J2" s="3684"/>
      <c r="K2" s="1348"/>
      <c r="L2" s="1176"/>
      <c r="M2" s="805"/>
      <c r="N2" s="1180"/>
      <c r="O2" s="287"/>
    </row>
    <row r="3" spans="1:15" ht="43.5" customHeight="1">
      <c r="A3" s="360"/>
      <c r="B3" s="385"/>
      <c r="C3" s="1177">
        <f>SUBTOTAL(9,C5:C309)</f>
        <v>300270</v>
      </c>
      <c r="D3" s="849"/>
      <c r="E3" s="849"/>
      <c r="F3" s="849"/>
      <c r="G3" s="199"/>
      <c r="H3" s="199"/>
      <c r="I3" s="202"/>
      <c r="J3" s="1350">
        <f ca="1">TODAY()</f>
        <v>45988</v>
      </c>
      <c r="K3" s="1350"/>
      <c r="L3" s="1350"/>
      <c r="M3" s="808"/>
      <c r="N3" s="287"/>
      <c r="O3" s="287"/>
    </row>
    <row r="4" spans="1:15" s="7" customFormat="1" ht="34">
      <c r="A4" s="810" t="s">
        <v>48</v>
      </c>
      <c r="B4" s="679" t="s">
        <v>380</v>
      </c>
      <c r="C4" s="1178" t="s">
        <v>50</v>
      </c>
      <c r="D4" s="679" t="s">
        <v>51</v>
      </c>
      <c r="E4" s="679" t="s">
        <v>53</v>
      </c>
      <c r="F4" s="679" t="s">
        <v>262</v>
      </c>
      <c r="G4" s="679" t="s">
        <v>55</v>
      </c>
      <c r="H4" s="679" t="s">
        <v>56</v>
      </c>
      <c r="I4" s="812" t="s">
        <v>57</v>
      </c>
      <c r="J4" s="679" t="s">
        <v>58</v>
      </c>
      <c r="K4" s="679" t="s">
        <v>60</v>
      </c>
      <c r="L4" s="679" t="s">
        <v>52</v>
      </c>
      <c r="M4" s="813" t="s">
        <v>381</v>
      </c>
      <c r="N4" s="325" t="s">
        <v>382</v>
      </c>
      <c r="O4" s="1283" t="e">
        <f>SUM(#REF!)</f>
        <v>#REF!</v>
      </c>
    </row>
    <row r="5" spans="1:15" s="367" customFormat="1" ht="221.95" customHeight="1">
      <c r="A5" s="362" cm="1">
        <f t="array" ref="A5:A64">_xlfn.SEQUENCE(60,1,1,)</f>
        <v>1</v>
      </c>
      <c r="B5" s="72" t="s">
        <v>719</v>
      </c>
      <c r="C5" s="1308">
        <v>16000</v>
      </c>
      <c r="D5" s="97" t="s">
        <v>267</v>
      </c>
      <c r="E5" s="97" t="s">
        <v>720</v>
      </c>
      <c r="F5" s="97"/>
      <c r="G5" s="185" t="s">
        <v>65</v>
      </c>
      <c r="H5" s="72" t="s">
        <v>213</v>
      </c>
      <c r="I5" s="74" t="s">
        <v>721</v>
      </c>
      <c r="J5" s="1311" t="s">
        <v>722</v>
      </c>
      <c r="K5" s="1311"/>
      <c r="L5" s="72" t="s">
        <v>88</v>
      </c>
      <c r="M5" s="1312"/>
      <c r="N5" s="1273">
        <f>C5-2270-1500-1972-4800-1700-1000</f>
        <v>2758</v>
      </c>
    </row>
    <row r="6" spans="1:15" s="367" customFormat="1" ht="139.6" customHeight="1">
      <c r="A6" s="362">
        <v>2</v>
      </c>
      <c r="B6" s="72" t="s">
        <v>320</v>
      </c>
      <c r="C6" s="1308">
        <v>16000</v>
      </c>
      <c r="D6" s="97" t="s">
        <v>267</v>
      </c>
      <c r="E6" s="97" t="s">
        <v>723</v>
      </c>
      <c r="F6" s="97"/>
      <c r="G6" s="185" t="s">
        <v>65</v>
      </c>
      <c r="H6" s="72" t="s">
        <v>213</v>
      </c>
      <c r="I6" s="74" t="s">
        <v>724</v>
      </c>
      <c r="J6" s="1313">
        <f>16000-2000-1400-2000-3300-7000</f>
        <v>300</v>
      </c>
      <c r="K6" s="1313"/>
      <c r="L6" s="72" t="s">
        <v>88</v>
      </c>
      <c r="M6" s="1312"/>
      <c r="N6" s="1273"/>
    </row>
    <row r="7" spans="1:15" s="367" customFormat="1" ht="146.75">
      <c r="A7" s="362">
        <v>3</v>
      </c>
      <c r="B7" s="72" t="s">
        <v>407</v>
      </c>
      <c r="C7" s="1308">
        <v>10200</v>
      </c>
      <c r="D7" s="97" t="s">
        <v>267</v>
      </c>
      <c r="E7" s="97" t="s">
        <v>725</v>
      </c>
      <c r="F7" s="97"/>
      <c r="G7" s="185" t="s">
        <v>65</v>
      </c>
      <c r="H7" s="72" t="s">
        <v>726</v>
      </c>
      <c r="I7" s="74" t="s">
        <v>727</v>
      </c>
      <c r="J7" s="1313" t="s">
        <v>728</v>
      </c>
      <c r="K7" s="1313"/>
      <c r="L7" s="72" t="s">
        <v>88</v>
      </c>
      <c r="M7" s="1312"/>
      <c r="N7" s="1273">
        <f>C7-3100-3000-1000-2000</f>
        <v>1100</v>
      </c>
    </row>
    <row r="8" spans="1:15" s="367" customFormat="1" ht="63" customHeight="1">
      <c r="A8" s="362">
        <v>4</v>
      </c>
      <c r="B8" s="72" t="s">
        <v>315</v>
      </c>
      <c r="C8" s="1308">
        <v>4250</v>
      </c>
      <c r="D8" s="97" t="s">
        <v>267</v>
      </c>
      <c r="E8" s="1271" t="s">
        <v>729</v>
      </c>
      <c r="F8" s="1271"/>
      <c r="G8" s="185" t="s">
        <v>65</v>
      </c>
      <c r="H8" s="97" t="s">
        <v>730</v>
      </c>
      <c r="I8" s="74" t="s">
        <v>731</v>
      </c>
      <c r="J8" s="72" t="s">
        <v>728</v>
      </c>
      <c r="K8" s="72"/>
      <c r="L8" s="72" t="s">
        <v>22</v>
      </c>
      <c r="M8" s="1272"/>
      <c r="N8" s="72"/>
    </row>
    <row r="9" spans="1:15" s="367" customFormat="1" ht="78.8" customHeight="1">
      <c r="A9" s="362">
        <v>5</v>
      </c>
      <c r="B9" s="72" t="s">
        <v>353</v>
      </c>
      <c r="C9" s="1308">
        <v>11800</v>
      </c>
      <c r="D9" s="97" t="s">
        <v>267</v>
      </c>
      <c r="E9" s="97" t="s">
        <v>732</v>
      </c>
      <c r="F9" s="97"/>
      <c r="G9" s="185" t="s">
        <v>65</v>
      </c>
      <c r="H9" s="72" t="s">
        <v>213</v>
      </c>
      <c r="I9" s="1276" t="s">
        <v>733</v>
      </c>
      <c r="J9" s="1315"/>
      <c r="K9" s="1315"/>
      <c r="L9" s="72" t="s">
        <v>88</v>
      </c>
      <c r="M9" s="1312"/>
      <c r="N9" s="72"/>
    </row>
    <row r="10" spans="1:15" s="367" customFormat="1" ht="63" customHeight="1">
      <c r="A10" s="362">
        <v>6</v>
      </c>
      <c r="B10" s="72" t="s">
        <v>734</v>
      </c>
      <c r="C10" s="1308">
        <v>5000</v>
      </c>
      <c r="D10" s="97" t="s">
        <v>267</v>
      </c>
      <c r="E10" s="97" t="s">
        <v>735</v>
      </c>
      <c r="F10" s="97"/>
      <c r="G10" s="185" t="s">
        <v>65</v>
      </c>
      <c r="H10" s="97" t="s">
        <v>327</v>
      </c>
      <c r="I10" s="74" t="s">
        <v>736</v>
      </c>
      <c r="J10" s="1316" t="s">
        <v>737</v>
      </c>
      <c r="K10" s="1316"/>
      <c r="L10" s="72" t="s">
        <v>428</v>
      </c>
      <c r="M10" s="1272"/>
      <c r="N10" s="1273"/>
    </row>
    <row r="11" spans="1:15" s="855" customFormat="1" ht="157.6" customHeight="1">
      <c r="A11" s="687">
        <v>7</v>
      </c>
      <c r="B11" s="1317" t="s">
        <v>738</v>
      </c>
      <c r="C11" s="1318">
        <v>16300</v>
      </c>
      <c r="D11" s="1319" t="s">
        <v>267</v>
      </c>
      <c r="E11" s="1319" t="s">
        <v>739</v>
      </c>
      <c r="F11" s="1319"/>
      <c r="G11" s="1317" t="s">
        <v>65</v>
      </c>
      <c r="H11" s="1319" t="s">
        <v>213</v>
      </c>
      <c r="I11" s="1333" t="s">
        <v>740</v>
      </c>
      <c r="J11" s="1320"/>
      <c r="K11" s="1320"/>
      <c r="L11" s="1317" t="s">
        <v>88</v>
      </c>
      <c r="M11" s="1321"/>
      <c r="N11" s="1322">
        <f>1200+3000+2500+1000+1000+500+300</f>
        <v>9500</v>
      </c>
    </row>
    <row r="12" spans="1:15" s="367" customFormat="1" ht="126" customHeight="1">
      <c r="A12" s="695">
        <v>8</v>
      </c>
      <c r="B12" s="76" t="s">
        <v>741</v>
      </c>
      <c r="C12" s="1323">
        <v>6770</v>
      </c>
      <c r="D12" s="1324" t="s">
        <v>267</v>
      </c>
      <c r="E12" s="1324" t="s">
        <v>742</v>
      </c>
      <c r="F12" s="1324"/>
      <c r="G12" s="1317" t="s">
        <v>65</v>
      </c>
      <c r="H12" s="1324" t="s">
        <v>213</v>
      </c>
      <c r="I12" s="1325" t="s">
        <v>743</v>
      </c>
      <c r="J12" s="1326" t="s">
        <v>744</v>
      </c>
      <c r="K12" s="1326"/>
      <c r="L12" s="76" t="s">
        <v>18</v>
      </c>
      <c r="M12" s="1327"/>
      <c r="N12" s="1328"/>
    </row>
    <row r="13" spans="1:15" s="367" customFormat="1" ht="66.099999999999994" customHeight="1">
      <c r="A13" s="362">
        <v>9</v>
      </c>
      <c r="B13" s="72" t="s">
        <v>311</v>
      </c>
      <c r="C13" s="1330">
        <v>3940</v>
      </c>
      <c r="D13" s="97" t="s">
        <v>267</v>
      </c>
      <c r="E13" s="97" t="s">
        <v>745</v>
      </c>
      <c r="F13" s="97"/>
      <c r="G13" s="185" t="s">
        <v>65</v>
      </c>
      <c r="H13" s="97" t="s">
        <v>746</v>
      </c>
      <c r="I13" s="74" t="s">
        <v>747</v>
      </c>
      <c r="J13" s="1331" t="s">
        <v>728</v>
      </c>
      <c r="K13" s="1331"/>
      <c r="L13" s="72" t="s">
        <v>22</v>
      </c>
      <c r="M13" s="1272"/>
      <c r="N13" s="1273"/>
    </row>
    <row r="14" spans="1:15" s="367" customFormat="1" ht="99" customHeight="1">
      <c r="A14" s="362">
        <v>10</v>
      </c>
      <c r="B14" s="72" t="s">
        <v>315</v>
      </c>
      <c r="C14" s="1308">
        <v>4250</v>
      </c>
      <c r="D14" s="97" t="s">
        <v>267</v>
      </c>
      <c r="E14" s="97" t="s">
        <v>748</v>
      </c>
      <c r="F14" s="97"/>
      <c r="G14" s="185" t="s">
        <v>65</v>
      </c>
      <c r="H14" s="97" t="s">
        <v>240</v>
      </c>
      <c r="I14" s="74" t="s">
        <v>749</v>
      </c>
      <c r="J14" s="1332"/>
      <c r="K14" s="1332"/>
      <c r="L14" s="72" t="s">
        <v>22</v>
      </c>
      <c r="M14" s="1272"/>
      <c r="N14" s="1273"/>
    </row>
    <row r="15" spans="1:15" s="367" customFormat="1" ht="146.75">
      <c r="A15" s="362">
        <v>11</v>
      </c>
      <c r="B15" s="72" t="s">
        <v>320</v>
      </c>
      <c r="C15" s="1308">
        <v>16000</v>
      </c>
      <c r="D15" s="97" t="s">
        <v>267</v>
      </c>
      <c r="E15" s="97" t="s">
        <v>750</v>
      </c>
      <c r="F15" s="97"/>
      <c r="G15" s="185" t="s">
        <v>65</v>
      </c>
      <c r="H15" s="97" t="s">
        <v>106</v>
      </c>
      <c r="I15" s="74" t="s">
        <v>751</v>
      </c>
      <c r="J15" s="1332" t="s">
        <v>752</v>
      </c>
      <c r="K15" s="1332"/>
      <c r="L15" s="72" t="s">
        <v>88</v>
      </c>
      <c r="M15" s="1272"/>
      <c r="N15" s="1273">
        <f>C15-1950-4900-2450-1950-300</f>
        <v>4450</v>
      </c>
    </row>
    <row r="16" spans="1:15" s="659" customFormat="1" ht="165.1" customHeight="1">
      <c r="A16" s="362">
        <v>12</v>
      </c>
      <c r="B16" s="72" t="s">
        <v>753</v>
      </c>
      <c r="C16" s="1308">
        <v>16000</v>
      </c>
      <c r="D16" s="97" t="s">
        <v>267</v>
      </c>
      <c r="E16" s="97" t="s">
        <v>754</v>
      </c>
      <c r="F16" s="97"/>
      <c r="G16" s="185" t="s">
        <v>65</v>
      </c>
      <c r="H16" s="97" t="s">
        <v>213</v>
      </c>
      <c r="I16" s="74" t="s">
        <v>755</v>
      </c>
      <c r="J16" s="1332" t="s">
        <v>756</v>
      </c>
      <c r="K16" s="1332"/>
      <c r="L16" s="72" t="s">
        <v>88</v>
      </c>
      <c r="M16" s="1329"/>
      <c r="N16" s="1305">
        <f>C16-3000-3200-2800-5000-300</f>
        <v>1700</v>
      </c>
    </row>
    <row r="17" spans="1:14" s="367" customFormat="1" ht="192.75" customHeight="1">
      <c r="A17" s="362">
        <v>13</v>
      </c>
      <c r="B17" s="72" t="s">
        <v>407</v>
      </c>
      <c r="C17" s="1308">
        <v>10200</v>
      </c>
      <c r="D17" s="97" t="s">
        <v>292</v>
      </c>
      <c r="E17" s="97" t="s">
        <v>757</v>
      </c>
      <c r="F17" s="97"/>
      <c r="G17" s="185" t="s">
        <v>65</v>
      </c>
      <c r="H17" s="97" t="s">
        <v>434</v>
      </c>
      <c r="I17" s="74" t="s">
        <v>758</v>
      </c>
      <c r="J17" s="1332" t="s">
        <v>728</v>
      </c>
      <c r="K17" s="1332"/>
      <c r="L17" s="72" t="s">
        <v>88</v>
      </c>
      <c r="M17" s="1272"/>
      <c r="N17" s="1273">
        <f>C17-3000-3800-300-1642-218-480</f>
        <v>760</v>
      </c>
    </row>
    <row r="18" spans="1:14" s="367" customFormat="1" ht="36.700000000000003" customHeight="1">
      <c r="A18" s="362">
        <v>14</v>
      </c>
      <c r="B18" s="72" t="s">
        <v>311</v>
      </c>
      <c r="C18" s="1308">
        <v>3940</v>
      </c>
      <c r="D18" s="97" t="s">
        <v>267</v>
      </c>
      <c r="E18" s="97" t="s">
        <v>759</v>
      </c>
      <c r="F18" s="97"/>
      <c r="G18" s="185" t="s">
        <v>65</v>
      </c>
      <c r="H18" s="97" t="s">
        <v>142</v>
      </c>
      <c r="I18" s="74" t="s">
        <v>760</v>
      </c>
      <c r="J18" s="1332"/>
      <c r="K18" s="1332"/>
      <c r="L18" s="72" t="s">
        <v>22</v>
      </c>
      <c r="M18" s="1272"/>
      <c r="N18" s="1273">
        <f>C18-1550-150-1500</f>
        <v>740</v>
      </c>
    </row>
    <row r="19" spans="1:14" s="367" customFormat="1" ht="73.400000000000006">
      <c r="A19" s="362">
        <v>15</v>
      </c>
      <c r="B19" s="72" t="s">
        <v>761</v>
      </c>
      <c r="C19" s="1308">
        <v>6000</v>
      </c>
      <c r="D19" s="97" t="s">
        <v>267</v>
      </c>
      <c r="E19" s="97" t="s">
        <v>762</v>
      </c>
      <c r="F19" s="97"/>
      <c r="G19" s="185" t="s">
        <v>65</v>
      </c>
      <c r="H19" s="97" t="s">
        <v>240</v>
      </c>
      <c r="I19" s="74" t="s">
        <v>763</v>
      </c>
      <c r="J19" s="1332" t="s">
        <v>764</v>
      </c>
      <c r="K19" s="1332"/>
      <c r="L19" s="72" t="s">
        <v>18</v>
      </c>
      <c r="M19" s="1272"/>
      <c r="N19" s="1273">
        <f>C19-3500</f>
        <v>2500</v>
      </c>
    </row>
    <row r="20" spans="1:14" s="367" customFormat="1" ht="338.95" customHeight="1">
      <c r="A20" s="362">
        <v>16</v>
      </c>
      <c r="B20" s="72" t="s">
        <v>765</v>
      </c>
      <c r="C20" s="1308">
        <v>16000</v>
      </c>
      <c r="D20" s="1334" t="s">
        <v>267</v>
      </c>
      <c r="E20" s="97" t="s">
        <v>766</v>
      </c>
      <c r="F20" s="97"/>
      <c r="G20" s="185" t="s">
        <v>65</v>
      </c>
      <c r="H20" s="97" t="s">
        <v>213</v>
      </c>
      <c r="I20" s="74" t="s">
        <v>767</v>
      </c>
      <c r="J20" s="1316"/>
      <c r="K20" s="1316"/>
      <c r="L20" s="72" t="s">
        <v>88</v>
      </c>
      <c r="M20" s="1272"/>
      <c r="N20" s="1273">
        <f>1600+1300+320+2000+400+1800+1000+3000+48+2000+300+1400</f>
        <v>15168</v>
      </c>
    </row>
    <row r="21" spans="1:14" s="367" customFormat="1" ht="51.8" customHeight="1">
      <c r="A21" s="362">
        <v>17</v>
      </c>
      <c r="B21" s="72" t="s">
        <v>315</v>
      </c>
      <c r="C21" s="1308">
        <v>4250</v>
      </c>
      <c r="D21" s="1334" t="s">
        <v>267</v>
      </c>
      <c r="E21" s="97" t="s">
        <v>768</v>
      </c>
      <c r="F21" s="97"/>
      <c r="G21" s="185" t="s">
        <v>65</v>
      </c>
      <c r="H21" s="97" t="s">
        <v>142</v>
      </c>
      <c r="I21" s="74" t="s">
        <v>769</v>
      </c>
      <c r="J21" s="1316">
        <f>2650+2500</f>
        <v>5150</v>
      </c>
      <c r="K21" s="1316"/>
      <c r="L21" s="72" t="s">
        <v>22</v>
      </c>
      <c r="M21" s="1272"/>
      <c r="N21" s="1273"/>
    </row>
    <row r="22" spans="1:14" s="367" customFormat="1" ht="106.5" customHeight="1">
      <c r="A22" s="362">
        <v>18</v>
      </c>
      <c r="B22" s="72" t="s">
        <v>741</v>
      </c>
      <c r="C22" s="1308">
        <v>6700</v>
      </c>
      <c r="D22" s="1334" t="s">
        <v>394</v>
      </c>
      <c r="E22" s="97" t="s">
        <v>770</v>
      </c>
      <c r="F22" s="97"/>
      <c r="G22" s="185" t="s">
        <v>65</v>
      </c>
      <c r="H22" s="97" t="s">
        <v>106</v>
      </c>
      <c r="I22" s="1276" t="s">
        <v>771</v>
      </c>
      <c r="J22" s="1332" t="s">
        <v>772</v>
      </c>
      <c r="K22" s="1332"/>
      <c r="L22" s="72" t="s">
        <v>18</v>
      </c>
      <c r="M22" s="1272"/>
      <c r="N22" s="1273">
        <f>C22-2000-2460-1000</f>
        <v>1240</v>
      </c>
    </row>
    <row r="23" spans="1:14" s="367" customFormat="1" ht="36.700000000000003">
      <c r="A23" s="362">
        <v>19</v>
      </c>
      <c r="B23" s="72" t="s">
        <v>773</v>
      </c>
      <c r="C23" s="1308">
        <v>10000</v>
      </c>
      <c r="D23" s="1334" t="s">
        <v>394</v>
      </c>
      <c r="E23" s="97" t="s">
        <v>774</v>
      </c>
      <c r="F23" s="97"/>
      <c r="G23" s="185" t="s">
        <v>65</v>
      </c>
      <c r="H23" s="97" t="s">
        <v>327</v>
      </c>
      <c r="I23" s="74" t="s">
        <v>775</v>
      </c>
      <c r="J23" s="1316"/>
      <c r="K23" s="1316"/>
      <c r="L23" s="72" t="s">
        <v>428</v>
      </c>
      <c r="M23" s="1272"/>
      <c r="N23" s="1273"/>
    </row>
    <row r="24" spans="1:14" s="367" customFormat="1" ht="167.3" customHeight="1">
      <c r="A24" s="362">
        <v>20</v>
      </c>
      <c r="B24" s="72" t="s">
        <v>311</v>
      </c>
      <c r="C24" s="1308">
        <v>3940</v>
      </c>
      <c r="D24" s="1334" t="s">
        <v>267</v>
      </c>
      <c r="E24" s="97" t="s">
        <v>776</v>
      </c>
      <c r="F24" s="97"/>
      <c r="G24" s="185" t="s">
        <v>65</v>
      </c>
      <c r="H24" s="97" t="s">
        <v>240</v>
      </c>
      <c r="I24" s="1276" t="s">
        <v>777</v>
      </c>
      <c r="J24" s="1316" t="s">
        <v>778</v>
      </c>
      <c r="K24" s="1316"/>
      <c r="L24" s="72" t="s">
        <v>22</v>
      </c>
      <c r="M24" s="1272"/>
      <c r="N24" s="1273">
        <f>C24-650-2550</f>
        <v>740</v>
      </c>
    </row>
    <row r="25" spans="1:14" s="1249" customFormat="1" ht="190.55" customHeight="1">
      <c r="A25" s="1284">
        <v>21</v>
      </c>
      <c r="B25" s="17" t="s">
        <v>320</v>
      </c>
      <c r="C25" s="1285">
        <v>16000</v>
      </c>
      <c r="D25" s="1336" t="s">
        <v>267</v>
      </c>
      <c r="E25" s="23" t="s">
        <v>779</v>
      </c>
      <c r="F25" s="23"/>
      <c r="G25" s="1287" t="s">
        <v>65</v>
      </c>
      <c r="H25" s="23" t="s">
        <v>213</v>
      </c>
      <c r="I25" s="21" t="s">
        <v>780</v>
      </c>
      <c r="J25" s="1337"/>
      <c r="K25" s="1337"/>
      <c r="L25" s="17" t="s">
        <v>88</v>
      </c>
      <c r="M25" s="1289"/>
      <c r="N25" s="1297">
        <f>2000+3000+2500+1300+300+900</f>
        <v>10000</v>
      </c>
    </row>
    <row r="26" spans="1:14" s="367" customFormat="1" ht="102.75" customHeight="1">
      <c r="A26" s="695">
        <v>22</v>
      </c>
      <c r="B26" s="76" t="s">
        <v>290</v>
      </c>
      <c r="C26" s="1323">
        <v>3000</v>
      </c>
      <c r="D26" s="1341" t="s">
        <v>267</v>
      </c>
      <c r="E26" s="1324" t="s">
        <v>781</v>
      </c>
      <c r="F26" s="1324"/>
      <c r="G26" s="1317" t="s">
        <v>65</v>
      </c>
      <c r="H26" s="1324" t="s">
        <v>782</v>
      </c>
      <c r="I26" s="84" t="s">
        <v>783</v>
      </c>
      <c r="J26" s="1342" t="s">
        <v>784</v>
      </c>
      <c r="K26" s="1342"/>
      <c r="L26" s="76" t="s">
        <v>22</v>
      </c>
      <c r="M26" s="1327"/>
      <c r="N26" s="1328"/>
    </row>
    <row r="27" spans="1:14" s="367" customFormat="1" ht="171.7" customHeight="1">
      <c r="A27" s="695">
        <v>23</v>
      </c>
      <c r="B27" s="76" t="s">
        <v>719</v>
      </c>
      <c r="C27" s="1323">
        <v>16000</v>
      </c>
      <c r="D27" s="1341" t="s">
        <v>267</v>
      </c>
      <c r="E27" s="1324" t="s">
        <v>785</v>
      </c>
      <c r="F27" s="1324"/>
      <c r="G27" s="1317" t="s">
        <v>65</v>
      </c>
      <c r="H27" s="1324" t="s">
        <v>213</v>
      </c>
      <c r="I27" s="84" t="s">
        <v>786</v>
      </c>
      <c r="J27" s="1343" t="s">
        <v>787</v>
      </c>
      <c r="K27" s="1343"/>
      <c r="L27" s="76" t="s">
        <v>88</v>
      </c>
      <c r="M27" s="1327"/>
      <c r="N27" s="1328"/>
    </row>
    <row r="28" spans="1:14" s="367" customFormat="1" ht="126" customHeight="1">
      <c r="A28" s="695">
        <v>24</v>
      </c>
      <c r="B28" s="76" t="s">
        <v>407</v>
      </c>
      <c r="C28" s="1323">
        <v>10200</v>
      </c>
      <c r="D28" s="1341" t="s">
        <v>267</v>
      </c>
      <c r="E28" s="1324" t="s">
        <v>788</v>
      </c>
      <c r="F28" s="1324" t="s">
        <v>789</v>
      </c>
      <c r="G28" s="1317" t="s">
        <v>65</v>
      </c>
      <c r="H28" s="1324" t="s">
        <v>434</v>
      </c>
      <c r="I28" s="84" t="s">
        <v>790</v>
      </c>
      <c r="J28" s="1342" t="s">
        <v>791</v>
      </c>
      <c r="K28" s="1342" t="s">
        <v>792</v>
      </c>
      <c r="L28" s="76" t="s">
        <v>88</v>
      </c>
      <c r="M28" s="1327"/>
      <c r="N28" s="1328">
        <f>10200-4950-950-1330-450</f>
        <v>2520</v>
      </c>
    </row>
    <row r="29" spans="1:14" s="367" customFormat="1" ht="87.8" customHeight="1">
      <c r="A29" s="695">
        <v>25</v>
      </c>
      <c r="B29" s="76" t="s">
        <v>315</v>
      </c>
      <c r="C29" s="1323">
        <v>4250</v>
      </c>
      <c r="D29" s="1341" t="s">
        <v>267</v>
      </c>
      <c r="E29" s="1324" t="s">
        <v>793</v>
      </c>
      <c r="F29" s="1324"/>
      <c r="G29" s="1317" t="s">
        <v>65</v>
      </c>
      <c r="H29" s="1324" t="s">
        <v>405</v>
      </c>
      <c r="I29" s="1353" t="s">
        <v>794</v>
      </c>
      <c r="J29" s="1354"/>
      <c r="K29" s="1354" t="s">
        <v>453</v>
      </c>
      <c r="L29" s="76" t="s">
        <v>22</v>
      </c>
      <c r="M29" s="1327"/>
      <c r="N29" s="1328">
        <f>C29-150-1550-1000</f>
        <v>1550</v>
      </c>
    </row>
    <row r="30" spans="1:14" s="367" customFormat="1" ht="148.6" customHeight="1">
      <c r="A30" s="362">
        <v>26</v>
      </c>
      <c r="B30" s="72" t="s">
        <v>741</v>
      </c>
      <c r="C30" s="1308">
        <v>6770</v>
      </c>
      <c r="D30" s="97" t="s">
        <v>267</v>
      </c>
      <c r="E30" s="1355" t="s">
        <v>795</v>
      </c>
      <c r="F30" s="1355" t="s">
        <v>796</v>
      </c>
      <c r="G30" s="185" t="s">
        <v>65</v>
      </c>
      <c r="H30" s="72" t="s">
        <v>106</v>
      </c>
      <c r="I30" s="1276" t="s">
        <v>797</v>
      </c>
      <c r="J30" s="1356">
        <f>C30-3300-2000-400</f>
        <v>1070</v>
      </c>
      <c r="K30" s="1357" t="s">
        <v>798</v>
      </c>
      <c r="L30" s="72" t="s">
        <v>18</v>
      </c>
      <c r="M30" s="1272"/>
      <c r="N30" s="72"/>
    </row>
    <row r="31" spans="1:14" s="367" customFormat="1" ht="47.25" customHeight="1">
      <c r="A31" s="695">
        <v>27</v>
      </c>
      <c r="B31" s="76" t="s">
        <v>450</v>
      </c>
      <c r="C31" s="1323">
        <v>12000</v>
      </c>
      <c r="D31" s="1341" t="s">
        <v>394</v>
      </c>
      <c r="E31" s="1324" t="s">
        <v>451</v>
      </c>
      <c r="F31" s="1368">
        <v>44572</v>
      </c>
      <c r="G31" s="1317" t="s">
        <v>65</v>
      </c>
      <c r="H31" s="1324" t="s">
        <v>327</v>
      </c>
      <c r="I31" s="1353" t="s">
        <v>452</v>
      </c>
      <c r="J31" s="1354"/>
      <c r="K31" s="1354" t="s">
        <v>453</v>
      </c>
      <c r="L31" s="76" t="s">
        <v>428</v>
      </c>
      <c r="M31" s="1327"/>
      <c r="N31" s="1328"/>
    </row>
    <row r="32" spans="1:14" s="367" customFormat="1" ht="86.95" customHeight="1">
      <c r="A32" s="695">
        <v>28</v>
      </c>
      <c r="B32" s="76" t="s">
        <v>454</v>
      </c>
      <c r="C32" s="1323">
        <v>14370</v>
      </c>
      <c r="D32" s="1324" t="s">
        <v>394</v>
      </c>
      <c r="E32" s="1369" t="s">
        <v>455</v>
      </c>
      <c r="F32" s="1370" t="s">
        <v>799</v>
      </c>
      <c r="G32" s="1317" t="s">
        <v>65</v>
      </c>
      <c r="H32" s="76" t="s">
        <v>213</v>
      </c>
      <c r="I32" s="1416" t="s">
        <v>457</v>
      </c>
      <c r="J32" s="1371" t="s">
        <v>458</v>
      </c>
      <c r="K32" s="1356" t="s">
        <v>453</v>
      </c>
      <c r="L32" s="76" t="s">
        <v>88</v>
      </c>
      <c r="M32" s="1327"/>
      <c r="N32" s="76"/>
    </row>
    <row r="33" spans="1:14" s="1" customFormat="1" ht="129.1" customHeight="1">
      <c r="A33" s="360">
        <v>29</v>
      </c>
      <c r="B33" s="41" t="s">
        <v>311</v>
      </c>
      <c r="C33" s="1282">
        <v>3940</v>
      </c>
      <c r="D33" s="90" t="s">
        <v>800</v>
      </c>
      <c r="E33" s="1335"/>
      <c r="F33" s="1335"/>
      <c r="G33" s="1254" t="s">
        <v>65</v>
      </c>
      <c r="H33" s="90" t="s">
        <v>240</v>
      </c>
      <c r="I33" s="1351" t="s">
        <v>801</v>
      </c>
      <c r="J33" s="41"/>
      <c r="K33" s="1338" t="s">
        <v>453</v>
      </c>
      <c r="L33" s="41" t="s">
        <v>22</v>
      </c>
      <c r="M33" s="1275"/>
      <c r="N33" s="41"/>
    </row>
    <row r="34" spans="1:14" s="1" customFormat="1" ht="70.5" customHeight="1">
      <c r="A34" s="1344">
        <v>30</v>
      </c>
      <c r="B34" s="144" t="s">
        <v>459</v>
      </c>
      <c r="C34" s="1339">
        <v>10200</v>
      </c>
      <c r="D34" s="111" t="s">
        <v>802</v>
      </c>
      <c r="E34" s="1345" t="s">
        <v>803</v>
      </c>
      <c r="F34" s="1345"/>
      <c r="G34" s="760" t="s">
        <v>65</v>
      </c>
      <c r="H34" s="111" t="s">
        <v>462</v>
      </c>
      <c r="I34" s="1346" t="s">
        <v>463</v>
      </c>
      <c r="J34" s="1352" t="s">
        <v>804</v>
      </c>
      <c r="K34" s="1340" t="s">
        <v>453</v>
      </c>
      <c r="L34" s="144" t="s">
        <v>88</v>
      </c>
      <c r="M34" s="1347"/>
      <c r="N34" s="144"/>
    </row>
    <row r="35" spans="1:14" s="1" customFormat="1" ht="130.6" customHeight="1">
      <c r="A35" s="360">
        <v>31</v>
      </c>
      <c r="B35" s="41" t="s">
        <v>320</v>
      </c>
      <c r="C35" s="1282">
        <v>16000</v>
      </c>
      <c r="D35" s="90" t="s">
        <v>805</v>
      </c>
      <c r="E35" s="1335"/>
      <c r="F35" s="1335"/>
      <c r="G35" s="1254" t="s">
        <v>65</v>
      </c>
      <c r="H35" s="41" t="s">
        <v>213</v>
      </c>
      <c r="I35" s="1351" t="s">
        <v>806</v>
      </c>
      <c r="J35" s="1291">
        <f>C35-1900-600-1500-2700-800</f>
        <v>8500</v>
      </c>
      <c r="K35" s="1338" t="s">
        <v>807</v>
      </c>
      <c r="L35" s="41" t="s">
        <v>88</v>
      </c>
      <c r="M35" s="1275"/>
      <c r="N35" s="41"/>
    </row>
    <row r="36" spans="1:14" s="1" customFormat="1" ht="20.399999999999999">
      <c r="A36" s="360">
        <v>32</v>
      </c>
      <c r="B36" s="41"/>
      <c r="C36" s="1358"/>
      <c r="D36" s="1361"/>
      <c r="E36" s="1359"/>
      <c r="F36" s="1360"/>
      <c r="G36" s="41"/>
      <c r="H36" s="41"/>
      <c r="I36" s="1293"/>
      <c r="J36" s="41"/>
      <c r="K36" s="41"/>
      <c r="L36" s="41"/>
      <c r="M36" s="1275"/>
      <c r="N36" s="41"/>
    </row>
    <row r="37" spans="1:14" s="1" customFormat="1" ht="45.7" customHeight="1">
      <c r="A37" s="359">
        <v>33</v>
      </c>
      <c r="C37" s="1179"/>
      <c r="D37" s="271"/>
      <c r="E37" s="271"/>
      <c r="F37" s="271"/>
      <c r="I37" s="477" t="s">
        <v>808</v>
      </c>
      <c r="M37" s="804"/>
    </row>
    <row r="38" spans="1:14" s="1" customFormat="1">
      <c r="A38" s="359">
        <v>34</v>
      </c>
      <c r="C38" s="1179"/>
      <c r="D38" s="271"/>
      <c r="E38" s="271"/>
      <c r="F38" s="271"/>
      <c r="I38" s="9" t="s">
        <v>809</v>
      </c>
      <c r="M38" s="804"/>
    </row>
    <row r="39" spans="1:14" s="1" customFormat="1">
      <c r="A39" s="359">
        <v>35</v>
      </c>
      <c r="C39" s="1179"/>
      <c r="D39" s="271"/>
      <c r="E39" s="271"/>
      <c r="F39" s="271"/>
      <c r="I39" s="9" t="s">
        <v>810</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6" priority="8"/>
  </conditionalFormatting>
  <conditionalFormatting sqref="A4">
    <cfRule type="duplicateValues" dxfId="865" priority="4"/>
  </conditionalFormatting>
  <conditionalFormatting sqref="B3">
    <cfRule type="duplicateValues" dxfId="864" priority="5"/>
    <cfRule type="duplicateValues" dxfId="863" priority="6"/>
    <cfRule type="duplicateValues" dxfId="862" priority="7"/>
  </conditionalFormatting>
  <conditionalFormatting sqref="B4">
    <cfRule type="duplicateValues" dxfId="861" priority="1"/>
    <cfRule type="duplicateValues" dxfId="860" priority="2"/>
    <cfRule type="duplicateValues" dxfId="859"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350000000000001" customHeight="1">
      <c r="B1" s="10"/>
      <c r="C1" s="3671"/>
      <c r="D1" s="3671"/>
      <c r="E1" s="3671"/>
      <c r="F1" s="3671"/>
      <c r="G1" s="3671"/>
      <c r="H1" s="3671"/>
      <c r="I1" s="3671"/>
    </row>
    <row r="2" spans="1:15" ht="34.5" customHeight="1">
      <c r="A2" s="3684" t="s">
        <v>811</v>
      </c>
      <c r="B2" s="3684"/>
      <c r="C2" s="3684"/>
      <c r="D2" s="3684"/>
      <c r="E2" s="3684"/>
      <c r="F2" s="3684"/>
      <c r="G2" s="3684"/>
      <c r="H2" s="3684"/>
      <c r="I2" s="3684"/>
      <c r="J2" s="1176"/>
      <c r="K2" s="805"/>
      <c r="L2" s="1180"/>
      <c r="M2" s="287"/>
    </row>
    <row r="3" spans="1:15" ht="13.6" customHeight="1">
      <c r="A3" s="360"/>
      <c r="B3" s="385"/>
      <c r="C3" s="1177">
        <f>SUBTOTAL(9,C5:C328)</f>
        <v>163233.79999999999</v>
      </c>
      <c r="D3" s="849"/>
      <c r="E3" s="849"/>
      <c r="F3" s="199"/>
      <c r="G3" s="199"/>
      <c r="H3" s="202"/>
      <c r="I3" s="3686">
        <f ca="1">TODAY()</f>
        <v>45988</v>
      </c>
      <c r="J3" s="3686"/>
      <c r="K3" s="808"/>
      <c r="L3" s="287"/>
      <c r="M3" s="287"/>
    </row>
    <row r="4" spans="1:15" s="7" customFormat="1" ht="50.95">
      <c r="A4" s="810" t="s">
        <v>48</v>
      </c>
      <c r="B4" s="679" t="s">
        <v>380</v>
      </c>
      <c r="C4" s="1178" t="s">
        <v>50</v>
      </c>
      <c r="D4" s="679" t="s">
        <v>51</v>
      </c>
      <c r="E4" s="679" t="s">
        <v>53</v>
      </c>
      <c r="F4" s="679" t="s">
        <v>55</v>
      </c>
      <c r="G4" s="679" t="s">
        <v>56</v>
      </c>
      <c r="H4" s="812" t="s">
        <v>57</v>
      </c>
      <c r="I4" s="679" t="s">
        <v>58</v>
      </c>
      <c r="J4" s="679" t="s">
        <v>52</v>
      </c>
      <c r="K4" s="813" t="s">
        <v>381</v>
      </c>
      <c r="L4" s="753" t="s">
        <v>382</v>
      </c>
      <c r="M4" s="1181">
        <f>SUM(M5:M9)</f>
        <v>30777</v>
      </c>
    </row>
    <row r="5" spans="1:15" s="336" customFormat="1" ht="82.55" customHeight="1">
      <c r="A5" s="786" cm="1">
        <f t="array" ref="A5:A64">_xlfn.SEQUENCE(60,1,1,)</f>
        <v>1</v>
      </c>
      <c r="B5" s="87" t="s">
        <v>812</v>
      </c>
      <c r="C5" s="118">
        <v>5100</v>
      </c>
      <c r="D5" s="133" t="s">
        <v>292</v>
      </c>
      <c r="E5" s="133" t="s">
        <v>813</v>
      </c>
      <c r="F5" s="87" t="s">
        <v>65</v>
      </c>
      <c r="G5" s="87" t="s">
        <v>558</v>
      </c>
      <c r="H5" s="93" t="s">
        <v>814</v>
      </c>
      <c r="I5" s="396" t="s">
        <v>815</v>
      </c>
      <c r="J5" s="87" t="s">
        <v>88</v>
      </c>
      <c r="K5" s="1082">
        <f t="shared" ref="K5:K10" si="0">C5</f>
        <v>5100</v>
      </c>
      <c r="L5" s="241" t="s">
        <v>88</v>
      </c>
      <c r="M5" s="1182">
        <f>SUMIF($J:$J,L5,K:K)</f>
        <v>17900</v>
      </c>
      <c r="N5" s="848"/>
    </row>
    <row r="6" spans="1:15" s="855" customFormat="1" ht="71.349999999999994" customHeight="1">
      <c r="A6" s="706">
        <v>2</v>
      </c>
      <c r="B6" s="177" t="s">
        <v>816</v>
      </c>
      <c r="C6" s="1183">
        <v>2950</v>
      </c>
      <c r="D6" s="133" t="s">
        <v>292</v>
      </c>
      <c r="E6" s="388" t="s">
        <v>817</v>
      </c>
      <c r="F6" s="177" t="s">
        <v>275</v>
      </c>
      <c r="G6" s="177" t="s">
        <v>213</v>
      </c>
      <c r="H6" s="188" t="s">
        <v>818</v>
      </c>
      <c r="I6" s="188" t="s">
        <v>819</v>
      </c>
      <c r="J6" s="181" t="s">
        <v>26</v>
      </c>
      <c r="K6" s="1082">
        <f t="shared" si="0"/>
        <v>2950</v>
      </c>
      <c r="L6" s="1070" t="s">
        <v>555</v>
      </c>
      <c r="M6" s="851">
        <f>SUMIF($J:$J,L6,K:K)</f>
        <v>0</v>
      </c>
      <c r="N6" s="150"/>
    </row>
    <row r="7" spans="1:15" s="336" customFormat="1" ht="119.25" customHeight="1">
      <c r="A7" s="786">
        <v>3</v>
      </c>
      <c r="B7" s="87" t="s">
        <v>820</v>
      </c>
      <c r="C7" s="118">
        <v>4850</v>
      </c>
      <c r="D7" s="133" t="s">
        <v>267</v>
      </c>
      <c r="E7" s="133" t="s">
        <v>821</v>
      </c>
      <c r="F7" s="87" t="s">
        <v>65</v>
      </c>
      <c r="G7" s="87" t="s">
        <v>546</v>
      </c>
      <c r="H7" s="188" t="s">
        <v>822</v>
      </c>
      <c r="I7" s="1184"/>
      <c r="J7" s="87" t="s">
        <v>18</v>
      </c>
      <c r="K7" s="1082">
        <f t="shared" si="0"/>
        <v>4850</v>
      </c>
      <c r="L7" s="852" t="s">
        <v>26</v>
      </c>
      <c r="M7" s="1182">
        <f>SUMIF($J:$J,L7,K:K)</f>
        <v>4780</v>
      </c>
    </row>
    <row r="8" spans="1:15" s="336" customFormat="1" ht="162.69999999999999" customHeight="1">
      <c r="A8" s="797">
        <v>4</v>
      </c>
      <c r="B8" s="91" t="s">
        <v>320</v>
      </c>
      <c r="C8" s="1185">
        <v>12800</v>
      </c>
      <c r="D8" s="133" t="s">
        <v>267</v>
      </c>
      <c r="E8" s="380" t="s">
        <v>823</v>
      </c>
      <c r="F8" s="91" t="s">
        <v>65</v>
      </c>
      <c r="G8" s="91" t="s">
        <v>558</v>
      </c>
      <c r="H8" s="184" t="s">
        <v>824</v>
      </c>
      <c r="I8" s="1186" t="s">
        <v>825</v>
      </c>
      <c r="J8" s="87" t="s">
        <v>88</v>
      </c>
      <c r="K8" s="1082">
        <f t="shared" si="0"/>
        <v>12800</v>
      </c>
      <c r="L8" s="180" t="s">
        <v>24</v>
      </c>
      <c r="M8" s="1187">
        <f>C8-5000-515-983-535-1520-1000</f>
        <v>3247</v>
      </c>
      <c r="N8" s="848">
        <f>512-209-22-43-23-22-69</f>
        <v>124</v>
      </c>
      <c r="O8" s="336">
        <f>12800-5000-515-983-535-500-1520</f>
        <v>3747</v>
      </c>
    </row>
    <row r="9" spans="1:15" s="336" customFormat="1" ht="68.95" customHeight="1">
      <c r="A9" s="797">
        <v>5</v>
      </c>
      <c r="B9" s="91" t="s">
        <v>826</v>
      </c>
      <c r="C9" s="1185">
        <v>1830</v>
      </c>
      <c r="D9" s="133" t="s">
        <v>267</v>
      </c>
      <c r="E9" s="380" t="s">
        <v>827</v>
      </c>
      <c r="F9" s="91" t="s">
        <v>275</v>
      </c>
      <c r="G9" s="91" t="s">
        <v>213</v>
      </c>
      <c r="H9" s="184" t="s">
        <v>828</v>
      </c>
      <c r="I9" s="1186" t="s">
        <v>819</v>
      </c>
      <c r="J9" s="87" t="s">
        <v>26</v>
      </c>
      <c r="K9" s="1082">
        <f t="shared" si="0"/>
        <v>1830</v>
      </c>
      <c r="L9" s="247" t="s">
        <v>18</v>
      </c>
      <c r="M9" s="1182">
        <f>SUMIF($J:$J,L9,K:K)</f>
        <v>4850</v>
      </c>
      <c r="N9" s="848"/>
    </row>
    <row r="10" spans="1:15" s="367" customFormat="1" ht="351" customHeight="1">
      <c r="A10" s="699">
        <v>6</v>
      </c>
      <c r="B10" s="115" t="s">
        <v>829</v>
      </c>
      <c r="C10" s="1185">
        <v>28300</v>
      </c>
      <c r="D10" s="734" t="s">
        <v>267</v>
      </c>
      <c r="E10" s="379" t="s">
        <v>830</v>
      </c>
      <c r="F10" s="91" t="s">
        <v>65</v>
      </c>
      <c r="G10" s="152" t="s">
        <v>213</v>
      </c>
      <c r="H10" s="1144" t="s">
        <v>831</v>
      </c>
      <c r="I10" s="1199" t="s">
        <v>832</v>
      </c>
      <c r="J10" s="380" t="s">
        <v>833</v>
      </c>
      <c r="K10" s="1200">
        <f t="shared" si="0"/>
        <v>28300</v>
      </c>
      <c r="L10" s="1201" t="s">
        <v>834</v>
      </c>
      <c r="M10" s="91"/>
      <c r="N10" s="336">
        <f>3000+2000+280+800+1000+3000+2800+400+1200+284+2000+2000+2337-28300</f>
        <v>-7199</v>
      </c>
    </row>
    <row r="11" spans="1:15" s="659" customFormat="1" ht="28.55" customHeight="1">
      <c r="A11" s="1188">
        <v>7</v>
      </c>
      <c r="B11" s="1189" t="s">
        <v>835</v>
      </c>
      <c r="C11" s="1190" t="s">
        <v>716</v>
      </c>
      <c r="D11" s="1191" t="s">
        <v>716</v>
      </c>
      <c r="E11" s="1192"/>
      <c r="F11" s="653" t="s">
        <v>275</v>
      </c>
      <c r="G11" s="1193" t="s">
        <v>164</v>
      </c>
      <c r="H11" s="1231" t="s">
        <v>836</v>
      </c>
      <c r="I11" s="1194" t="s">
        <v>837</v>
      </c>
      <c r="J11" s="1195" t="s">
        <v>18</v>
      </c>
      <c r="K11" s="1196"/>
      <c r="L11" s="1197"/>
      <c r="M11" s="653"/>
      <c r="N11" s="841"/>
    </row>
    <row r="12" spans="1:15" s="336" customFormat="1" ht="240.8" customHeight="1">
      <c r="A12" s="797">
        <v>8</v>
      </c>
      <c r="B12" s="91" t="s">
        <v>838</v>
      </c>
      <c r="C12" s="1185">
        <v>20300</v>
      </c>
      <c r="D12" s="734" t="s">
        <v>267</v>
      </c>
      <c r="E12" s="1202" t="s">
        <v>839</v>
      </c>
      <c r="F12" s="91" t="s">
        <v>65</v>
      </c>
      <c r="G12" s="91" t="s">
        <v>558</v>
      </c>
      <c r="H12" s="119" t="s">
        <v>840</v>
      </c>
      <c r="I12" s="1199" t="s">
        <v>841</v>
      </c>
      <c r="J12" s="380" t="s">
        <v>833</v>
      </c>
      <c r="K12" s="1076">
        <f>C12</f>
        <v>20300</v>
      </c>
      <c r="L12" s="91"/>
      <c r="M12" s="1203">
        <f>20300-900-1600-7400-1000-100-1000-100-1900-100</f>
        <v>6200</v>
      </c>
      <c r="N12" s="848"/>
    </row>
    <row r="13" spans="1:15" s="367" customFormat="1" ht="77.3" customHeight="1">
      <c r="A13" s="786">
        <v>9</v>
      </c>
      <c r="B13" s="87" t="s">
        <v>738</v>
      </c>
      <c r="C13" s="118">
        <v>7313</v>
      </c>
      <c r="D13" s="734" t="s">
        <v>267</v>
      </c>
      <c r="E13" s="133"/>
      <c r="F13" s="87" t="s">
        <v>65</v>
      </c>
      <c r="G13" s="87" t="s">
        <v>558</v>
      </c>
      <c r="H13" s="93" t="s">
        <v>842</v>
      </c>
      <c r="I13" s="87"/>
      <c r="J13" s="87" t="s">
        <v>88</v>
      </c>
      <c r="K13" s="1204"/>
      <c r="L13" s="87"/>
      <c r="M13" s="87">
        <f>7313-1000</f>
        <v>6313</v>
      </c>
      <c r="N13" s="336"/>
    </row>
    <row r="14" spans="1:15" s="367" customFormat="1" ht="176.95" customHeight="1">
      <c r="A14" s="797">
        <v>10</v>
      </c>
      <c r="B14" s="91" t="s">
        <v>320</v>
      </c>
      <c r="C14" s="1185">
        <v>12800</v>
      </c>
      <c r="D14" s="734" t="s">
        <v>267</v>
      </c>
      <c r="E14" s="380"/>
      <c r="F14" s="91" t="s">
        <v>65</v>
      </c>
      <c r="G14" s="91" t="s">
        <v>213</v>
      </c>
      <c r="H14" s="119" t="s">
        <v>843</v>
      </c>
      <c r="I14" s="1205"/>
      <c r="J14" s="91" t="s">
        <v>88</v>
      </c>
      <c r="K14" s="1206"/>
      <c r="L14" s="91"/>
      <c r="M14" s="1203">
        <f>C14-2300-2000-816-228-4060-500</f>
        <v>2896</v>
      </c>
      <c r="N14" s="336"/>
    </row>
    <row r="15" spans="1:15" s="367" customFormat="1" ht="63" customHeight="1">
      <c r="A15" s="797">
        <v>11</v>
      </c>
      <c r="B15" s="91" t="s">
        <v>844</v>
      </c>
      <c r="C15" s="1185">
        <v>2950</v>
      </c>
      <c r="D15" s="734" t="s">
        <v>267</v>
      </c>
      <c r="E15" s="380" t="s">
        <v>845</v>
      </c>
      <c r="F15" s="154" t="s">
        <v>65</v>
      </c>
      <c r="G15" s="91" t="s">
        <v>164</v>
      </c>
      <c r="H15" s="286" t="s">
        <v>846</v>
      </c>
      <c r="I15" s="1205"/>
      <c r="J15" s="91" t="s">
        <v>18</v>
      </c>
      <c r="K15" s="1206"/>
      <c r="L15" s="91"/>
      <c r="M15" s="91"/>
      <c r="N15" s="336"/>
    </row>
    <row r="16" spans="1:15" s="87" customFormat="1" ht="107.35" customHeight="1">
      <c r="A16" s="797">
        <v>12</v>
      </c>
      <c r="B16" s="91" t="s">
        <v>407</v>
      </c>
      <c r="C16" s="1185">
        <v>5163.8</v>
      </c>
      <c r="D16" s="734" t="s">
        <v>267</v>
      </c>
      <c r="E16" s="380" t="s">
        <v>847</v>
      </c>
      <c r="F16" s="91" t="s">
        <v>65</v>
      </c>
      <c r="G16" s="91" t="s">
        <v>164</v>
      </c>
      <c r="H16" s="286" t="s">
        <v>848</v>
      </c>
      <c r="I16" s="1209" t="s">
        <v>849</v>
      </c>
      <c r="J16" s="91" t="s">
        <v>88</v>
      </c>
      <c r="K16" s="1206"/>
      <c r="L16" s="91"/>
      <c r="M16" s="1210">
        <f>C16-1229-169-2048-750</f>
        <v>967.80000000000018</v>
      </c>
      <c r="N16" s="850"/>
    </row>
    <row r="17" spans="1:14" s="367" customFormat="1" ht="83.25" customHeight="1">
      <c r="A17" s="786">
        <v>13</v>
      </c>
      <c r="B17" s="87" t="s">
        <v>738</v>
      </c>
      <c r="C17" s="1146">
        <v>7313</v>
      </c>
      <c r="D17" s="734" t="s">
        <v>267</v>
      </c>
      <c r="E17" s="133" t="s">
        <v>850</v>
      </c>
      <c r="F17" s="87" t="s">
        <v>65</v>
      </c>
      <c r="G17" s="87" t="s">
        <v>213</v>
      </c>
      <c r="H17" s="155" t="s">
        <v>851</v>
      </c>
      <c r="I17" s="87" t="s">
        <v>852</v>
      </c>
      <c r="J17" s="87" t="s">
        <v>88</v>
      </c>
      <c r="K17" s="1204"/>
      <c r="L17" s="1211"/>
      <c r="M17" s="1151">
        <f>C17</f>
        <v>7313</v>
      </c>
      <c r="N17" s="336"/>
    </row>
    <row r="18" spans="1:14" s="367" customFormat="1" ht="89.35" customHeight="1">
      <c r="A18" s="786">
        <v>14</v>
      </c>
      <c r="B18" s="87" t="s">
        <v>853</v>
      </c>
      <c r="C18" s="1146">
        <v>12500</v>
      </c>
      <c r="D18" s="133" t="s">
        <v>854</v>
      </c>
      <c r="E18" s="734" t="s">
        <v>267</v>
      </c>
      <c r="F18" s="87" t="s">
        <v>65</v>
      </c>
      <c r="G18" s="87" t="s">
        <v>213</v>
      </c>
      <c r="H18" s="188" t="s">
        <v>855</v>
      </c>
      <c r="I18" s="133"/>
      <c r="J18" s="87" t="s">
        <v>18</v>
      </c>
      <c r="K18" s="1204"/>
      <c r="L18" s="1211"/>
      <c r="M18" s="1151">
        <f>C18</f>
        <v>12500</v>
      </c>
      <c r="N18" s="336"/>
    </row>
    <row r="19" spans="1:14" s="467" customFormat="1" ht="65.25" customHeight="1">
      <c r="A19" s="486">
        <v>15</v>
      </c>
      <c r="B19" s="439" t="s">
        <v>320</v>
      </c>
      <c r="C19" s="1212">
        <v>12800</v>
      </c>
      <c r="D19" s="443" t="s">
        <v>856</v>
      </c>
      <c r="E19" s="443" t="s">
        <v>394</v>
      </c>
      <c r="F19" s="439" t="s">
        <v>65</v>
      </c>
      <c r="G19" s="439" t="s">
        <v>558</v>
      </c>
      <c r="H19" s="452" t="s">
        <v>857</v>
      </c>
      <c r="I19" s="439" t="s">
        <v>858</v>
      </c>
      <c r="J19" s="439" t="s">
        <v>88</v>
      </c>
      <c r="K19" s="1213"/>
      <c r="L19" s="439"/>
      <c r="M19" s="1214">
        <f>C19</f>
        <v>12800</v>
      </c>
      <c r="N19" s="139"/>
    </row>
    <row r="20" spans="1:14" s="467" customFormat="1" ht="131.94999999999999" customHeight="1">
      <c r="A20" s="486">
        <v>16</v>
      </c>
      <c r="B20" s="439" t="s">
        <v>859</v>
      </c>
      <c r="C20" s="1212">
        <v>20700</v>
      </c>
      <c r="D20" s="443" t="s">
        <v>860</v>
      </c>
      <c r="E20" s="443" t="s">
        <v>394</v>
      </c>
      <c r="F20" s="439" t="s">
        <v>65</v>
      </c>
      <c r="G20" s="439" t="s">
        <v>558</v>
      </c>
      <c r="H20" s="452" t="s">
        <v>861</v>
      </c>
      <c r="I20" s="443" t="s">
        <v>862</v>
      </c>
      <c r="J20" s="439" t="s">
        <v>88</v>
      </c>
      <c r="K20" s="1213"/>
      <c r="L20" s="1215"/>
      <c r="M20" s="1214"/>
      <c r="N20" s="139"/>
    </row>
    <row r="21" spans="1:14" s="1" customFormat="1" ht="69.8" customHeight="1">
      <c r="A21" s="738">
        <v>17</v>
      </c>
      <c r="B21" s="102" t="s">
        <v>407</v>
      </c>
      <c r="C21" s="1167">
        <v>5164</v>
      </c>
      <c r="D21" s="109" t="s">
        <v>863</v>
      </c>
      <c r="E21" s="443" t="s">
        <v>394</v>
      </c>
      <c r="F21" s="102" t="s">
        <v>65</v>
      </c>
      <c r="G21" s="102" t="s">
        <v>213</v>
      </c>
      <c r="H21" s="670" t="s">
        <v>864</v>
      </c>
      <c r="I21" s="1216"/>
      <c r="J21" s="102" t="s">
        <v>88</v>
      </c>
      <c r="K21" s="1207"/>
      <c r="L21" s="1208">
        <v>12000</v>
      </c>
      <c r="M21" s="1135"/>
      <c r="N21" s="3"/>
    </row>
    <row r="22" spans="1:14" s="1" customFormat="1" ht="63" customHeight="1">
      <c r="A22" s="738">
        <v>18</v>
      </c>
      <c r="B22" s="102" t="s">
        <v>865</v>
      </c>
      <c r="C22" s="1167" t="s">
        <v>710</v>
      </c>
      <c r="D22" s="109" t="s">
        <v>866</v>
      </c>
      <c r="E22" s="109"/>
      <c r="F22" s="102" t="s">
        <v>65</v>
      </c>
      <c r="G22" s="102" t="s">
        <v>558</v>
      </c>
      <c r="H22" s="670"/>
      <c r="I22" s="102" t="s">
        <v>867</v>
      </c>
      <c r="J22" s="102" t="s">
        <v>22</v>
      </c>
      <c r="K22" s="1207"/>
      <c r="L22" s="102"/>
      <c r="M22" s="1135" t="str">
        <f>C22</f>
        <v>hủy</v>
      </c>
      <c r="N22" s="3"/>
    </row>
    <row r="23" spans="1:14" s="1" customFormat="1" ht="39.1" customHeight="1">
      <c r="A23" s="738">
        <v>19</v>
      </c>
      <c r="B23" s="102" t="s">
        <v>826</v>
      </c>
      <c r="C23" s="1167">
        <v>400</v>
      </c>
      <c r="D23" s="109" t="s">
        <v>868</v>
      </c>
      <c r="E23" s="109"/>
      <c r="F23" s="102" t="s">
        <v>869</v>
      </c>
      <c r="G23" s="102" t="s">
        <v>213</v>
      </c>
      <c r="H23" s="1232" t="s">
        <v>870</v>
      </c>
      <c r="I23" s="102" t="s">
        <v>871</v>
      </c>
      <c r="J23" s="102" t="s">
        <v>26</v>
      </c>
      <c r="K23" s="1207"/>
      <c r="L23" s="102"/>
      <c r="M23" s="102"/>
      <c r="N23" s="3"/>
    </row>
    <row r="24" spans="1:14" ht="31.6" customHeight="1">
      <c r="A24" s="359">
        <v>20</v>
      </c>
      <c r="C24" s="1179"/>
      <c r="I24" s="1"/>
      <c r="L24" s="1"/>
      <c r="M24" s="1"/>
    </row>
    <row r="25" spans="1:14" s="1" customFormat="1" ht="31.6" customHeight="1">
      <c r="A25" s="359">
        <v>21</v>
      </c>
      <c r="C25" s="1179"/>
      <c r="D25" s="271"/>
      <c r="E25" s="271"/>
      <c r="H25" s="1217" t="s">
        <v>872</v>
      </c>
      <c r="K25" s="804"/>
      <c r="N25" s="3"/>
    </row>
    <row r="26" spans="1:14" s="1" customFormat="1" ht="31.6" customHeight="1">
      <c r="A26" s="359">
        <v>22</v>
      </c>
      <c r="C26" s="1179"/>
      <c r="D26" s="271"/>
      <c r="E26" s="271"/>
      <c r="H26" s="9"/>
      <c r="K26" s="804"/>
      <c r="N26" s="3"/>
    </row>
    <row r="27" spans="1:14" s="1" customFormat="1" ht="31.6" customHeight="1">
      <c r="A27" s="359">
        <v>23</v>
      </c>
      <c r="C27" s="1179"/>
      <c r="D27" s="271"/>
      <c r="E27" s="271"/>
      <c r="G27" s="1" t="s">
        <v>213</v>
      </c>
      <c r="H27" s="477" t="s">
        <v>873</v>
      </c>
      <c r="K27" s="804"/>
      <c r="N27" s="3"/>
    </row>
    <row r="28" spans="1:14" s="1" customFormat="1" ht="53.35" customHeight="1">
      <c r="A28" s="359">
        <v>24</v>
      </c>
      <c r="C28" s="1179"/>
      <c r="D28" s="271"/>
      <c r="E28" s="271"/>
      <c r="H28" s="477" t="s">
        <v>874</v>
      </c>
      <c r="K28" s="804"/>
      <c r="N28" s="3"/>
    </row>
    <row r="29" spans="1:14" s="1" customFormat="1" ht="54.7" customHeight="1">
      <c r="A29" s="359">
        <v>25</v>
      </c>
      <c r="C29" s="1179"/>
      <c r="D29" s="271"/>
      <c r="E29" s="271"/>
      <c r="G29" s="1" t="s">
        <v>546</v>
      </c>
      <c r="H29" s="477" t="s">
        <v>875</v>
      </c>
      <c r="I29" s="271" t="s">
        <v>876</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8" priority="13"/>
  </conditionalFormatting>
  <conditionalFormatting sqref="A4">
    <cfRule type="duplicateValues" dxfId="857" priority="9"/>
  </conditionalFormatting>
  <conditionalFormatting sqref="A5">
    <cfRule type="duplicateValues" dxfId="856" priority="2"/>
  </conditionalFormatting>
  <conditionalFormatting sqref="A7:A9">
    <cfRule type="duplicateValues" dxfId="855" priority="1069"/>
  </conditionalFormatting>
  <conditionalFormatting sqref="A10:A11">
    <cfRule type="duplicateValues" dxfId="854" priority="1067"/>
  </conditionalFormatting>
  <conditionalFormatting sqref="A12">
    <cfRule type="duplicateValues" dxfId="853" priority="1"/>
  </conditionalFormatting>
  <conditionalFormatting sqref="B3">
    <cfRule type="duplicateValues" dxfId="852" priority="10"/>
    <cfRule type="duplicateValues" dxfId="851" priority="11"/>
    <cfRule type="duplicateValues" dxfId="850" priority="12"/>
  </conditionalFormatting>
  <conditionalFormatting sqref="B4">
    <cfRule type="duplicateValues" dxfId="849" priority="6"/>
    <cfRule type="duplicateValues" dxfId="848" priority="7"/>
    <cfRule type="duplicateValues" dxfId="847"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8.375" style="1" customWidth="1"/>
    <col min="3" max="3" width="18.75" style="1138" customWidth="1"/>
    <col min="4" max="4" width="22.25" style="271" customWidth="1"/>
    <col min="5" max="5" width="28.375" style="271" customWidth="1"/>
    <col min="6" max="6" width="15.125" style="1" customWidth="1"/>
    <col min="7" max="7" width="24.125" style="1" customWidth="1"/>
    <col min="8" max="8" width="90.375" style="9" customWidth="1"/>
    <col min="9" max="9" width="84.37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350000000000001" customHeight="1">
      <c r="B1" s="10"/>
      <c r="C1" s="3671"/>
      <c r="D1" s="3671"/>
      <c r="E1" s="3671"/>
      <c r="F1" s="3671"/>
      <c r="G1" s="3671"/>
      <c r="H1" s="3671"/>
      <c r="I1" s="3671"/>
    </row>
    <row r="2" spans="1:14" ht="34.5" customHeight="1">
      <c r="A2" s="3684" t="s">
        <v>877</v>
      </c>
      <c r="B2" s="3684"/>
      <c r="C2" s="3684"/>
      <c r="D2" s="3684"/>
      <c r="E2" s="3684"/>
      <c r="F2" s="3684"/>
      <c r="G2" s="3684"/>
      <c r="H2" s="3684"/>
      <c r="I2" s="3684"/>
      <c r="J2" s="1176"/>
      <c r="K2" s="805"/>
      <c r="L2" s="1180"/>
      <c r="M2" s="287"/>
    </row>
    <row r="3" spans="1:14" ht="45" customHeight="1">
      <c r="A3" s="360"/>
      <c r="B3" s="385"/>
      <c r="C3" s="1177">
        <f>SUBTOTAL(9,C5:C308)</f>
        <v>250740</v>
      </c>
      <c r="D3" s="849"/>
      <c r="E3" s="849"/>
      <c r="F3" s="199"/>
      <c r="G3" s="199"/>
      <c r="H3" s="202"/>
      <c r="I3" s="3686">
        <f ca="1">TODAY()</f>
        <v>45988</v>
      </c>
      <c r="J3" s="3686"/>
      <c r="K3" s="808"/>
      <c r="L3" s="287"/>
      <c r="M3" s="287"/>
    </row>
    <row r="4" spans="1:14" s="7" customFormat="1" ht="34">
      <c r="A4" s="810" t="s">
        <v>48</v>
      </c>
      <c r="B4" s="679" t="s">
        <v>380</v>
      </c>
      <c r="C4" s="1178" t="s">
        <v>50</v>
      </c>
      <c r="D4" s="679" t="s">
        <v>51</v>
      </c>
      <c r="E4" s="679" t="s">
        <v>53</v>
      </c>
      <c r="F4" s="679" t="s">
        <v>55</v>
      </c>
      <c r="G4" s="679" t="s">
        <v>56</v>
      </c>
      <c r="H4" s="812" t="s">
        <v>57</v>
      </c>
      <c r="I4" s="679" t="s">
        <v>58</v>
      </c>
      <c r="J4" s="679" t="s">
        <v>52</v>
      </c>
      <c r="K4" s="813" t="s">
        <v>381</v>
      </c>
      <c r="L4" s="325" t="s">
        <v>382</v>
      </c>
      <c r="M4" s="1283" t="e">
        <f>SUM(#REF!)</f>
        <v>#REF!</v>
      </c>
    </row>
    <row r="5" spans="1:14" s="367" customFormat="1" ht="129.1" customHeight="1">
      <c r="A5" s="362" cm="1">
        <f t="array" ref="A5:A64">_xlfn.SEQUENCE(60,1,1,)</f>
        <v>1</v>
      </c>
      <c r="B5" s="1271" t="s">
        <v>741</v>
      </c>
      <c r="C5" s="1270">
        <v>6700</v>
      </c>
      <c r="D5" s="1271" t="s">
        <v>267</v>
      </c>
      <c r="E5" s="1271" t="s">
        <v>878</v>
      </c>
      <c r="F5" s="185" t="s">
        <v>65</v>
      </c>
      <c r="G5" s="185" t="s">
        <v>106</v>
      </c>
      <c r="H5" s="1276" t="s">
        <v>879</v>
      </c>
      <c r="I5" s="1278" t="s">
        <v>880</v>
      </c>
      <c r="J5" s="72" t="s">
        <v>18</v>
      </c>
      <c r="K5" s="1272"/>
      <c r="L5" s="72"/>
      <c r="M5" s="1279">
        <f>C5</f>
        <v>6700</v>
      </c>
      <c r="N5" s="336"/>
    </row>
    <row r="6" spans="1:14" s="367" customFormat="1" ht="96.8" customHeight="1">
      <c r="A6" s="362">
        <v>2</v>
      </c>
      <c r="B6" s="1271" t="s">
        <v>320</v>
      </c>
      <c r="C6" s="1270">
        <v>16000</v>
      </c>
      <c r="D6" s="1271" t="s">
        <v>267</v>
      </c>
      <c r="E6" s="1271" t="s">
        <v>881</v>
      </c>
      <c r="F6" s="185" t="s">
        <v>65</v>
      </c>
      <c r="G6" s="185" t="s">
        <v>213</v>
      </c>
      <c r="H6" s="1276" t="s">
        <v>882</v>
      </c>
      <c r="I6" s="1278" t="s">
        <v>883</v>
      </c>
      <c r="J6" s="72" t="s">
        <v>88</v>
      </c>
      <c r="K6" s="1272"/>
      <c r="L6" s="72"/>
      <c r="M6" s="1279"/>
      <c r="N6" s="336"/>
    </row>
    <row r="7" spans="1:14" s="367" customFormat="1" ht="129.75" customHeight="1">
      <c r="A7" s="362">
        <v>3</v>
      </c>
      <c r="B7" s="1271" t="s">
        <v>407</v>
      </c>
      <c r="C7" s="1270">
        <v>10200</v>
      </c>
      <c r="D7" s="1271" t="s">
        <v>267</v>
      </c>
      <c r="E7" s="1271" t="s">
        <v>884</v>
      </c>
      <c r="F7" s="185" t="s">
        <v>65</v>
      </c>
      <c r="G7" s="185" t="s">
        <v>106</v>
      </c>
      <c r="H7" s="1276" t="s">
        <v>885</v>
      </c>
      <c r="I7" s="1278"/>
      <c r="J7" s="72" t="s">
        <v>88</v>
      </c>
      <c r="K7" s="1272"/>
      <c r="L7" s="72">
        <f>C7-2150-1450-2000-750-1000-3000</f>
        <v>-150</v>
      </c>
      <c r="M7" s="1279"/>
      <c r="N7" s="336"/>
    </row>
    <row r="8" spans="1:14" s="367" customFormat="1" ht="149.94999999999999" customHeight="1">
      <c r="A8" s="362">
        <v>4</v>
      </c>
      <c r="B8" s="1271" t="s">
        <v>738</v>
      </c>
      <c r="C8" s="1270">
        <v>16300</v>
      </c>
      <c r="D8" s="1271" t="s">
        <v>292</v>
      </c>
      <c r="E8" s="1271" t="s">
        <v>886</v>
      </c>
      <c r="F8" s="185" t="s">
        <v>65</v>
      </c>
      <c r="G8" s="185" t="s">
        <v>213</v>
      </c>
      <c r="H8" s="1276" t="s">
        <v>887</v>
      </c>
      <c r="I8" s="1278"/>
      <c r="J8" s="72" t="s">
        <v>88</v>
      </c>
      <c r="K8" s="1272"/>
      <c r="L8" s="72">
        <f>16300-2000-2840-7030-550</f>
        <v>3880</v>
      </c>
      <c r="M8" s="1279"/>
      <c r="N8" s="336"/>
    </row>
    <row r="9" spans="1:14" s="367" customFormat="1" ht="48.1" customHeight="1">
      <c r="A9" s="362">
        <v>5</v>
      </c>
      <c r="B9" s="1271" t="s">
        <v>888</v>
      </c>
      <c r="C9" s="1270">
        <v>6250</v>
      </c>
      <c r="D9" s="1271" t="s">
        <v>267</v>
      </c>
      <c r="E9" s="1271" t="s">
        <v>889</v>
      </c>
      <c r="F9" s="185" t="s">
        <v>65</v>
      </c>
      <c r="G9" s="185" t="s">
        <v>213</v>
      </c>
      <c r="H9" s="1276" t="s">
        <v>890</v>
      </c>
      <c r="I9" s="1278" t="s">
        <v>891</v>
      </c>
      <c r="J9" s="72" t="s">
        <v>24</v>
      </c>
      <c r="K9" s="1272"/>
      <c r="L9" s="72"/>
      <c r="M9" s="1279"/>
      <c r="N9" s="336"/>
    </row>
    <row r="10" spans="1:14" s="367" customFormat="1" ht="68.3" customHeight="1">
      <c r="A10" s="362">
        <v>6</v>
      </c>
      <c r="B10" s="1271" t="s">
        <v>315</v>
      </c>
      <c r="C10" s="1270">
        <v>4200</v>
      </c>
      <c r="D10" s="1271" t="s">
        <v>267</v>
      </c>
      <c r="E10" s="1271" t="s">
        <v>892</v>
      </c>
      <c r="F10" s="185" t="s">
        <v>65</v>
      </c>
      <c r="G10" s="185" t="s">
        <v>213</v>
      </c>
      <c r="H10" s="1276" t="s">
        <v>893</v>
      </c>
      <c r="I10" s="1280" t="s">
        <v>891</v>
      </c>
      <c r="J10" s="72" t="s">
        <v>22</v>
      </c>
      <c r="K10" s="1272"/>
      <c r="L10" s="72"/>
      <c r="M10" s="1281"/>
      <c r="N10" s="336"/>
    </row>
    <row r="11" spans="1:14" s="367" customFormat="1" ht="141.80000000000001" customHeight="1">
      <c r="A11" s="362">
        <v>7</v>
      </c>
      <c r="B11" s="1271" t="s">
        <v>741</v>
      </c>
      <c r="C11" s="1270">
        <v>6700</v>
      </c>
      <c r="D11" s="1271" t="s">
        <v>267</v>
      </c>
      <c r="E11" s="1271" t="s">
        <v>894</v>
      </c>
      <c r="F11" s="185" t="s">
        <v>65</v>
      </c>
      <c r="G11" s="185" t="s">
        <v>106</v>
      </c>
      <c r="H11" s="1276" t="s">
        <v>895</v>
      </c>
      <c r="I11" s="1280" t="s">
        <v>896</v>
      </c>
      <c r="J11" s="72" t="s">
        <v>18</v>
      </c>
      <c r="K11" s="1272"/>
      <c r="L11" s="72"/>
      <c r="M11" s="1281"/>
      <c r="N11" s="336"/>
    </row>
    <row r="12" spans="1:14" s="367" customFormat="1" ht="197.35" customHeight="1">
      <c r="A12" s="362">
        <v>8</v>
      </c>
      <c r="B12" s="1271" t="s">
        <v>897</v>
      </c>
      <c r="C12" s="1270">
        <v>12400</v>
      </c>
      <c r="D12" s="1271" t="s">
        <v>267</v>
      </c>
      <c r="E12" s="1271" t="s">
        <v>898</v>
      </c>
      <c r="F12" s="185" t="s">
        <v>65</v>
      </c>
      <c r="G12" s="185" t="s">
        <v>213</v>
      </c>
      <c r="H12" s="1276" t="s">
        <v>899</v>
      </c>
      <c r="I12" s="1280" t="s">
        <v>900</v>
      </c>
      <c r="J12" s="72" t="s">
        <v>88</v>
      </c>
      <c r="K12" s="1272"/>
      <c r="L12" s="72">
        <f>12400-1000-1500-2500-5220</f>
        <v>2180</v>
      </c>
      <c r="M12" s="1281"/>
      <c r="N12" s="336">
        <f>9100-3880</f>
        <v>5220</v>
      </c>
    </row>
    <row r="13" spans="1:14" s="367" customFormat="1" ht="176.3" customHeight="1">
      <c r="A13" s="362">
        <v>9</v>
      </c>
      <c r="B13" s="1271" t="s">
        <v>320</v>
      </c>
      <c r="C13" s="1270">
        <v>16000</v>
      </c>
      <c r="D13" s="1271" t="s">
        <v>292</v>
      </c>
      <c r="E13" s="1271" t="s">
        <v>901</v>
      </c>
      <c r="F13" s="185" t="s">
        <v>65</v>
      </c>
      <c r="G13" s="185" t="s">
        <v>106</v>
      </c>
      <c r="H13" s="1276" t="s">
        <v>902</v>
      </c>
      <c r="I13" s="1280" t="s">
        <v>903</v>
      </c>
      <c r="J13" s="72" t="s">
        <v>88</v>
      </c>
      <c r="K13" s="1272"/>
      <c r="L13" s="72">
        <f>C13-(2000+7000+5000+400+1000)</f>
        <v>600</v>
      </c>
      <c r="M13" s="1281"/>
      <c r="N13" s="336"/>
    </row>
    <row r="14" spans="1:14" s="367" customFormat="1" ht="185.95" customHeight="1">
      <c r="A14" s="362">
        <v>10</v>
      </c>
      <c r="B14" s="1271" t="s">
        <v>407</v>
      </c>
      <c r="C14" s="1270">
        <v>10200</v>
      </c>
      <c r="D14" s="1271" t="s">
        <v>292</v>
      </c>
      <c r="E14" s="1271" t="s">
        <v>904</v>
      </c>
      <c r="F14" s="185" t="s">
        <v>65</v>
      </c>
      <c r="G14" s="185" t="s">
        <v>213</v>
      </c>
      <c r="H14" s="1276" t="s">
        <v>905</v>
      </c>
      <c r="I14" s="1280" t="s">
        <v>906</v>
      </c>
      <c r="J14" s="72" t="s">
        <v>88</v>
      </c>
      <c r="K14" s="1272"/>
      <c r="L14" s="72">
        <f>10200-2100-1200-500-2500-2500-150-960</f>
        <v>290</v>
      </c>
      <c r="M14" s="1281"/>
      <c r="N14" s="336"/>
    </row>
    <row r="15" spans="1:14" s="1249" customFormat="1" ht="132.80000000000001" customHeight="1">
      <c r="A15" s="1284">
        <v>11</v>
      </c>
      <c r="B15" s="17" t="s">
        <v>738</v>
      </c>
      <c r="C15" s="1285">
        <v>16300</v>
      </c>
      <c r="D15" s="1286" t="s">
        <v>292</v>
      </c>
      <c r="E15" s="23" t="s">
        <v>907</v>
      </c>
      <c r="F15" s="1287" t="s">
        <v>65</v>
      </c>
      <c r="G15" s="17" t="s">
        <v>213</v>
      </c>
      <c r="H15" s="1314" t="s">
        <v>908</v>
      </c>
      <c r="I15" s="1288" t="s">
        <v>909</v>
      </c>
      <c r="J15" s="17" t="s">
        <v>88</v>
      </c>
      <c r="K15" s="1289"/>
      <c r="L15" s="17">
        <f>16300-3200-970-3200-430-5000</f>
        <v>3500</v>
      </c>
      <c r="N15" s="1251"/>
    </row>
    <row r="16" spans="1:14" s="1249" customFormat="1" ht="77.95" customHeight="1">
      <c r="A16" s="1284">
        <v>12</v>
      </c>
      <c r="B16" s="17" t="s">
        <v>741</v>
      </c>
      <c r="C16" s="1285">
        <v>6770</v>
      </c>
      <c r="D16" s="1292" t="s">
        <v>292</v>
      </c>
      <c r="E16" s="23" t="s">
        <v>910</v>
      </c>
      <c r="F16" s="1287" t="s">
        <v>65</v>
      </c>
      <c r="G16" s="17" t="s">
        <v>106</v>
      </c>
      <c r="H16" s="1314" t="s">
        <v>911</v>
      </c>
      <c r="I16" s="1288" t="s">
        <v>912</v>
      </c>
      <c r="J16" s="17" t="s">
        <v>18</v>
      </c>
      <c r="K16" s="1289"/>
      <c r="L16" s="17"/>
      <c r="N16" s="1251"/>
    </row>
    <row r="17" spans="1:14" s="1249" customFormat="1" ht="66.099999999999994" customHeight="1">
      <c r="A17" s="1284">
        <v>13</v>
      </c>
      <c r="B17" s="17" t="s">
        <v>315</v>
      </c>
      <c r="C17" s="1285">
        <v>4200</v>
      </c>
      <c r="D17" s="1292" t="s">
        <v>292</v>
      </c>
      <c r="E17" s="23" t="s">
        <v>913</v>
      </c>
      <c r="F17" s="1287" t="s">
        <v>65</v>
      </c>
      <c r="G17" s="17" t="s">
        <v>164</v>
      </c>
      <c r="H17" s="1314" t="s">
        <v>914</v>
      </c>
      <c r="I17" s="1288"/>
      <c r="J17" s="17" t="s">
        <v>22</v>
      </c>
      <c r="K17" s="1289"/>
      <c r="L17" s="17"/>
      <c r="N17" s="1251"/>
    </row>
    <row r="18" spans="1:14" s="1249" customFormat="1" ht="66.099999999999994" customHeight="1">
      <c r="A18" s="1284">
        <v>14</v>
      </c>
      <c r="B18" s="17" t="s">
        <v>284</v>
      </c>
      <c r="C18" s="1285">
        <v>6000</v>
      </c>
      <c r="D18" s="1292" t="s">
        <v>292</v>
      </c>
      <c r="E18" s="23" t="s">
        <v>915</v>
      </c>
      <c r="F18" s="1287" t="s">
        <v>65</v>
      </c>
      <c r="G18" s="17" t="s">
        <v>117</v>
      </c>
      <c r="H18" s="1314" t="s">
        <v>916</v>
      </c>
      <c r="I18" s="1288"/>
      <c r="J18" s="17" t="s">
        <v>18</v>
      </c>
      <c r="K18" s="1289"/>
      <c r="L18" s="17"/>
      <c r="N18" s="1251"/>
    </row>
    <row r="19" spans="1:14" s="1249" customFormat="1" ht="129.75" customHeight="1">
      <c r="A19" s="1284">
        <v>15</v>
      </c>
      <c r="B19" s="17" t="s">
        <v>407</v>
      </c>
      <c r="C19" s="1285">
        <v>10200</v>
      </c>
      <c r="D19" s="1292" t="s">
        <v>292</v>
      </c>
      <c r="E19" s="1295"/>
      <c r="F19" s="1287" t="s">
        <v>65</v>
      </c>
      <c r="G19" s="17" t="s">
        <v>106</v>
      </c>
      <c r="H19" s="21" t="s">
        <v>917</v>
      </c>
      <c r="I19" s="1296" t="s">
        <v>918</v>
      </c>
      <c r="J19" s="17" t="s">
        <v>88</v>
      </c>
      <c r="K19" s="1289"/>
      <c r="L19" s="1297">
        <f>C19-4950-2000</f>
        <v>3250</v>
      </c>
      <c r="N19" s="1251"/>
    </row>
    <row r="20" spans="1:14" s="1249" customFormat="1" ht="153.69999999999999" customHeight="1">
      <c r="A20" s="1284">
        <v>16</v>
      </c>
      <c r="B20" s="17" t="s">
        <v>919</v>
      </c>
      <c r="C20" s="1285">
        <v>16000</v>
      </c>
      <c r="D20" s="1292" t="s">
        <v>292</v>
      </c>
      <c r="E20" s="23" t="s">
        <v>920</v>
      </c>
      <c r="F20" s="1287" t="s">
        <v>65</v>
      </c>
      <c r="G20" s="17" t="s">
        <v>213</v>
      </c>
      <c r="H20" s="21" t="s">
        <v>921</v>
      </c>
      <c r="I20" s="1298" t="s">
        <v>292</v>
      </c>
      <c r="J20" s="17" t="s">
        <v>88</v>
      </c>
      <c r="K20" s="1289"/>
      <c r="L20" s="17"/>
      <c r="N20" s="1251"/>
    </row>
    <row r="21" spans="1:14" s="367" customFormat="1" ht="81.7" customHeight="1">
      <c r="A21" s="362">
        <v>17</v>
      </c>
      <c r="B21" s="72" t="s">
        <v>741</v>
      </c>
      <c r="C21" s="1308">
        <v>6770</v>
      </c>
      <c r="D21" s="1309" t="s">
        <v>292</v>
      </c>
      <c r="E21" s="97" t="s">
        <v>922</v>
      </c>
      <c r="F21" s="185" t="s">
        <v>65</v>
      </c>
      <c r="G21" s="97" t="s">
        <v>213</v>
      </c>
      <c r="H21" s="74" t="s">
        <v>923</v>
      </c>
      <c r="I21" s="1310" t="s">
        <v>924</v>
      </c>
      <c r="J21" s="72" t="s">
        <v>18</v>
      </c>
      <c r="K21" s="1272"/>
      <c r="L21" s="1273">
        <f>C21-4800-1976</f>
        <v>-6</v>
      </c>
      <c r="N21" s="336"/>
    </row>
    <row r="22" spans="1:14" s="659" customFormat="1" ht="221.95" customHeight="1">
      <c r="A22" s="1299">
        <v>18</v>
      </c>
      <c r="B22" s="1300" t="s">
        <v>719</v>
      </c>
      <c r="C22" s="1301">
        <v>16000</v>
      </c>
      <c r="D22" s="1302" t="s">
        <v>394</v>
      </c>
      <c r="E22" s="1302" t="s">
        <v>720</v>
      </c>
      <c r="F22" s="1303" t="s">
        <v>65</v>
      </c>
      <c r="G22" s="1300" t="s">
        <v>213</v>
      </c>
      <c r="H22" s="1304" t="s">
        <v>721</v>
      </c>
      <c r="I22" s="3689" t="s">
        <v>925</v>
      </c>
      <c r="J22" s="1300" t="s">
        <v>88</v>
      </c>
      <c r="K22" s="1306"/>
      <c r="L22" s="1305">
        <f>C22-2270-1500-1972-4800-1700-1000</f>
        <v>2758</v>
      </c>
      <c r="N22" s="841"/>
    </row>
    <row r="23" spans="1:14" s="659" customFormat="1" ht="139.6" customHeight="1">
      <c r="A23" s="1299">
        <v>19</v>
      </c>
      <c r="B23" s="1300" t="s">
        <v>320</v>
      </c>
      <c r="C23" s="1301">
        <v>16000</v>
      </c>
      <c r="D23" s="1302" t="s">
        <v>394</v>
      </c>
      <c r="E23" s="1302" t="s">
        <v>723</v>
      </c>
      <c r="F23" s="1303" t="s">
        <v>65</v>
      </c>
      <c r="G23" s="1300" t="s">
        <v>213</v>
      </c>
      <c r="H23" s="1304" t="s">
        <v>926</v>
      </c>
      <c r="I23" s="3690"/>
      <c r="J23" s="1300" t="s">
        <v>88</v>
      </c>
      <c r="K23" s="1306"/>
      <c r="L23" s="1305"/>
      <c r="N23" s="841"/>
    </row>
    <row r="24" spans="1:14" s="659" customFormat="1" ht="139.6" customHeight="1">
      <c r="A24" s="1299">
        <v>20</v>
      </c>
      <c r="B24" s="1300" t="s">
        <v>407</v>
      </c>
      <c r="C24" s="1301">
        <v>10200</v>
      </c>
      <c r="D24" s="1302" t="s">
        <v>394</v>
      </c>
      <c r="E24" s="1302" t="s">
        <v>725</v>
      </c>
      <c r="F24" s="1303" t="s">
        <v>65</v>
      </c>
      <c r="G24" s="1300" t="s">
        <v>726</v>
      </c>
      <c r="H24" s="1304" t="s">
        <v>927</v>
      </c>
      <c r="I24" s="3690"/>
      <c r="J24" s="1300" t="s">
        <v>88</v>
      </c>
      <c r="K24" s="1306"/>
      <c r="L24" s="1305">
        <f>C24-3100-3000-1000-2000</f>
        <v>1100</v>
      </c>
      <c r="N24" s="841"/>
    </row>
    <row r="25" spans="1:14" s="1" customFormat="1" ht="78.8" customHeight="1">
      <c r="A25" s="360">
        <v>21</v>
      </c>
      <c r="B25" s="41" t="s">
        <v>353</v>
      </c>
      <c r="C25" s="1282">
        <v>11800</v>
      </c>
      <c r="D25" s="90" t="s">
        <v>928</v>
      </c>
      <c r="E25" s="90"/>
      <c r="F25" s="1254" t="s">
        <v>65</v>
      </c>
      <c r="G25" s="41" t="s">
        <v>213</v>
      </c>
      <c r="H25" s="1293" t="s">
        <v>929</v>
      </c>
      <c r="I25" s="3690"/>
      <c r="J25" s="41" t="s">
        <v>88</v>
      </c>
      <c r="K25" s="1290"/>
      <c r="L25" s="41"/>
      <c r="N25" s="3"/>
    </row>
    <row r="26" spans="1:14" s="1" customFormat="1" ht="103.6" customHeight="1">
      <c r="A26" s="360">
        <v>22</v>
      </c>
      <c r="B26" s="41" t="s">
        <v>738</v>
      </c>
      <c r="C26" s="1282">
        <v>16300</v>
      </c>
      <c r="D26" s="90" t="s">
        <v>930</v>
      </c>
      <c r="E26" s="90" t="s">
        <v>931</v>
      </c>
      <c r="F26" s="1254" t="s">
        <v>65</v>
      </c>
      <c r="G26" s="41" t="s">
        <v>213</v>
      </c>
      <c r="H26" s="1293" t="s">
        <v>932</v>
      </c>
      <c r="I26" s="3690"/>
      <c r="J26" s="41" t="s">
        <v>88</v>
      </c>
      <c r="K26" s="1290"/>
      <c r="L26" s="1307">
        <f>1200+3000+2500+1000</f>
        <v>7700</v>
      </c>
      <c r="N26" s="3"/>
    </row>
    <row r="27" spans="1:14" s="1" customFormat="1" ht="32.950000000000003" customHeight="1">
      <c r="A27" s="360">
        <v>23</v>
      </c>
      <c r="B27" s="41" t="s">
        <v>734</v>
      </c>
      <c r="C27" s="1282">
        <v>5000</v>
      </c>
      <c r="D27" s="90" t="s">
        <v>933</v>
      </c>
      <c r="E27" s="90" t="s">
        <v>934</v>
      </c>
      <c r="F27" s="1254" t="s">
        <v>65</v>
      </c>
      <c r="G27" s="90" t="s">
        <v>327</v>
      </c>
      <c r="H27" s="507" t="s">
        <v>736</v>
      </c>
      <c r="I27" s="3690"/>
      <c r="J27" s="41" t="s">
        <v>428</v>
      </c>
      <c r="K27" s="1275"/>
      <c r="L27" s="1291"/>
      <c r="N27" s="3"/>
    </row>
    <row r="28" spans="1:14" s="1" customFormat="1" ht="50.95" customHeight="1">
      <c r="A28" s="360">
        <v>24</v>
      </c>
      <c r="B28" s="41" t="s">
        <v>315</v>
      </c>
      <c r="C28" s="1282">
        <v>4250</v>
      </c>
      <c r="D28" s="90" t="s">
        <v>933</v>
      </c>
      <c r="E28" s="1294"/>
      <c r="F28" s="1254" t="s">
        <v>65</v>
      </c>
      <c r="G28" s="90" t="s">
        <v>730</v>
      </c>
      <c r="H28" s="507" t="s">
        <v>731</v>
      </c>
      <c r="I28" s="3691"/>
      <c r="J28" s="41" t="s">
        <v>22</v>
      </c>
      <c r="K28" s="1275"/>
      <c r="L28" s="41"/>
      <c r="N28" s="3"/>
    </row>
    <row r="29" spans="1:14" s="1" customFormat="1" ht="45.7" customHeight="1">
      <c r="A29" s="359">
        <v>25</v>
      </c>
      <c r="C29" s="1179"/>
      <c r="D29" s="271"/>
      <c r="E29" s="271"/>
      <c r="H29" s="9"/>
      <c r="K29" s="804"/>
      <c r="N29" s="3"/>
    </row>
    <row r="30" spans="1:14" s="1" customFormat="1">
      <c r="A30" s="359">
        <v>26</v>
      </c>
      <c r="C30" s="1179"/>
      <c r="D30" s="271"/>
      <c r="E30" s="271"/>
      <c r="G30" s="271" t="s">
        <v>106</v>
      </c>
      <c r="H30" s="9" t="s">
        <v>935</v>
      </c>
      <c r="K30" s="804"/>
      <c r="N30" s="3"/>
    </row>
    <row r="31" spans="1:14" s="1" customFormat="1">
      <c r="A31" s="359">
        <v>27</v>
      </c>
      <c r="C31" s="1179"/>
      <c r="D31" s="271"/>
      <c r="E31" s="271"/>
      <c r="H31" s="9" t="s">
        <v>936</v>
      </c>
      <c r="K31" s="804"/>
      <c r="N31" s="3"/>
    </row>
    <row r="32" spans="1:14" s="1" customFormat="1" ht="55.05">
      <c r="A32" s="359">
        <v>28</v>
      </c>
      <c r="C32" s="1179"/>
      <c r="D32" s="271"/>
      <c r="E32" s="271"/>
      <c r="H32" s="475" t="s">
        <v>937</v>
      </c>
      <c r="K32" s="804"/>
      <c r="N32" s="3"/>
    </row>
    <row r="33" spans="1:14" s="1" customFormat="1">
      <c r="A33" s="359">
        <v>29</v>
      </c>
      <c r="C33" s="1179"/>
      <c r="D33" s="271"/>
      <c r="E33" s="271"/>
      <c r="H33" s="9"/>
      <c r="K33" s="804"/>
      <c r="N33" s="3"/>
    </row>
    <row r="34" spans="1:14" s="1" customFormat="1">
      <c r="A34" s="359">
        <v>30</v>
      </c>
      <c r="C34" s="1179"/>
      <c r="D34" s="271"/>
      <c r="E34" s="271"/>
      <c r="H34" s="9" t="s">
        <v>938</v>
      </c>
      <c r="K34" s="804"/>
      <c r="N34" s="3"/>
    </row>
    <row r="35" spans="1:14" s="1" customFormat="1">
      <c r="A35" s="359">
        <v>31</v>
      </c>
      <c r="C35" s="1179"/>
      <c r="D35" s="271"/>
      <c r="E35" s="271"/>
      <c r="G35" s="1" t="s">
        <v>164</v>
      </c>
      <c r="H35" s="9" t="s">
        <v>939</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6" priority="8"/>
  </conditionalFormatting>
  <conditionalFormatting sqref="A4">
    <cfRule type="duplicateValues" dxfId="845" priority="4"/>
  </conditionalFormatting>
  <conditionalFormatting sqref="B3">
    <cfRule type="duplicateValues" dxfId="844" priority="5"/>
    <cfRule type="duplicateValues" dxfId="843" priority="6"/>
    <cfRule type="duplicateValues" dxfId="842" priority="7"/>
  </conditionalFormatting>
  <conditionalFormatting sqref="B4">
    <cfRule type="duplicateValues" dxfId="841" priority="1"/>
    <cfRule type="duplicateValues" dxfId="840" priority="2"/>
    <cfRule type="duplicateValues" dxfId="839"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375" style="9" customWidth="1"/>
    <col min="9" max="9" width="52.875" style="9" customWidth="1"/>
    <col min="10" max="10" width="25.625" style="1" customWidth="1"/>
    <col min="11" max="11" width="10.25" style="804" customWidth="1"/>
    <col min="12" max="12" width="25.625" style="3" customWidth="1"/>
    <col min="13" max="13" width="15.375" style="3" customWidth="1"/>
    <col min="14" max="14" width="34.625" style="3" customWidth="1"/>
    <col min="15" max="16384" width="25.625" style="3"/>
  </cols>
  <sheetData>
    <row r="1" spans="1:13" ht="17.350000000000001" customHeight="1">
      <c r="B1" s="10"/>
      <c r="C1" s="3671"/>
      <c r="D1" s="3671"/>
      <c r="E1" s="3671"/>
      <c r="F1" s="3671"/>
      <c r="G1" s="3671"/>
      <c r="H1" s="3671"/>
      <c r="I1" s="3671"/>
    </row>
    <row r="2" spans="1:13" ht="34.5" customHeight="1">
      <c r="A2" s="3684" t="s">
        <v>940</v>
      </c>
      <c r="B2" s="3684"/>
      <c r="C2" s="3684"/>
      <c r="D2" s="3684"/>
      <c r="E2" s="3684"/>
      <c r="F2" s="3684"/>
      <c r="G2" s="3684"/>
      <c r="H2" s="3684"/>
      <c r="I2" s="3684"/>
      <c r="J2" s="1116" t="s">
        <v>941</v>
      </c>
      <c r="K2" s="805"/>
      <c r="L2" s="196"/>
      <c r="M2" s="197"/>
    </row>
    <row r="3" spans="1:13" ht="13.6" customHeight="1">
      <c r="A3" s="360"/>
      <c r="B3" s="385"/>
      <c r="C3" s="806">
        <f>SUBTOTAL(9,C5:C390)</f>
        <v>181349</v>
      </c>
      <c r="D3" s="378"/>
      <c r="E3" s="849"/>
      <c r="F3" s="201"/>
      <c r="G3" s="199"/>
      <c r="H3" s="202"/>
      <c r="I3" s="3686">
        <f ca="1">TODAY()</f>
        <v>45988</v>
      </c>
      <c r="J3" s="3686"/>
      <c r="K3" s="808"/>
      <c r="L3" s="197"/>
      <c r="M3" s="197"/>
    </row>
    <row r="4" spans="1:13" s="7" customFormat="1" ht="50.95">
      <c r="A4" s="810" t="s">
        <v>48</v>
      </c>
      <c r="B4" s="679" t="s">
        <v>380</v>
      </c>
      <c r="C4" s="811" t="s">
        <v>50</v>
      </c>
      <c r="D4" s="679" t="s">
        <v>51</v>
      </c>
      <c r="E4" s="679" t="s">
        <v>53</v>
      </c>
      <c r="F4" s="679" t="s">
        <v>55</v>
      </c>
      <c r="G4" s="679" t="s">
        <v>56</v>
      </c>
      <c r="H4" s="812" t="s">
        <v>57</v>
      </c>
      <c r="I4" s="679" t="s">
        <v>58</v>
      </c>
      <c r="J4" s="679" t="s">
        <v>52</v>
      </c>
      <c r="K4" s="813" t="s">
        <v>381</v>
      </c>
      <c r="L4" s="753" t="s">
        <v>382</v>
      </c>
      <c r="M4" s="754">
        <f>SUM(M5:M10)</f>
        <v>175829</v>
      </c>
    </row>
    <row r="5" spans="1:13" s="336" customFormat="1" ht="45" customHeight="1">
      <c r="A5" s="797" cm="1">
        <f t="array" ref="A5:A64">_xlfn.SEQUENCE(60,1,1,)</f>
        <v>1</v>
      </c>
      <c r="B5" s="87" t="s">
        <v>560</v>
      </c>
      <c r="C5" s="94">
        <v>1150</v>
      </c>
      <c r="D5" s="133" t="s">
        <v>267</v>
      </c>
      <c r="E5" s="133" t="s">
        <v>942</v>
      </c>
      <c r="F5" s="91" t="s">
        <v>65</v>
      </c>
      <c r="G5" s="89" t="s">
        <v>213</v>
      </c>
      <c r="H5" s="108" t="s">
        <v>943</v>
      </c>
      <c r="I5" s="108"/>
      <c r="J5" s="87" t="s">
        <v>26</v>
      </c>
      <c r="K5" s="335">
        <f t="shared" ref="K5:K12" si="0">C5</f>
        <v>1150</v>
      </c>
      <c r="L5" s="1070" t="s">
        <v>555</v>
      </c>
      <c r="M5" s="242">
        <f t="shared" ref="M5:M10" si="1">SUMIF($J:$J,L5,K:K)</f>
        <v>8361</v>
      </c>
    </row>
    <row r="6" spans="1:13" s="336" customFormat="1" ht="48.75" customHeight="1">
      <c r="A6" s="797">
        <v>2</v>
      </c>
      <c r="B6" s="87" t="s">
        <v>677</v>
      </c>
      <c r="C6" s="94">
        <v>2950</v>
      </c>
      <c r="D6" s="133" t="s">
        <v>267</v>
      </c>
      <c r="E6" s="133" t="s">
        <v>944</v>
      </c>
      <c r="F6" s="91" t="s">
        <v>65</v>
      </c>
      <c r="G6" s="89" t="s">
        <v>213</v>
      </c>
      <c r="H6" s="93" t="s">
        <v>945</v>
      </c>
      <c r="I6" s="108" t="s">
        <v>946</v>
      </c>
      <c r="J6" s="87" t="s">
        <v>26</v>
      </c>
      <c r="K6" s="335">
        <f t="shared" si="0"/>
        <v>2950</v>
      </c>
      <c r="L6" s="1070" t="s">
        <v>22</v>
      </c>
      <c r="M6" s="242">
        <f t="shared" si="1"/>
        <v>56380</v>
      </c>
    </row>
    <row r="7" spans="1:13" s="367" customFormat="1" ht="55.05">
      <c r="A7" s="706">
        <v>3</v>
      </c>
      <c r="B7" s="129" t="s">
        <v>947</v>
      </c>
      <c r="C7" s="94">
        <v>4550</v>
      </c>
      <c r="D7" s="133" t="s">
        <v>267</v>
      </c>
      <c r="E7" s="133" t="s">
        <v>948</v>
      </c>
      <c r="F7" s="91" t="s">
        <v>65</v>
      </c>
      <c r="G7" s="89" t="s">
        <v>240</v>
      </c>
      <c r="H7" s="93" t="s">
        <v>949</v>
      </c>
      <c r="I7" s="93"/>
      <c r="J7" s="87" t="s">
        <v>24</v>
      </c>
      <c r="K7" s="335">
        <f t="shared" si="0"/>
        <v>4550</v>
      </c>
      <c r="L7" s="241" t="s">
        <v>88</v>
      </c>
      <c r="M7" s="242">
        <f t="shared" si="1"/>
        <v>34653</v>
      </c>
    </row>
    <row r="8" spans="1:13" s="336" customFormat="1" ht="48.75" customHeight="1">
      <c r="A8" s="786">
        <v>4</v>
      </c>
      <c r="B8" s="129" t="s">
        <v>950</v>
      </c>
      <c r="C8" s="94">
        <v>4520</v>
      </c>
      <c r="D8" s="133" t="s">
        <v>267</v>
      </c>
      <c r="E8" s="133" t="s">
        <v>951</v>
      </c>
      <c r="F8" s="91" t="s">
        <v>65</v>
      </c>
      <c r="G8" s="89" t="s">
        <v>952</v>
      </c>
      <c r="H8" s="93" t="s">
        <v>953</v>
      </c>
      <c r="I8" s="1115" t="s">
        <v>954</v>
      </c>
      <c r="J8" s="87" t="s">
        <v>18</v>
      </c>
      <c r="K8" s="335">
        <f t="shared" si="0"/>
        <v>4520</v>
      </c>
      <c r="L8" s="247" t="s">
        <v>18</v>
      </c>
      <c r="M8" s="242">
        <f t="shared" si="1"/>
        <v>33160</v>
      </c>
    </row>
    <row r="9" spans="1:13" s="336" customFormat="1" ht="76.599999999999994" customHeight="1">
      <c r="A9" s="786">
        <v>5</v>
      </c>
      <c r="B9" s="129" t="s">
        <v>955</v>
      </c>
      <c r="C9" s="94">
        <v>3550</v>
      </c>
      <c r="D9" s="133" t="s">
        <v>267</v>
      </c>
      <c r="E9" s="133" t="s">
        <v>956</v>
      </c>
      <c r="F9" s="91" t="s">
        <v>65</v>
      </c>
      <c r="G9" s="87" t="s">
        <v>213</v>
      </c>
      <c r="H9" s="340" t="s">
        <v>957</v>
      </c>
      <c r="I9" s="1117">
        <f>3550-140-380-1600</f>
        <v>1430</v>
      </c>
      <c r="J9" s="113" t="s">
        <v>24</v>
      </c>
      <c r="K9" s="330">
        <f t="shared" si="0"/>
        <v>3550</v>
      </c>
      <c r="L9" s="177" t="s">
        <v>24</v>
      </c>
      <c r="M9" s="242">
        <f t="shared" si="1"/>
        <v>39175</v>
      </c>
    </row>
    <row r="10" spans="1:13" s="336" customFormat="1" ht="90" customHeight="1">
      <c r="A10" s="786">
        <v>6</v>
      </c>
      <c r="B10" s="129" t="s">
        <v>667</v>
      </c>
      <c r="C10" s="94">
        <v>3200</v>
      </c>
      <c r="D10" s="133" t="s">
        <v>267</v>
      </c>
      <c r="E10" s="133" t="s">
        <v>958</v>
      </c>
      <c r="F10" s="91" t="s">
        <v>65</v>
      </c>
      <c r="G10" s="87" t="s">
        <v>213</v>
      </c>
      <c r="H10" s="93" t="s">
        <v>959</v>
      </c>
      <c r="I10" s="1118"/>
      <c r="J10" s="91" t="s">
        <v>22</v>
      </c>
      <c r="K10" s="1076">
        <f t="shared" si="0"/>
        <v>3200</v>
      </c>
      <c r="L10" s="698" t="s">
        <v>26</v>
      </c>
      <c r="M10" s="242">
        <f t="shared" si="1"/>
        <v>4100</v>
      </c>
    </row>
    <row r="11" spans="1:13" s="150" customFormat="1" ht="80.349999999999994" customHeight="1">
      <c r="A11" s="706">
        <v>7</v>
      </c>
      <c r="B11" s="87" t="s">
        <v>556</v>
      </c>
      <c r="C11" s="94">
        <v>2915</v>
      </c>
      <c r="D11" s="133" t="s">
        <v>267</v>
      </c>
      <c r="E11" s="133" t="s">
        <v>960</v>
      </c>
      <c r="F11" s="91" t="s">
        <v>65</v>
      </c>
      <c r="G11" s="87" t="s">
        <v>117</v>
      </c>
      <c r="H11" s="93" t="s">
        <v>961</v>
      </c>
      <c r="I11" s="1119"/>
      <c r="J11" s="87" t="s">
        <v>24</v>
      </c>
      <c r="K11" s="335">
        <f t="shared" si="0"/>
        <v>2915</v>
      </c>
      <c r="L11" s="336"/>
      <c r="M11" s="336"/>
    </row>
    <row r="12" spans="1:13" s="336" customFormat="1" ht="76.599999999999994" customHeight="1">
      <c r="A12" s="786">
        <v>8</v>
      </c>
      <c r="B12" s="129" t="s">
        <v>962</v>
      </c>
      <c r="C12" s="94">
        <v>4500</v>
      </c>
      <c r="D12" s="133" t="s">
        <v>267</v>
      </c>
      <c r="E12" s="133" t="s">
        <v>963</v>
      </c>
      <c r="F12" s="91" t="s">
        <v>263</v>
      </c>
      <c r="G12" s="133" t="s">
        <v>964</v>
      </c>
      <c r="H12" s="93" t="s">
        <v>965</v>
      </c>
      <c r="I12" s="1118"/>
      <c r="J12" s="87" t="s">
        <v>22</v>
      </c>
      <c r="K12" s="335">
        <f t="shared" si="0"/>
        <v>4500</v>
      </c>
    </row>
    <row r="13" spans="1:13" s="336" customFormat="1" ht="100.55" customHeight="1">
      <c r="A13" s="789">
        <v>9</v>
      </c>
      <c r="B13" s="1120" t="s">
        <v>966</v>
      </c>
      <c r="C13" s="94">
        <v>7650</v>
      </c>
      <c r="D13" s="133" t="s">
        <v>267</v>
      </c>
      <c r="E13" s="133" t="s">
        <v>967</v>
      </c>
      <c r="F13" s="91" t="s">
        <v>65</v>
      </c>
      <c r="G13" s="87" t="s">
        <v>968</v>
      </c>
      <c r="H13" s="93" t="s">
        <v>969</v>
      </c>
      <c r="I13" s="1121"/>
      <c r="J13" s="87" t="s">
        <v>18</v>
      </c>
      <c r="K13" s="335">
        <f>C13-730-1900-1390-1500</f>
        <v>2130</v>
      </c>
    </row>
    <row r="14" spans="1:13" s="336" customFormat="1" ht="69.8" customHeight="1">
      <c r="A14" s="789">
        <v>10</v>
      </c>
      <c r="B14" s="1120" t="s">
        <v>567</v>
      </c>
      <c r="C14" s="94">
        <v>3400</v>
      </c>
      <c r="D14" s="133" t="s">
        <v>267</v>
      </c>
      <c r="E14" s="133" t="s">
        <v>970</v>
      </c>
      <c r="F14" s="91" t="s">
        <v>65</v>
      </c>
      <c r="G14" s="87" t="s">
        <v>782</v>
      </c>
      <c r="H14" s="93" t="s">
        <v>971</v>
      </c>
      <c r="I14" s="1122" t="s">
        <v>946</v>
      </c>
      <c r="J14" s="87" t="s">
        <v>88</v>
      </c>
      <c r="K14" s="335">
        <f t="shared" ref="K14:K52" si="2">C14</f>
        <v>3400</v>
      </c>
      <c r="L14" s="848">
        <f>C19-2700-750</f>
        <v>210</v>
      </c>
    </row>
    <row r="15" spans="1:13" s="336" customFormat="1" ht="92.25" customHeight="1">
      <c r="A15" s="786">
        <v>11</v>
      </c>
      <c r="B15" s="129" t="s">
        <v>972</v>
      </c>
      <c r="C15" s="94">
        <v>4650</v>
      </c>
      <c r="D15" s="133" t="s">
        <v>267</v>
      </c>
      <c r="E15" s="133" t="s">
        <v>973</v>
      </c>
      <c r="F15" s="91" t="s">
        <v>65</v>
      </c>
      <c r="G15" s="87" t="s">
        <v>974</v>
      </c>
      <c r="H15" s="93" t="s">
        <v>975</v>
      </c>
      <c r="I15" s="1118"/>
      <c r="J15" s="87" t="s">
        <v>18</v>
      </c>
      <c r="K15" s="335">
        <f t="shared" si="2"/>
        <v>4650</v>
      </c>
      <c r="L15" s="367"/>
      <c r="M15" s="1123"/>
    </row>
    <row r="16" spans="1:13" s="150" customFormat="1" ht="80.349999999999994" customHeight="1">
      <c r="A16" s="706">
        <v>12</v>
      </c>
      <c r="B16" s="1120" t="s">
        <v>603</v>
      </c>
      <c r="C16" s="94">
        <v>2787</v>
      </c>
      <c r="D16" s="133" t="s">
        <v>267</v>
      </c>
      <c r="E16" s="133" t="s">
        <v>976</v>
      </c>
      <c r="F16" s="91" t="s">
        <v>65</v>
      </c>
      <c r="G16" s="87" t="s">
        <v>213</v>
      </c>
      <c r="H16" s="93" t="s">
        <v>977</v>
      </c>
      <c r="I16" s="1122" t="s">
        <v>946</v>
      </c>
      <c r="J16" s="87" t="s">
        <v>555</v>
      </c>
      <c r="K16" s="335">
        <f t="shared" si="2"/>
        <v>2787</v>
      </c>
      <c r="L16" s="336"/>
      <c r="M16" s="336"/>
    </row>
    <row r="17" spans="1:13" s="150" customFormat="1" ht="77.3" customHeight="1">
      <c r="A17" s="706">
        <v>13</v>
      </c>
      <c r="B17" s="129" t="s">
        <v>978</v>
      </c>
      <c r="C17" s="94">
        <v>1900</v>
      </c>
      <c r="D17" s="133" t="s">
        <v>267</v>
      </c>
      <c r="E17" s="133" t="s">
        <v>979</v>
      </c>
      <c r="F17" s="91" t="s">
        <v>65</v>
      </c>
      <c r="G17" s="87" t="s">
        <v>213</v>
      </c>
      <c r="H17" s="93" t="s">
        <v>980</v>
      </c>
      <c r="I17" s="1124"/>
      <c r="J17" s="87" t="s">
        <v>18</v>
      </c>
      <c r="K17" s="335">
        <f t="shared" si="2"/>
        <v>1900</v>
      </c>
      <c r="L17" s="336"/>
      <c r="M17" s="336"/>
    </row>
    <row r="18" spans="1:13" s="150" customFormat="1" ht="60.8" customHeight="1">
      <c r="A18" s="706">
        <v>14</v>
      </c>
      <c r="B18" s="181" t="s">
        <v>630</v>
      </c>
      <c r="C18" s="94">
        <v>4000</v>
      </c>
      <c r="D18" s="133" t="s">
        <v>267</v>
      </c>
      <c r="E18" s="133" t="s">
        <v>981</v>
      </c>
      <c r="F18" s="91" t="s">
        <v>65</v>
      </c>
      <c r="G18" s="87" t="s">
        <v>213</v>
      </c>
      <c r="H18" s="93" t="s">
        <v>982</v>
      </c>
      <c r="I18" s="1125"/>
      <c r="J18" s="87" t="s">
        <v>88</v>
      </c>
      <c r="K18" s="335">
        <f t="shared" si="2"/>
        <v>4000</v>
      </c>
      <c r="L18" s="336"/>
      <c r="M18" s="336"/>
    </row>
    <row r="19" spans="1:13" s="150" customFormat="1" ht="51.8" customHeight="1">
      <c r="A19" s="904">
        <v>15</v>
      </c>
      <c r="B19" s="177" t="s">
        <v>983</v>
      </c>
      <c r="C19" s="186">
        <v>3660</v>
      </c>
      <c r="D19" s="133" t="s">
        <v>267</v>
      </c>
      <c r="E19" s="388" t="s">
        <v>984</v>
      </c>
      <c r="F19" s="180" t="s">
        <v>65</v>
      </c>
      <c r="G19" s="177" t="s">
        <v>142</v>
      </c>
      <c r="H19" s="188" t="s">
        <v>985</v>
      </c>
      <c r="I19" s="1126" t="s">
        <v>986</v>
      </c>
      <c r="J19" s="177" t="s">
        <v>24</v>
      </c>
      <c r="K19" s="1127">
        <f t="shared" si="2"/>
        <v>3660</v>
      </c>
    </row>
    <row r="20" spans="1:13" s="150" customFormat="1" ht="77.3" customHeight="1">
      <c r="A20" s="706">
        <v>16</v>
      </c>
      <c r="B20" s="1120" t="s">
        <v>987</v>
      </c>
      <c r="C20" s="94">
        <v>3180</v>
      </c>
      <c r="D20" s="133" t="s">
        <v>267</v>
      </c>
      <c r="E20" s="133" t="s">
        <v>988</v>
      </c>
      <c r="F20" s="91" t="s">
        <v>65</v>
      </c>
      <c r="G20" s="133" t="s">
        <v>964</v>
      </c>
      <c r="H20" s="93" t="s">
        <v>989</v>
      </c>
      <c r="I20" s="1121" t="s">
        <v>990</v>
      </c>
      <c r="J20" s="87" t="s">
        <v>22</v>
      </c>
      <c r="K20" s="335">
        <f t="shared" si="2"/>
        <v>3180</v>
      </c>
      <c r="L20" s="336"/>
      <c r="M20" s="336"/>
    </row>
    <row r="21" spans="1:13" s="367" customFormat="1" ht="98.35" customHeight="1">
      <c r="A21" s="797">
        <v>17</v>
      </c>
      <c r="B21" s="180" t="s">
        <v>991</v>
      </c>
      <c r="C21" s="120">
        <v>5500</v>
      </c>
      <c r="D21" s="133" t="s">
        <v>267</v>
      </c>
      <c r="E21" s="707" t="s">
        <v>992</v>
      </c>
      <c r="F21" s="91" t="s">
        <v>65</v>
      </c>
      <c r="G21" s="87" t="s">
        <v>213</v>
      </c>
      <c r="H21" s="119" t="s">
        <v>993</v>
      </c>
      <c r="I21" s="119"/>
      <c r="J21" s="91" t="s">
        <v>22</v>
      </c>
      <c r="K21" s="1076">
        <f t="shared" si="2"/>
        <v>5500</v>
      </c>
      <c r="L21" s="336"/>
      <c r="M21" s="336"/>
    </row>
    <row r="22" spans="1:13" s="150" customFormat="1" ht="90" customHeight="1">
      <c r="A22" s="706">
        <v>18</v>
      </c>
      <c r="B22" s="177" t="s">
        <v>622</v>
      </c>
      <c r="C22" s="94">
        <v>3500</v>
      </c>
      <c r="D22" s="133" t="s">
        <v>267</v>
      </c>
      <c r="E22" s="693" t="s">
        <v>994</v>
      </c>
      <c r="F22" s="87" t="s">
        <v>65</v>
      </c>
      <c r="G22" s="87" t="s">
        <v>213</v>
      </c>
      <c r="H22" s="93" t="s">
        <v>995</v>
      </c>
      <c r="I22" s="1113"/>
      <c r="J22" s="87" t="s">
        <v>22</v>
      </c>
      <c r="K22" s="335">
        <f t="shared" si="2"/>
        <v>3500</v>
      </c>
      <c r="L22" s="336"/>
      <c r="M22" s="336"/>
    </row>
    <row r="23" spans="1:13" s="855" customFormat="1" ht="73.55" customHeight="1">
      <c r="A23" s="706">
        <v>19</v>
      </c>
      <c r="B23" s="181" t="s">
        <v>709</v>
      </c>
      <c r="C23" s="186">
        <v>5500</v>
      </c>
      <c r="D23" s="693" t="s">
        <v>267</v>
      </c>
      <c r="E23" s="693" t="s">
        <v>996</v>
      </c>
      <c r="F23" s="180" t="s">
        <v>65</v>
      </c>
      <c r="G23" s="177" t="s">
        <v>213</v>
      </c>
      <c r="H23" s="188" t="s">
        <v>997</v>
      </c>
      <c r="I23" s="1126"/>
      <c r="J23" s="177" t="s">
        <v>22</v>
      </c>
      <c r="K23" s="1127">
        <f t="shared" si="2"/>
        <v>5500</v>
      </c>
      <c r="L23" s="150"/>
      <c r="M23" s="150"/>
    </row>
    <row r="24" spans="1:13" s="150" customFormat="1" ht="51.8" customHeight="1">
      <c r="A24" s="706">
        <v>20</v>
      </c>
      <c r="B24" s="87" t="s">
        <v>998</v>
      </c>
      <c r="C24" s="94">
        <v>3550</v>
      </c>
      <c r="D24" s="693" t="s">
        <v>267</v>
      </c>
      <c r="E24" s="133" t="s">
        <v>999</v>
      </c>
      <c r="F24" s="87" t="s">
        <v>65</v>
      </c>
      <c r="G24" s="87" t="s">
        <v>1000</v>
      </c>
      <c r="H24" s="93" t="s">
        <v>1001</v>
      </c>
      <c r="I24" s="93"/>
      <c r="J24" s="87" t="s">
        <v>88</v>
      </c>
      <c r="K24" s="335">
        <f t="shared" si="2"/>
        <v>3550</v>
      </c>
      <c r="L24" s="336"/>
      <c r="M24" s="336"/>
    </row>
    <row r="25" spans="1:13" s="336" customFormat="1" ht="91.7">
      <c r="A25" s="786">
        <v>21</v>
      </c>
      <c r="B25" s="87" t="s">
        <v>947</v>
      </c>
      <c r="C25" s="94">
        <v>4500</v>
      </c>
      <c r="D25" s="693" t="s">
        <v>267</v>
      </c>
      <c r="E25" s="133" t="s">
        <v>1002</v>
      </c>
      <c r="F25" s="87" t="s">
        <v>65</v>
      </c>
      <c r="G25" s="177" t="s">
        <v>968</v>
      </c>
      <c r="H25" s="93" t="s">
        <v>1003</v>
      </c>
      <c r="I25" s="1113"/>
      <c r="J25" s="87" t="s">
        <v>22</v>
      </c>
      <c r="K25" s="335">
        <f t="shared" si="2"/>
        <v>4500</v>
      </c>
    </row>
    <row r="26" spans="1:13" s="367" customFormat="1" ht="60.8" customHeight="1">
      <c r="A26" s="786">
        <v>22</v>
      </c>
      <c r="B26" s="87" t="s">
        <v>1004</v>
      </c>
      <c r="C26" s="94">
        <v>3000</v>
      </c>
      <c r="D26" s="693" t="s">
        <v>267</v>
      </c>
      <c r="E26" s="133" t="s">
        <v>1005</v>
      </c>
      <c r="F26" s="87" t="s">
        <v>65</v>
      </c>
      <c r="G26" s="87" t="s">
        <v>558</v>
      </c>
      <c r="H26" s="93" t="s">
        <v>1006</v>
      </c>
      <c r="I26" s="93" t="s">
        <v>1007</v>
      </c>
      <c r="J26" s="87" t="s">
        <v>22</v>
      </c>
      <c r="K26" s="335">
        <f t="shared" si="2"/>
        <v>3000</v>
      </c>
      <c r="L26" s="336"/>
      <c r="M26" s="336"/>
    </row>
    <row r="27" spans="1:13" s="336" customFormat="1" ht="46.55" customHeight="1">
      <c r="A27" s="786">
        <v>23</v>
      </c>
      <c r="B27" s="87" t="s">
        <v>556</v>
      </c>
      <c r="C27" s="94">
        <v>2915</v>
      </c>
      <c r="D27" s="693" t="s">
        <v>267</v>
      </c>
      <c r="E27" s="133" t="s">
        <v>1008</v>
      </c>
      <c r="F27" s="87" t="s">
        <v>65</v>
      </c>
      <c r="G27" s="87" t="s">
        <v>558</v>
      </c>
      <c r="H27" s="93" t="s">
        <v>1009</v>
      </c>
      <c r="I27" s="93" t="s">
        <v>1010</v>
      </c>
      <c r="J27" s="87" t="s">
        <v>24</v>
      </c>
      <c r="K27" s="335">
        <f t="shared" si="2"/>
        <v>2915</v>
      </c>
    </row>
    <row r="28" spans="1:13" s="367" customFormat="1" ht="59.95" customHeight="1">
      <c r="A28" s="786">
        <v>24</v>
      </c>
      <c r="B28" s="87" t="s">
        <v>1011</v>
      </c>
      <c r="C28" s="94">
        <v>5850</v>
      </c>
      <c r="D28" s="693" t="s">
        <v>267</v>
      </c>
      <c r="E28" s="133" t="s">
        <v>1012</v>
      </c>
      <c r="F28" s="87" t="s">
        <v>65</v>
      </c>
      <c r="G28" s="87" t="s">
        <v>213</v>
      </c>
      <c r="H28" s="93" t="s">
        <v>1013</v>
      </c>
      <c r="I28" s="93" t="s">
        <v>1014</v>
      </c>
      <c r="J28" s="87" t="s">
        <v>22</v>
      </c>
      <c r="K28" s="335">
        <f t="shared" si="2"/>
        <v>5850</v>
      </c>
      <c r="L28" s="336"/>
      <c r="M28" s="336"/>
    </row>
    <row r="29" spans="1:13" s="336" customFormat="1" ht="57.1" customHeight="1">
      <c r="A29" s="786">
        <v>25</v>
      </c>
      <c r="B29" s="87" t="s">
        <v>1015</v>
      </c>
      <c r="C29" s="94">
        <v>2873</v>
      </c>
      <c r="D29" s="693" t="s">
        <v>267</v>
      </c>
      <c r="E29" s="133" t="s">
        <v>1016</v>
      </c>
      <c r="F29" s="87" t="s">
        <v>65</v>
      </c>
      <c r="G29" s="177" t="s">
        <v>968</v>
      </c>
      <c r="H29" s="93" t="s">
        <v>1017</v>
      </c>
      <c r="I29" s="93" t="s">
        <v>1018</v>
      </c>
      <c r="J29" s="87" t="s">
        <v>88</v>
      </c>
      <c r="K29" s="335">
        <f t="shared" si="2"/>
        <v>2873</v>
      </c>
    </row>
    <row r="30" spans="1:13" s="367" customFormat="1" ht="80.349999999999994" customHeight="1">
      <c r="A30" s="786">
        <v>26</v>
      </c>
      <c r="B30" s="87" t="s">
        <v>581</v>
      </c>
      <c r="C30" s="94">
        <v>3550</v>
      </c>
      <c r="D30" s="693" t="s">
        <v>267</v>
      </c>
      <c r="E30" s="133"/>
      <c r="F30" s="87" t="s">
        <v>65</v>
      </c>
      <c r="G30" s="87" t="s">
        <v>558</v>
      </c>
      <c r="H30" s="93" t="s">
        <v>1019</v>
      </c>
      <c r="I30" s="93" t="s">
        <v>1020</v>
      </c>
      <c r="J30" s="87" t="s">
        <v>88</v>
      </c>
      <c r="K30" s="335">
        <f t="shared" si="2"/>
        <v>3550</v>
      </c>
      <c r="L30" s="336"/>
      <c r="M30" s="336"/>
    </row>
    <row r="31" spans="1:13" s="367" customFormat="1" ht="39.75" customHeight="1">
      <c r="A31" s="786">
        <v>27</v>
      </c>
      <c r="B31" s="89" t="s">
        <v>713</v>
      </c>
      <c r="C31" s="114">
        <v>4910</v>
      </c>
      <c r="D31" s="693" t="s">
        <v>267</v>
      </c>
      <c r="E31" s="133"/>
      <c r="F31" s="87" t="s">
        <v>65</v>
      </c>
      <c r="G31" s="87" t="s">
        <v>213</v>
      </c>
      <c r="H31" s="93" t="s">
        <v>1021</v>
      </c>
      <c r="I31" s="108"/>
      <c r="J31" s="87" t="s">
        <v>18</v>
      </c>
      <c r="K31" s="335">
        <f t="shared" si="2"/>
        <v>4910</v>
      </c>
      <c r="L31" s="336"/>
      <c r="M31" s="336"/>
    </row>
    <row r="32" spans="1:13" s="367" customFormat="1" ht="45" customHeight="1">
      <c r="A32" s="786">
        <v>28</v>
      </c>
      <c r="B32" s="87" t="s">
        <v>605</v>
      </c>
      <c r="C32" s="94">
        <v>3050</v>
      </c>
      <c r="D32" s="693" t="s">
        <v>267</v>
      </c>
      <c r="E32" s="133"/>
      <c r="F32" s="87" t="s">
        <v>65</v>
      </c>
      <c r="G32" s="87" t="s">
        <v>508</v>
      </c>
      <c r="H32" s="93" t="s">
        <v>1022</v>
      </c>
      <c r="I32" s="93" t="s">
        <v>1023</v>
      </c>
      <c r="J32" s="87" t="s">
        <v>24</v>
      </c>
      <c r="K32" s="335">
        <f t="shared" si="2"/>
        <v>3050</v>
      </c>
      <c r="L32" s="336"/>
      <c r="M32" s="336"/>
    </row>
    <row r="33" spans="1:13" s="367" customFormat="1" ht="36.700000000000003">
      <c r="A33" s="786">
        <v>29</v>
      </c>
      <c r="B33" s="87" t="s">
        <v>572</v>
      </c>
      <c r="C33" s="94">
        <v>2787</v>
      </c>
      <c r="D33" s="693" t="s">
        <v>267</v>
      </c>
      <c r="E33" s="133"/>
      <c r="F33" s="87" t="s">
        <v>65</v>
      </c>
      <c r="G33" s="87" t="s">
        <v>213</v>
      </c>
      <c r="H33" s="93" t="s">
        <v>1024</v>
      </c>
      <c r="I33" s="93" t="s">
        <v>1025</v>
      </c>
      <c r="J33" s="87" t="s">
        <v>555</v>
      </c>
      <c r="K33" s="335">
        <f t="shared" si="2"/>
        <v>2787</v>
      </c>
      <c r="L33" s="336"/>
      <c r="M33" s="336"/>
    </row>
    <row r="34" spans="1:13" s="367" customFormat="1" ht="75.099999999999994" customHeight="1">
      <c r="A34" s="786">
        <v>30</v>
      </c>
      <c r="B34" s="89" t="s">
        <v>1026</v>
      </c>
      <c r="C34" s="94">
        <v>7150</v>
      </c>
      <c r="D34" s="693" t="s">
        <v>267</v>
      </c>
      <c r="E34" s="133"/>
      <c r="F34" s="87" t="s">
        <v>65</v>
      </c>
      <c r="G34" s="87" t="s">
        <v>213</v>
      </c>
      <c r="H34" s="93" t="s">
        <v>1027</v>
      </c>
      <c r="I34" s="93" t="s">
        <v>1028</v>
      </c>
      <c r="J34" s="87" t="s">
        <v>22</v>
      </c>
      <c r="K34" s="335">
        <f t="shared" si="2"/>
        <v>7150</v>
      </c>
      <c r="L34" s="336"/>
      <c r="M34" s="336"/>
    </row>
    <row r="35" spans="1:13" s="367" customFormat="1" ht="91.55" customHeight="1">
      <c r="A35" s="786">
        <v>31</v>
      </c>
      <c r="B35" s="87" t="s">
        <v>1029</v>
      </c>
      <c r="C35" s="94">
        <v>1950</v>
      </c>
      <c r="D35" s="693" t="s">
        <v>267</v>
      </c>
      <c r="E35" s="133"/>
      <c r="F35" s="87" t="s">
        <v>65</v>
      </c>
      <c r="G35" s="87" t="s">
        <v>213</v>
      </c>
      <c r="H35" s="188" t="s">
        <v>1030</v>
      </c>
      <c r="I35" s="108" t="s">
        <v>1031</v>
      </c>
      <c r="J35" s="87" t="s">
        <v>18</v>
      </c>
      <c r="K35" s="335">
        <f t="shared" si="2"/>
        <v>1950</v>
      </c>
      <c r="L35" s="336"/>
      <c r="M35" s="336"/>
    </row>
    <row r="36" spans="1:13" s="367" customFormat="1" ht="108" customHeight="1">
      <c r="A36" s="786">
        <v>32</v>
      </c>
      <c r="B36" s="87" t="s">
        <v>603</v>
      </c>
      <c r="C36" s="94">
        <v>2787</v>
      </c>
      <c r="D36" s="693" t="s">
        <v>267</v>
      </c>
      <c r="E36" s="133" t="s">
        <v>1032</v>
      </c>
      <c r="F36" s="87" t="s">
        <v>65</v>
      </c>
      <c r="G36" s="87" t="s">
        <v>213</v>
      </c>
      <c r="H36" s="93" t="s">
        <v>1033</v>
      </c>
      <c r="I36" s="93" t="s">
        <v>1034</v>
      </c>
      <c r="J36" s="87" t="s">
        <v>555</v>
      </c>
      <c r="K36" s="335">
        <f t="shared" si="2"/>
        <v>2787</v>
      </c>
      <c r="L36" s="336"/>
      <c r="M36" s="336"/>
    </row>
    <row r="37" spans="1:13" s="367" customFormat="1" ht="68.95" customHeight="1">
      <c r="A37" s="786">
        <v>33</v>
      </c>
      <c r="B37" s="87" t="s">
        <v>556</v>
      </c>
      <c r="C37" s="94">
        <v>2915</v>
      </c>
      <c r="D37" s="693" t="s">
        <v>267</v>
      </c>
      <c r="E37" s="133" t="s">
        <v>1035</v>
      </c>
      <c r="F37" s="87" t="s">
        <v>65</v>
      </c>
      <c r="G37" s="87" t="s">
        <v>240</v>
      </c>
      <c r="H37" s="93" t="s">
        <v>1036</v>
      </c>
      <c r="I37" s="93" t="s">
        <v>1037</v>
      </c>
      <c r="J37" s="87" t="s">
        <v>24</v>
      </c>
      <c r="K37" s="335">
        <f t="shared" si="2"/>
        <v>2915</v>
      </c>
      <c r="L37" s="336"/>
      <c r="M37" s="336"/>
    </row>
    <row r="38" spans="1:13" s="367" customFormat="1" ht="75.099999999999994" customHeight="1">
      <c r="A38" s="786">
        <v>34</v>
      </c>
      <c r="B38" s="87" t="s">
        <v>1038</v>
      </c>
      <c r="C38" s="94">
        <v>1900</v>
      </c>
      <c r="D38" s="693" t="s">
        <v>267</v>
      </c>
      <c r="E38" s="133" t="s">
        <v>1039</v>
      </c>
      <c r="F38" s="87" t="s">
        <v>65</v>
      </c>
      <c r="G38" s="87" t="s">
        <v>213</v>
      </c>
      <c r="H38" s="93" t="s">
        <v>1040</v>
      </c>
      <c r="I38" s="93" t="s">
        <v>1041</v>
      </c>
      <c r="J38" s="87" t="s">
        <v>18</v>
      </c>
      <c r="K38" s="335">
        <f t="shared" si="2"/>
        <v>1900</v>
      </c>
      <c r="L38" s="336"/>
      <c r="M38" s="336"/>
    </row>
    <row r="39" spans="1:13" s="367" customFormat="1" ht="45.7" customHeight="1">
      <c r="A39" s="786">
        <v>35</v>
      </c>
      <c r="B39" s="87" t="s">
        <v>1042</v>
      </c>
      <c r="C39" s="94">
        <v>3400</v>
      </c>
      <c r="D39" s="693" t="s">
        <v>267</v>
      </c>
      <c r="E39" s="133" t="s">
        <v>1043</v>
      </c>
      <c r="F39" s="87" t="s">
        <v>65</v>
      </c>
      <c r="G39" s="87" t="s">
        <v>213</v>
      </c>
      <c r="H39" s="93" t="s">
        <v>1040</v>
      </c>
      <c r="I39" s="93" t="s">
        <v>1044</v>
      </c>
      <c r="J39" s="87" t="s">
        <v>22</v>
      </c>
      <c r="K39" s="335">
        <f t="shared" si="2"/>
        <v>3400</v>
      </c>
      <c r="L39" s="336"/>
      <c r="M39" s="336"/>
    </row>
    <row r="40" spans="1:13" s="367" customFormat="1" ht="59.95" customHeight="1">
      <c r="A40" s="786">
        <v>36</v>
      </c>
      <c r="B40" s="87" t="s">
        <v>622</v>
      </c>
      <c r="C40" s="94">
        <v>3600</v>
      </c>
      <c r="D40" s="693" t="s">
        <v>267</v>
      </c>
      <c r="E40" s="133" t="s">
        <v>1045</v>
      </c>
      <c r="F40" s="87" t="s">
        <v>65</v>
      </c>
      <c r="G40" s="87" t="s">
        <v>294</v>
      </c>
      <c r="H40" s="93" t="s">
        <v>1046</v>
      </c>
      <c r="I40" s="93" t="s">
        <v>1047</v>
      </c>
      <c r="J40" s="87" t="s">
        <v>22</v>
      </c>
      <c r="K40" s="335">
        <f t="shared" si="2"/>
        <v>3600</v>
      </c>
      <c r="L40" s="336"/>
      <c r="M40" s="336"/>
    </row>
    <row r="41" spans="1:13" s="367" customFormat="1" ht="97.5" customHeight="1">
      <c r="A41" s="786">
        <v>37</v>
      </c>
      <c r="B41" s="87" t="s">
        <v>1048</v>
      </c>
      <c r="C41" s="94">
        <v>3550</v>
      </c>
      <c r="D41" s="693" t="s">
        <v>267</v>
      </c>
      <c r="E41" s="133" t="s">
        <v>1049</v>
      </c>
      <c r="F41" s="87" t="s">
        <v>65</v>
      </c>
      <c r="G41" s="87" t="s">
        <v>546</v>
      </c>
      <c r="H41" s="93" t="s">
        <v>1050</v>
      </c>
      <c r="I41" s="93" t="s">
        <v>1051</v>
      </c>
      <c r="J41" s="87" t="s">
        <v>18</v>
      </c>
      <c r="K41" s="335">
        <f t="shared" si="2"/>
        <v>3550</v>
      </c>
      <c r="L41" s="336"/>
      <c r="M41" s="336"/>
    </row>
    <row r="42" spans="1:13" s="367" customFormat="1" ht="75.099999999999994" customHeight="1">
      <c r="A42" s="786">
        <v>38</v>
      </c>
      <c r="B42" s="133" t="s">
        <v>1052</v>
      </c>
      <c r="C42" s="94">
        <v>3320</v>
      </c>
      <c r="D42" s="693" t="s">
        <v>267</v>
      </c>
      <c r="E42" s="133" t="s">
        <v>1053</v>
      </c>
      <c r="F42" s="87" t="s">
        <v>65</v>
      </c>
      <c r="G42" s="87" t="s">
        <v>968</v>
      </c>
      <c r="H42" s="93" t="s">
        <v>1054</v>
      </c>
      <c r="I42" s="93" t="s">
        <v>1055</v>
      </c>
      <c r="J42" s="87" t="s">
        <v>24</v>
      </c>
      <c r="K42" s="335">
        <f t="shared" si="2"/>
        <v>3320</v>
      </c>
      <c r="L42" s="336"/>
      <c r="M42" s="336"/>
    </row>
    <row r="43" spans="1:13" s="367" customFormat="1" ht="66.099999999999994" customHeight="1">
      <c r="A43" s="786">
        <v>39</v>
      </c>
      <c r="B43" s="87" t="s">
        <v>581</v>
      </c>
      <c r="C43" s="94">
        <v>3550</v>
      </c>
      <c r="D43" s="693" t="s">
        <v>267</v>
      </c>
      <c r="E43" s="133" t="s">
        <v>1056</v>
      </c>
      <c r="F43" s="87" t="s">
        <v>65</v>
      </c>
      <c r="G43" s="87" t="s">
        <v>782</v>
      </c>
      <c r="H43" s="93" t="s">
        <v>1057</v>
      </c>
      <c r="I43" s="345"/>
      <c r="J43" s="87" t="s">
        <v>88</v>
      </c>
      <c r="K43" s="335">
        <f t="shared" si="2"/>
        <v>3550</v>
      </c>
      <c r="L43" s="336"/>
      <c r="M43" s="336"/>
    </row>
    <row r="44" spans="1:13" s="367" customFormat="1" ht="77.95" customHeight="1">
      <c r="A44" s="797">
        <v>40</v>
      </c>
      <c r="B44" s="87" t="s">
        <v>1058</v>
      </c>
      <c r="C44" s="94">
        <v>3050</v>
      </c>
      <c r="D44" s="693" t="s">
        <v>267</v>
      </c>
      <c r="E44" s="133" t="s">
        <v>1059</v>
      </c>
      <c r="F44" s="87" t="s">
        <v>65</v>
      </c>
      <c r="G44" s="87" t="s">
        <v>213</v>
      </c>
      <c r="H44" s="93" t="s">
        <v>1060</v>
      </c>
      <c r="I44" s="93"/>
      <c r="J44" s="87" t="s">
        <v>24</v>
      </c>
      <c r="K44" s="335">
        <f t="shared" si="2"/>
        <v>3050</v>
      </c>
      <c r="L44" s="336"/>
      <c r="M44" s="336"/>
    </row>
    <row r="45" spans="1:13" s="367" customFormat="1" ht="46.55" customHeight="1">
      <c r="A45" s="797">
        <v>41</v>
      </c>
      <c r="B45" s="154" t="s">
        <v>1061</v>
      </c>
      <c r="C45" s="120">
        <v>3200</v>
      </c>
      <c r="D45" s="693" t="s">
        <v>267</v>
      </c>
      <c r="E45" s="380" t="s">
        <v>1062</v>
      </c>
      <c r="F45" s="87" t="s">
        <v>65</v>
      </c>
      <c r="G45" s="115" t="s">
        <v>213</v>
      </c>
      <c r="H45" s="93" t="s">
        <v>1063</v>
      </c>
      <c r="I45" s="1134" t="s">
        <v>1064</v>
      </c>
      <c r="J45" s="91" t="s">
        <v>88</v>
      </c>
      <c r="K45" s="335">
        <f t="shared" si="2"/>
        <v>3200</v>
      </c>
      <c r="L45" s="336"/>
      <c r="M45" s="336"/>
    </row>
    <row r="46" spans="1:13" s="367" customFormat="1" ht="64.55" customHeight="1">
      <c r="A46" s="797">
        <v>42</v>
      </c>
      <c r="B46" s="154" t="s">
        <v>660</v>
      </c>
      <c r="C46" s="120">
        <v>1900</v>
      </c>
      <c r="D46" s="693" t="s">
        <v>267</v>
      </c>
      <c r="E46" s="380" t="s">
        <v>1065</v>
      </c>
      <c r="F46" s="87" t="s">
        <v>65</v>
      </c>
      <c r="G46" s="115" t="s">
        <v>213</v>
      </c>
      <c r="H46" s="155" t="s">
        <v>1066</v>
      </c>
      <c r="I46" s="1134"/>
      <c r="J46" s="91" t="s">
        <v>24</v>
      </c>
      <c r="K46" s="335">
        <f t="shared" si="2"/>
        <v>1900</v>
      </c>
      <c r="L46" s="336"/>
      <c r="M46" s="336"/>
    </row>
    <row r="47" spans="1:13" s="367" customFormat="1" ht="92.25" customHeight="1">
      <c r="A47" s="797">
        <v>43</v>
      </c>
      <c r="B47" s="129" t="s">
        <v>1067</v>
      </c>
      <c r="C47" s="94">
        <v>7650</v>
      </c>
      <c r="D47" s="693" t="s">
        <v>267</v>
      </c>
      <c r="E47" s="133" t="s">
        <v>1068</v>
      </c>
      <c r="F47" s="87" t="s">
        <v>65</v>
      </c>
      <c r="G47" s="87" t="s">
        <v>106</v>
      </c>
      <c r="H47" s="119" t="s">
        <v>1069</v>
      </c>
      <c r="I47" s="345"/>
      <c r="J47" s="87" t="s">
        <v>18</v>
      </c>
      <c r="K47" s="335">
        <f t="shared" si="2"/>
        <v>7650</v>
      </c>
      <c r="L47" s="336"/>
      <c r="M47" s="336"/>
    </row>
    <row r="48" spans="1:13" s="367" customFormat="1" ht="72.7" customHeight="1">
      <c r="A48" s="797">
        <v>44</v>
      </c>
      <c r="B48" s="154" t="s">
        <v>1070</v>
      </c>
      <c r="C48" s="120">
        <v>4350</v>
      </c>
      <c r="D48" s="693" t="s">
        <v>267</v>
      </c>
      <c r="E48" s="380" t="s">
        <v>1071</v>
      </c>
      <c r="F48" s="91" t="s">
        <v>65</v>
      </c>
      <c r="G48" s="91" t="s">
        <v>558</v>
      </c>
      <c r="H48" s="119" t="s">
        <v>1072</v>
      </c>
      <c r="I48" s="119">
        <f>4350-2700-1315</f>
        <v>335</v>
      </c>
      <c r="J48" s="91" t="s">
        <v>88</v>
      </c>
      <c r="K48" s="1076">
        <f t="shared" si="2"/>
        <v>4350</v>
      </c>
      <c r="L48" s="336"/>
      <c r="M48" s="336"/>
    </row>
    <row r="49" spans="1:13" s="367" customFormat="1" ht="70.5" customHeight="1">
      <c r="A49" s="797">
        <v>45</v>
      </c>
      <c r="B49" s="154" t="s">
        <v>1073</v>
      </c>
      <c r="C49" s="120">
        <v>2980</v>
      </c>
      <c r="D49" s="693" t="s">
        <v>267</v>
      </c>
      <c r="E49" s="380" t="s">
        <v>1074</v>
      </c>
      <c r="F49" s="91" t="s">
        <v>65</v>
      </c>
      <c r="G49" s="115" t="s">
        <v>240</v>
      </c>
      <c r="H49" s="119" t="s">
        <v>1075</v>
      </c>
      <c r="I49" s="983" t="s">
        <v>1076</v>
      </c>
      <c r="J49" s="91" t="s">
        <v>88</v>
      </c>
      <c r="K49" s="1076">
        <f t="shared" si="2"/>
        <v>2980</v>
      </c>
      <c r="L49" s="336"/>
      <c r="M49" s="336"/>
    </row>
    <row r="50" spans="1:13" s="367" customFormat="1" ht="45.7" customHeight="1">
      <c r="A50" s="797">
        <v>46</v>
      </c>
      <c r="B50" s="154" t="s">
        <v>1077</v>
      </c>
      <c r="C50" s="120">
        <v>3200</v>
      </c>
      <c r="D50" s="693" t="s">
        <v>267</v>
      </c>
      <c r="E50" s="380" t="s">
        <v>1078</v>
      </c>
      <c r="F50" s="91" t="s">
        <v>65</v>
      </c>
      <c r="G50" s="115" t="s">
        <v>968</v>
      </c>
      <c r="H50" s="93" t="s">
        <v>1079</v>
      </c>
      <c r="I50" s="1100" t="s">
        <v>1080</v>
      </c>
      <c r="J50" s="91" t="s">
        <v>88</v>
      </c>
      <c r="K50" s="1076">
        <f t="shared" si="2"/>
        <v>3200</v>
      </c>
      <c r="L50" s="336"/>
      <c r="M50" s="336"/>
    </row>
    <row r="51" spans="1:13" s="367" customFormat="1" ht="53.35" customHeight="1">
      <c r="A51" s="797">
        <v>47</v>
      </c>
      <c r="B51" s="91" t="s">
        <v>622</v>
      </c>
      <c r="C51" s="120">
        <v>3500</v>
      </c>
      <c r="D51" s="380" t="s">
        <v>267</v>
      </c>
      <c r="E51" s="380" t="s">
        <v>1081</v>
      </c>
      <c r="F51" s="91" t="s">
        <v>65</v>
      </c>
      <c r="G51" s="115" t="s">
        <v>213</v>
      </c>
      <c r="H51" s="119" t="s">
        <v>1082</v>
      </c>
      <c r="I51" s="285"/>
      <c r="J51" s="91" t="s">
        <v>22</v>
      </c>
      <c r="K51" s="335">
        <f t="shared" si="2"/>
        <v>3500</v>
      </c>
      <c r="L51" s="336"/>
      <c r="M51" s="336"/>
    </row>
    <row r="52" spans="1:13" s="367" customFormat="1" ht="66.099999999999994" customHeight="1">
      <c r="A52" s="786">
        <v>48</v>
      </c>
      <c r="B52" s="87" t="s">
        <v>605</v>
      </c>
      <c r="C52" s="94">
        <v>3050</v>
      </c>
      <c r="D52" s="380" t="s">
        <v>267</v>
      </c>
      <c r="E52" s="133" t="s">
        <v>1083</v>
      </c>
      <c r="F52" s="87" t="s">
        <v>65</v>
      </c>
      <c r="G52" s="87" t="s">
        <v>558</v>
      </c>
      <c r="H52" s="93" t="s">
        <v>1084</v>
      </c>
      <c r="I52" s="93" t="s">
        <v>1085</v>
      </c>
      <c r="J52" s="87" t="s">
        <v>24</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1004</v>
      </c>
      <c r="C56" s="1130" t="s">
        <v>716</v>
      </c>
      <c r="D56" s="889" t="s">
        <v>1086</v>
      </c>
      <c r="E56" s="889"/>
      <c r="F56" s="917" t="s">
        <v>65</v>
      </c>
      <c r="G56" s="917" t="s">
        <v>968</v>
      </c>
      <c r="H56" s="1131"/>
      <c r="I56" s="1132" t="s">
        <v>1087</v>
      </c>
      <c r="J56" s="917" t="s">
        <v>22</v>
      </c>
      <c r="K56" s="891" t="str">
        <f>C56</f>
        <v>HỦY</v>
      </c>
      <c r="L56" s="892"/>
      <c r="M56" s="892"/>
    </row>
    <row r="57" spans="1:13" s="1" customFormat="1">
      <c r="A57" s="738">
        <v>53</v>
      </c>
      <c r="B57" s="102" t="s">
        <v>600</v>
      </c>
      <c r="C57" s="1128" t="s">
        <v>1088</v>
      </c>
      <c r="D57" s="109" t="s">
        <v>1089</v>
      </c>
      <c r="E57" s="109"/>
      <c r="F57" s="102" t="s">
        <v>65</v>
      </c>
      <c r="G57" s="102" t="s">
        <v>558</v>
      </c>
      <c r="H57" s="696" t="s">
        <v>1090</v>
      </c>
      <c r="I57" s="143"/>
      <c r="J57" s="102" t="s">
        <v>22</v>
      </c>
      <c r="K57" s="1036" t="str">
        <f>C57</f>
        <v>S95</v>
      </c>
      <c r="L57" s="3"/>
      <c r="M57" s="3"/>
    </row>
    <row r="58" spans="1:13" s="1" customFormat="1">
      <c r="A58" s="738">
        <v>54</v>
      </c>
      <c r="B58" s="102" t="s">
        <v>649</v>
      </c>
      <c r="C58" s="1129">
        <v>4300</v>
      </c>
      <c r="D58" s="109" t="s">
        <v>710</v>
      </c>
      <c r="E58" s="109"/>
      <c r="F58" s="102" t="s">
        <v>65</v>
      </c>
      <c r="G58" s="102" t="s">
        <v>213</v>
      </c>
      <c r="H58" s="157"/>
      <c r="I58" s="143"/>
      <c r="J58" s="102" t="s">
        <v>24</v>
      </c>
      <c r="K58" s="1036">
        <f>C58</f>
        <v>4300</v>
      </c>
      <c r="L58" s="3"/>
      <c r="M58" s="3"/>
    </row>
    <row r="59" spans="1:13" s="1" customFormat="1">
      <c r="A59" s="738">
        <v>55</v>
      </c>
      <c r="B59" s="102" t="s">
        <v>947</v>
      </c>
      <c r="C59" s="1003" t="s">
        <v>710</v>
      </c>
      <c r="D59" s="109" t="s">
        <v>1091</v>
      </c>
      <c r="E59" s="109"/>
      <c r="F59" s="102" t="s">
        <v>65</v>
      </c>
      <c r="G59" s="102" t="s">
        <v>240</v>
      </c>
      <c r="H59" s="696"/>
      <c r="I59" s="143"/>
      <c r="J59" s="102" t="s">
        <v>24</v>
      </c>
      <c r="K59" s="1036" t="str">
        <f>C59</f>
        <v>hủy</v>
      </c>
      <c r="L59" s="3"/>
      <c r="M59" s="3"/>
    </row>
    <row r="60" spans="1:13" s="1" customFormat="1">
      <c r="A60" s="738">
        <v>56</v>
      </c>
      <c r="B60" s="102" t="s">
        <v>1092</v>
      </c>
      <c r="C60" s="1003" t="s">
        <v>1093</v>
      </c>
      <c r="D60" s="109" t="s">
        <v>1091</v>
      </c>
      <c r="E60" s="109"/>
      <c r="F60" s="102" t="s">
        <v>65</v>
      </c>
      <c r="G60" s="102" t="s">
        <v>213</v>
      </c>
      <c r="H60" s="696"/>
      <c r="I60" s="143"/>
      <c r="J60" s="102" t="s">
        <v>26</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8" priority="24"/>
  </conditionalFormatting>
  <conditionalFormatting sqref="A4">
    <cfRule type="duplicateValues" dxfId="837" priority="20"/>
  </conditionalFormatting>
  <conditionalFormatting sqref="A5">
    <cfRule type="duplicateValues" dxfId="836" priority="4"/>
  </conditionalFormatting>
  <conditionalFormatting sqref="A6">
    <cfRule type="duplicateValues" dxfId="835" priority="6"/>
  </conditionalFormatting>
  <conditionalFormatting sqref="A7">
    <cfRule type="duplicateValues" dxfId="834" priority="16"/>
  </conditionalFormatting>
  <conditionalFormatting sqref="A8 A10">
    <cfRule type="duplicateValues" dxfId="833" priority="1059"/>
  </conditionalFormatting>
  <conditionalFormatting sqref="A11 A16 A18">
    <cfRule type="duplicateValues" dxfId="832" priority="1062"/>
  </conditionalFormatting>
  <conditionalFormatting sqref="A13:A14 A19">
    <cfRule type="duplicateValues" dxfId="831" priority="27"/>
  </conditionalFormatting>
  <conditionalFormatting sqref="A17">
    <cfRule type="duplicateValues" dxfId="830" priority="1"/>
  </conditionalFormatting>
  <conditionalFormatting sqref="A20">
    <cfRule type="duplicateValues" dxfId="829" priority="3"/>
  </conditionalFormatting>
  <conditionalFormatting sqref="A22 A24">
    <cfRule type="duplicateValues" dxfId="828" priority="1063"/>
  </conditionalFormatting>
  <conditionalFormatting sqref="B3">
    <cfRule type="duplicateValues" dxfId="827" priority="21"/>
    <cfRule type="duplicateValues" dxfId="826" priority="22"/>
    <cfRule type="duplicateValues" dxfId="825" priority="23"/>
  </conditionalFormatting>
  <conditionalFormatting sqref="B4">
    <cfRule type="duplicateValues" dxfId="824" priority="17"/>
    <cfRule type="duplicateValues" dxfId="823" priority="18"/>
    <cfRule type="duplicateValues" dxfId="822"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topRight"/>
      <selection pane="bottomLeft"/>
      <selection pane="bottomRight"/>
    </sheetView>
  </sheetViews>
  <sheetFormatPr defaultColWidth="25.625" defaultRowHeight="18.350000000000001"/>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375" style="3" customWidth="1"/>
    <col min="15" max="15" width="34.625" style="3" customWidth="1"/>
    <col min="16" max="16384" width="25.625" style="3"/>
  </cols>
  <sheetData>
    <row r="1" spans="1:14" ht="17.350000000000001" customHeight="1">
      <c r="B1" s="10"/>
      <c r="C1" s="3671"/>
      <c r="D1" s="3671"/>
      <c r="E1" s="3671"/>
      <c r="F1" s="3671"/>
      <c r="G1" s="3671"/>
      <c r="H1" s="3671"/>
      <c r="I1" s="3671"/>
    </row>
    <row r="2" spans="1:14" ht="34.5" customHeight="1">
      <c r="A2" s="3684" t="s">
        <v>940</v>
      </c>
      <c r="B2" s="3684"/>
      <c r="C2" s="3684"/>
      <c r="D2" s="3684"/>
      <c r="E2" s="3684"/>
      <c r="F2" s="3684"/>
      <c r="G2" s="3684"/>
      <c r="H2" s="3684"/>
      <c r="I2" s="3684"/>
      <c r="J2" s="194"/>
      <c r="K2" s="194"/>
      <c r="L2" s="805"/>
      <c r="M2" s="196"/>
      <c r="N2" s="197"/>
    </row>
    <row r="3" spans="1:14" ht="13.6" customHeight="1">
      <c r="A3" s="360"/>
      <c r="B3" s="385"/>
      <c r="C3" s="806">
        <f>SUBTOTAL(9,C5:C396)</f>
        <v>245280</v>
      </c>
      <c r="D3" s="378"/>
      <c r="E3" s="849"/>
      <c r="F3" s="201"/>
      <c r="G3" s="199"/>
      <c r="H3" s="202"/>
      <c r="I3" s="3686">
        <f ca="1">TODAY()</f>
        <v>45988</v>
      </c>
      <c r="J3" s="3686"/>
      <c r="K3" s="807"/>
      <c r="L3" s="808"/>
      <c r="M3" s="197"/>
      <c r="N3" s="197"/>
    </row>
    <row r="4" spans="1:14" s="7" customFormat="1" ht="34">
      <c r="A4" s="810" t="s">
        <v>48</v>
      </c>
      <c r="B4" s="679" t="s">
        <v>380</v>
      </c>
      <c r="C4" s="811" t="s">
        <v>50</v>
      </c>
      <c r="D4" s="679" t="s">
        <v>51</v>
      </c>
      <c r="E4" s="679" t="s">
        <v>53</v>
      </c>
      <c r="F4" s="679" t="s">
        <v>55</v>
      </c>
      <c r="G4" s="679" t="s">
        <v>56</v>
      </c>
      <c r="H4" s="812" t="s">
        <v>57</v>
      </c>
      <c r="I4" s="679" t="s">
        <v>58</v>
      </c>
      <c r="J4" s="679" t="s">
        <v>52</v>
      </c>
      <c r="K4" s="679" t="s">
        <v>1094</v>
      </c>
      <c r="L4" s="813" t="s">
        <v>381</v>
      </c>
      <c r="M4" s="753" t="s">
        <v>382</v>
      </c>
      <c r="N4" s="754">
        <f>SUM(N5:N10)</f>
        <v>245280</v>
      </c>
    </row>
    <row r="5" spans="1:14" s="367" customFormat="1" ht="110.05">
      <c r="A5" s="699" cm="1">
        <f t="array" ref="A5:A74">_xlfn.SEQUENCE(70,1,1,)</f>
        <v>1</v>
      </c>
      <c r="B5" s="177" t="s">
        <v>947</v>
      </c>
      <c r="C5" s="94">
        <v>4550</v>
      </c>
      <c r="D5" s="980" t="s">
        <v>267</v>
      </c>
      <c r="E5" s="1064"/>
      <c r="F5" s="91" t="s">
        <v>65</v>
      </c>
      <c r="G5" s="379" t="s">
        <v>106</v>
      </c>
      <c r="H5" s="876" t="s">
        <v>1095</v>
      </c>
      <c r="I5" s="1065" t="s">
        <v>1096</v>
      </c>
      <c r="J5" s="133" t="s">
        <v>24</v>
      </c>
      <c r="K5" s="87" t="s">
        <v>194</v>
      </c>
      <c r="L5" s="335">
        <f t="shared" ref="L5:L36" si="0">C5</f>
        <v>4550</v>
      </c>
      <c r="M5" s="241" t="s">
        <v>88</v>
      </c>
      <c r="N5" s="242">
        <f t="shared" ref="N5:N10" si="1">SUMIF($J:$J,M5,L:L)</f>
        <v>30209</v>
      </c>
    </row>
    <row r="6" spans="1:14" s="150" customFormat="1">
      <c r="A6" s="706">
        <v>2</v>
      </c>
      <c r="B6" s="177" t="s">
        <v>649</v>
      </c>
      <c r="C6" s="94">
        <v>4300</v>
      </c>
      <c r="D6" s="393" t="s">
        <v>267</v>
      </c>
      <c r="E6" s="393" t="s">
        <v>1097</v>
      </c>
      <c r="F6" s="91" t="s">
        <v>65</v>
      </c>
      <c r="G6" s="133" t="s">
        <v>213</v>
      </c>
      <c r="H6" s="1025" t="s">
        <v>1098</v>
      </c>
      <c r="I6" s="1008">
        <f>4300-3200-786</f>
        <v>314</v>
      </c>
      <c r="J6" s="133" t="s">
        <v>24</v>
      </c>
      <c r="K6" s="87" t="s">
        <v>194</v>
      </c>
      <c r="L6" s="1066">
        <f t="shared" si="0"/>
        <v>4300</v>
      </c>
      <c r="M6" s="241" t="s">
        <v>18</v>
      </c>
      <c r="N6" s="242">
        <f t="shared" si="1"/>
        <v>41380</v>
      </c>
    </row>
    <row r="7" spans="1:14" s="150" customFormat="1" ht="107.35" customHeight="1">
      <c r="A7" s="706">
        <v>3</v>
      </c>
      <c r="B7" s="177" t="s">
        <v>544</v>
      </c>
      <c r="C7" s="94">
        <v>4050</v>
      </c>
      <c r="D7" s="393" t="s">
        <v>267</v>
      </c>
      <c r="E7" s="1018" t="s">
        <v>1099</v>
      </c>
      <c r="F7" s="87" t="s">
        <v>65</v>
      </c>
      <c r="G7" s="148" t="s">
        <v>240</v>
      </c>
      <c r="H7" s="876" t="s">
        <v>1100</v>
      </c>
      <c r="I7" s="1067"/>
      <c r="J7" s="133" t="s">
        <v>88</v>
      </c>
      <c r="K7" s="87" t="s">
        <v>194</v>
      </c>
      <c r="L7" s="335">
        <f t="shared" si="0"/>
        <v>4050</v>
      </c>
      <c r="M7" s="691" t="s">
        <v>24</v>
      </c>
      <c r="N7" s="242">
        <f t="shared" si="1"/>
        <v>85210</v>
      </c>
    </row>
    <row r="8" spans="1:14" s="336" customFormat="1" ht="48.75" customHeight="1">
      <c r="A8" s="789">
        <v>4</v>
      </c>
      <c r="B8" s="182" t="s">
        <v>1101</v>
      </c>
      <c r="C8" s="114">
        <v>3050</v>
      </c>
      <c r="D8" s="1018" t="s">
        <v>267</v>
      </c>
      <c r="E8" s="1018" t="s">
        <v>1102</v>
      </c>
      <c r="F8" s="87" t="s">
        <v>65</v>
      </c>
      <c r="G8" s="349" t="s">
        <v>66</v>
      </c>
      <c r="H8" s="1238" t="s">
        <v>1103</v>
      </c>
      <c r="I8" s="1068"/>
      <c r="J8" s="113" t="s">
        <v>18</v>
      </c>
      <c r="K8" s="113" t="s">
        <v>194</v>
      </c>
      <c r="L8" s="335">
        <f t="shared" si="0"/>
        <v>3050</v>
      </c>
      <c r="M8" s="852" t="s">
        <v>26</v>
      </c>
      <c r="N8" s="248">
        <f t="shared" si="1"/>
        <v>19350</v>
      </c>
    </row>
    <row r="9" spans="1:14" s="336" customFormat="1" ht="67.599999999999994" customHeight="1">
      <c r="A9" s="797">
        <v>5</v>
      </c>
      <c r="B9" s="180" t="s">
        <v>1104</v>
      </c>
      <c r="C9" s="120">
        <v>3280</v>
      </c>
      <c r="D9" s="980" t="s">
        <v>267</v>
      </c>
      <c r="E9" s="980" t="s">
        <v>1105</v>
      </c>
      <c r="F9" s="91" t="s">
        <v>65</v>
      </c>
      <c r="G9" s="91" t="s">
        <v>240</v>
      </c>
      <c r="H9" s="1013" t="s">
        <v>1106</v>
      </c>
      <c r="I9" s="1069" t="s">
        <v>1107</v>
      </c>
      <c r="J9" s="91" t="s">
        <v>24</v>
      </c>
      <c r="K9" s="91" t="s">
        <v>194</v>
      </c>
      <c r="L9" s="1082">
        <f t="shared" si="0"/>
        <v>3280</v>
      </c>
      <c r="M9" s="1070" t="s">
        <v>555</v>
      </c>
      <c r="N9" s="242">
        <f t="shared" si="1"/>
        <v>8361</v>
      </c>
    </row>
    <row r="10" spans="1:14" s="336" customFormat="1" ht="42.8" customHeight="1">
      <c r="A10" s="786">
        <v>6</v>
      </c>
      <c r="B10" s="177" t="s">
        <v>1042</v>
      </c>
      <c r="C10" s="94">
        <v>3400</v>
      </c>
      <c r="D10" s="393" t="s">
        <v>267</v>
      </c>
      <c r="E10" s="393" t="s">
        <v>1108</v>
      </c>
      <c r="F10" s="87" t="s">
        <v>65</v>
      </c>
      <c r="G10" s="133" t="s">
        <v>213</v>
      </c>
      <c r="H10" s="290" t="s">
        <v>1109</v>
      </c>
      <c r="I10" s="1008"/>
      <c r="J10" s="133" t="s">
        <v>22</v>
      </c>
      <c r="K10" s="89" t="s">
        <v>194</v>
      </c>
      <c r="L10" s="335">
        <f t="shared" si="0"/>
        <v>3400</v>
      </c>
      <c r="M10" s="148" t="s">
        <v>22</v>
      </c>
      <c r="N10" s="242">
        <f t="shared" si="1"/>
        <v>60770</v>
      </c>
    </row>
    <row r="11" spans="1:14" s="336" customFormat="1" ht="48.75" customHeight="1">
      <c r="A11" s="786">
        <v>7</v>
      </c>
      <c r="B11" s="177" t="s">
        <v>1067</v>
      </c>
      <c r="C11" s="94">
        <v>7700</v>
      </c>
      <c r="D11" s="393" t="s">
        <v>267</v>
      </c>
      <c r="E11" s="393" t="s">
        <v>1110</v>
      </c>
      <c r="F11" s="87" t="s">
        <v>65</v>
      </c>
      <c r="G11" s="133" t="s">
        <v>213</v>
      </c>
      <c r="H11" s="155" t="s">
        <v>1111</v>
      </c>
      <c r="I11" s="1071" t="s">
        <v>1112</v>
      </c>
      <c r="J11" s="87" t="s">
        <v>18</v>
      </c>
      <c r="K11" s="89" t="s">
        <v>194</v>
      </c>
      <c r="L11" s="335">
        <f t="shared" si="0"/>
        <v>7700</v>
      </c>
    </row>
    <row r="12" spans="1:14" s="336" customFormat="1" ht="59.3" customHeight="1">
      <c r="A12" s="786">
        <v>8</v>
      </c>
      <c r="B12" s="177" t="s">
        <v>1113</v>
      </c>
      <c r="C12" s="94">
        <v>4000</v>
      </c>
      <c r="D12" s="393" t="s">
        <v>267</v>
      </c>
      <c r="E12" s="393" t="s">
        <v>1114</v>
      </c>
      <c r="F12" s="87" t="s">
        <v>65</v>
      </c>
      <c r="G12" s="133" t="s">
        <v>213</v>
      </c>
      <c r="H12" s="155" t="s">
        <v>1115</v>
      </c>
      <c r="I12" s="1071"/>
      <c r="J12" s="87" t="s">
        <v>24</v>
      </c>
      <c r="K12" s="89" t="s">
        <v>194</v>
      </c>
      <c r="L12" s="335">
        <f t="shared" si="0"/>
        <v>4000</v>
      </c>
    </row>
    <row r="13" spans="1:14" s="150" customFormat="1" ht="74.25" customHeight="1">
      <c r="A13" s="706">
        <v>9</v>
      </c>
      <c r="B13" s="177" t="s">
        <v>1116</v>
      </c>
      <c r="C13" s="94">
        <v>5600</v>
      </c>
      <c r="D13" s="980" t="s">
        <v>267</v>
      </c>
      <c r="E13" s="393" t="s">
        <v>1117</v>
      </c>
      <c r="F13" s="87" t="s">
        <v>65</v>
      </c>
      <c r="G13" s="133" t="s">
        <v>213</v>
      </c>
      <c r="H13" s="290" t="s">
        <v>1118</v>
      </c>
      <c r="I13" s="133">
        <f>4732+600</f>
        <v>5332</v>
      </c>
      <c r="J13" s="133" t="s">
        <v>22</v>
      </c>
      <c r="K13" s="87" t="s">
        <v>194</v>
      </c>
      <c r="L13" s="1083">
        <f t="shared" si="0"/>
        <v>5600</v>
      </c>
      <c r="M13" s="336"/>
      <c r="N13" s="336"/>
    </row>
    <row r="14" spans="1:14" s="336" customFormat="1" ht="52.5" customHeight="1">
      <c r="A14" s="789">
        <v>10</v>
      </c>
      <c r="B14" s="182" t="s">
        <v>1073</v>
      </c>
      <c r="C14" s="1072">
        <v>2980</v>
      </c>
      <c r="D14" s="393" t="s">
        <v>267</v>
      </c>
      <c r="E14" s="393" t="s">
        <v>1119</v>
      </c>
      <c r="F14" s="125" t="s">
        <v>65</v>
      </c>
      <c r="G14" s="384" t="s">
        <v>142</v>
      </c>
      <c r="H14" s="690" t="s">
        <v>1120</v>
      </c>
      <c r="I14" s="350"/>
      <c r="J14" s="113" t="s">
        <v>88</v>
      </c>
      <c r="K14" s="113" t="s">
        <v>194</v>
      </c>
      <c r="L14" s="335">
        <f t="shared" si="0"/>
        <v>2980</v>
      </c>
    </row>
    <row r="15" spans="1:14" s="367" customFormat="1" ht="45.7" customHeight="1">
      <c r="A15" s="723">
        <v>11</v>
      </c>
      <c r="B15" s="177" t="s">
        <v>955</v>
      </c>
      <c r="C15" s="94">
        <v>3550</v>
      </c>
      <c r="D15" s="980" t="s">
        <v>267</v>
      </c>
      <c r="E15" s="1079" t="s">
        <v>1121</v>
      </c>
      <c r="F15" s="87" t="s">
        <v>65</v>
      </c>
      <c r="G15" s="133" t="s">
        <v>213</v>
      </c>
      <c r="H15" s="290" t="s">
        <v>1122</v>
      </c>
      <c r="I15" s="1074"/>
      <c r="J15" s="133" t="s">
        <v>24</v>
      </c>
      <c r="K15" s="87" t="s">
        <v>194</v>
      </c>
      <c r="L15" s="335">
        <f t="shared" si="0"/>
        <v>3550</v>
      </c>
      <c r="M15" s="336"/>
      <c r="N15" s="336"/>
    </row>
    <row r="16" spans="1:14" s="367" customFormat="1" ht="55.05">
      <c r="A16" s="723">
        <v>12</v>
      </c>
      <c r="B16" s="177" t="s">
        <v>1123</v>
      </c>
      <c r="C16" s="88">
        <v>4650</v>
      </c>
      <c r="D16" s="980" t="s">
        <v>267</v>
      </c>
      <c r="E16" s="1080" t="s">
        <v>1124</v>
      </c>
      <c r="F16" s="87" t="s">
        <v>65</v>
      </c>
      <c r="G16" s="133" t="s">
        <v>213</v>
      </c>
      <c r="H16" s="290" t="s">
        <v>1125</v>
      </c>
      <c r="I16" s="1074"/>
      <c r="J16" s="133" t="s">
        <v>22</v>
      </c>
      <c r="K16" s="87" t="s">
        <v>194</v>
      </c>
      <c r="L16" s="335">
        <f t="shared" si="0"/>
        <v>4650</v>
      </c>
      <c r="M16" s="336"/>
      <c r="N16" s="336"/>
    </row>
    <row r="17" spans="1:14" s="336" customFormat="1" ht="50.95" customHeight="1">
      <c r="A17" s="789">
        <v>13</v>
      </c>
      <c r="B17" s="182" t="s">
        <v>709</v>
      </c>
      <c r="C17" s="1072">
        <v>5500</v>
      </c>
      <c r="D17" s="393" t="s">
        <v>267</v>
      </c>
      <c r="E17" s="693" t="s">
        <v>1126</v>
      </c>
      <c r="F17" s="125" t="s">
        <v>65</v>
      </c>
      <c r="G17" s="384" t="s">
        <v>213</v>
      </c>
      <c r="H17" s="690" t="s">
        <v>1127</v>
      </c>
      <c r="I17" s="350"/>
      <c r="J17" s="113" t="s">
        <v>18</v>
      </c>
      <c r="K17" s="113" t="s">
        <v>194</v>
      </c>
      <c r="L17" s="335">
        <f t="shared" si="0"/>
        <v>5500</v>
      </c>
    </row>
    <row r="18" spans="1:14" s="367" customFormat="1" ht="69.8" customHeight="1">
      <c r="A18" s="723">
        <v>14</v>
      </c>
      <c r="B18" s="177" t="s">
        <v>1128</v>
      </c>
      <c r="C18" s="88">
        <v>4800</v>
      </c>
      <c r="D18" s="393" t="s">
        <v>267</v>
      </c>
      <c r="E18" s="693" t="s">
        <v>1129</v>
      </c>
      <c r="F18" s="129" t="s">
        <v>65</v>
      </c>
      <c r="G18" s="133" t="s">
        <v>106</v>
      </c>
      <c r="H18" s="290" t="s">
        <v>1130</v>
      </c>
      <c r="I18" s="403"/>
      <c r="J18" s="133" t="s">
        <v>88</v>
      </c>
      <c r="K18" s="87" t="s">
        <v>194</v>
      </c>
      <c r="L18" s="335">
        <f t="shared" si="0"/>
        <v>4800</v>
      </c>
      <c r="M18" s="336"/>
      <c r="N18" s="336"/>
    </row>
    <row r="19" spans="1:14" s="367" customFormat="1" ht="43.5" customHeight="1">
      <c r="A19" s="723">
        <v>15</v>
      </c>
      <c r="B19" s="177" t="s">
        <v>1131</v>
      </c>
      <c r="C19" s="94">
        <v>4700</v>
      </c>
      <c r="D19" s="1018" t="s">
        <v>267</v>
      </c>
      <c r="E19" s="1081" t="s">
        <v>1132</v>
      </c>
      <c r="F19" s="87" t="s">
        <v>65</v>
      </c>
      <c r="G19" s="133" t="s">
        <v>164</v>
      </c>
      <c r="H19" s="290" t="s">
        <v>1133</v>
      </c>
      <c r="I19" s="1074"/>
      <c r="J19" s="133" t="s">
        <v>22</v>
      </c>
      <c r="K19" s="87" t="s">
        <v>194</v>
      </c>
      <c r="L19" s="335">
        <f t="shared" si="0"/>
        <v>4700</v>
      </c>
      <c r="M19" s="336"/>
      <c r="N19" s="336"/>
    </row>
    <row r="20" spans="1:14" s="367" customFormat="1" ht="42.8" customHeight="1">
      <c r="A20" s="723">
        <v>16</v>
      </c>
      <c r="B20" s="180" t="s">
        <v>1134</v>
      </c>
      <c r="C20" s="120">
        <v>3350</v>
      </c>
      <c r="D20" s="980" t="s">
        <v>267</v>
      </c>
      <c r="E20" s="1079" t="s">
        <v>1135</v>
      </c>
      <c r="F20" s="91" t="s">
        <v>65</v>
      </c>
      <c r="G20" s="380" t="s">
        <v>213</v>
      </c>
      <c r="H20" s="703" t="s">
        <v>1136</v>
      </c>
      <c r="I20" s="380"/>
      <c r="J20" s="91" t="s">
        <v>26</v>
      </c>
      <c r="K20" s="91" t="s">
        <v>194</v>
      </c>
      <c r="L20" s="1076">
        <f t="shared" si="0"/>
        <v>3350</v>
      </c>
      <c r="M20" s="336"/>
      <c r="N20" s="336"/>
    </row>
    <row r="21" spans="1:14" s="367" customFormat="1" ht="62.35" customHeight="1">
      <c r="A21" s="723">
        <v>17</v>
      </c>
      <c r="B21" s="177" t="s">
        <v>677</v>
      </c>
      <c r="C21" s="94">
        <v>2950</v>
      </c>
      <c r="D21" s="980" t="s">
        <v>267</v>
      </c>
      <c r="E21" s="1084" t="s">
        <v>1137</v>
      </c>
      <c r="F21" s="91" t="s">
        <v>65</v>
      </c>
      <c r="G21" s="380" t="s">
        <v>213</v>
      </c>
      <c r="H21" s="703" t="s">
        <v>1138</v>
      </c>
      <c r="I21" s="1085"/>
      <c r="J21" s="91" t="s">
        <v>26</v>
      </c>
      <c r="K21" s="91" t="s">
        <v>194</v>
      </c>
      <c r="L21" s="335">
        <f t="shared" si="0"/>
        <v>2950</v>
      </c>
      <c r="M21" s="336"/>
      <c r="N21" s="336"/>
    </row>
    <row r="22" spans="1:14" s="367" customFormat="1" ht="59.95" customHeight="1">
      <c r="A22" s="723">
        <v>18</v>
      </c>
      <c r="B22" s="177" t="s">
        <v>1139</v>
      </c>
      <c r="C22" s="94">
        <v>4050</v>
      </c>
      <c r="D22" s="1086" t="s">
        <v>267</v>
      </c>
      <c r="E22" s="1087" t="s">
        <v>1140</v>
      </c>
      <c r="F22" s="87" t="s">
        <v>65</v>
      </c>
      <c r="G22" s="133" t="s">
        <v>213</v>
      </c>
      <c r="H22" s="119" t="s">
        <v>1141</v>
      </c>
      <c r="I22" s="1008"/>
      <c r="J22" s="133" t="s">
        <v>24</v>
      </c>
      <c r="K22" s="87" t="s">
        <v>194</v>
      </c>
      <c r="L22" s="335">
        <f t="shared" si="0"/>
        <v>4050</v>
      </c>
      <c r="M22" s="336"/>
      <c r="N22" s="336"/>
    </row>
    <row r="23" spans="1:14" s="336" customFormat="1" ht="68.95" customHeight="1">
      <c r="A23" s="786">
        <v>19</v>
      </c>
      <c r="B23" s="177" t="s">
        <v>1142</v>
      </c>
      <c r="C23" s="1088">
        <v>4350</v>
      </c>
      <c r="D23" s="1086" t="s">
        <v>267</v>
      </c>
      <c r="E23" s="1089" t="s">
        <v>1143</v>
      </c>
      <c r="F23" s="129" t="s">
        <v>65</v>
      </c>
      <c r="G23" s="133" t="s">
        <v>213</v>
      </c>
      <c r="H23" s="703" t="s">
        <v>1144</v>
      </c>
      <c r="I23" s="388"/>
      <c r="J23" s="133" t="s">
        <v>18</v>
      </c>
      <c r="K23" s="87" t="s">
        <v>194</v>
      </c>
      <c r="L23" s="335">
        <f t="shared" si="0"/>
        <v>4350</v>
      </c>
    </row>
    <row r="24" spans="1:14" s="367" customFormat="1" ht="77.95" customHeight="1">
      <c r="A24" s="723">
        <v>20</v>
      </c>
      <c r="B24" s="1090" t="s">
        <v>572</v>
      </c>
      <c r="C24" s="120">
        <v>2787</v>
      </c>
      <c r="D24" s="980" t="s">
        <v>267</v>
      </c>
      <c r="E24" s="1089" t="s">
        <v>1145</v>
      </c>
      <c r="F24" s="91" t="s">
        <v>65</v>
      </c>
      <c r="G24" s="380" t="s">
        <v>213</v>
      </c>
      <c r="H24" s="703" t="s">
        <v>1146</v>
      </c>
      <c r="I24" s="1091"/>
      <c r="J24" s="91" t="s">
        <v>555</v>
      </c>
      <c r="K24" s="91" t="s">
        <v>194</v>
      </c>
      <c r="L24" s="1076">
        <f t="shared" si="0"/>
        <v>2787</v>
      </c>
      <c r="M24" s="336"/>
      <c r="N24" s="336"/>
    </row>
    <row r="25" spans="1:14" s="367" customFormat="1" ht="42.8" customHeight="1">
      <c r="A25" s="723">
        <v>21</v>
      </c>
      <c r="B25" s="1092" t="s">
        <v>556</v>
      </c>
      <c r="C25" s="94">
        <v>2900</v>
      </c>
      <c r="D25" s="980" t="s">
        <v>267</v>
      </c>
      <c r="E25" s="1089" t="s">
        <v>1147</v>
      </c>
      <c r="F25" s="87" t="s">
        <v>65</v>
      </c>
      <c r="G25" s="379" t="s">
        <v>546</v>
      </c>
      <c r="H25" s="1093" t="s">
        <v>1148</v>
      </c>
      <c r="I25" s="1008"/>
      <c r="J25" s="133" t="s">
        <v>24</v>
      </c>
      <c r="K25" s="87" t="s">
        <v>194</v>
      </c>
      <c r="L25" s="335">
        <f t="shared" si="0"/>
        <v>2900</v>
      </c>
      <c r="M25" s="336"/>
      <c r="N25" s="336"/>
    </row>
    <row r="26" spans="1:14" s="367" customFormat="1" ht="45.7" customHeight="1">
      <c r="A26" s="723">
        <v>22</v>
      </c>
      <c r="B26" s="91" t="s">
        <v>1149</v>
      </c>
      <c r="C26" s="120">
        <v>2300</v>
      </c>
      <c r="D26" s="980" t="s">
        <v>267</v>
      </c>
      <c r="E26" s="1089" t="s">
        <v>1150</v>
      </c>
      <c r="F26" s="91" t="s">
        <v>65</v>
      </c>
      <c r="G26" s="380" t="s">
        <v>117</v>
      </c>
      <c r="H26" s="703" t="s">
        <v>1151</v>
      </c>
      <c r="I26" s="380" t="s">
        <v>1152</v>
      </c>
      <c r="J26" s="91" t="s">
        <v>18</v>
      </c>
      <c r="K26" s="91" t="s">
        <v>194</v>
      </c>
      <c r="L26" s="1076">
        <f t="shared" si="0"/>
        <v>2300</v>
      </c>
      <c r="M26" s="336"/>
      <c r="N26" s="336"/>
    </row>
    <row r="27" spans="1:14" s="367" customFormat="1" ht="66.099999999999994" customHeight="1">
      <c r="A27" s="723">
        <v>23</v>
      </c>
      <c r="B27" s="87" t="s">
        <v>622</v>
      </c>
      <c r="C27" s="94">
        <v>3550</v>
      </c>
      <c r="D27" s="980" t="s">
        <v>267</v>
      </c>
      <c r="E27" s="980" t="s">
        <v>1153</v>
      </c>
      <c r="F27" s="91" t="s">
        <v>65</v>
      </c>
      <c r="G27" s="380" t="s">
        <v>1000</v>
      </c>
      <c r="H27" s="703" t="s">
        <v>1154</v>
      </c>
      <c r="I27" s="787"/>
      <c r="J27" s="91" t="s">
        <v>22</v>
      </c>
      <c r="K27" s="91" t="s">
        <v>194</v>
      </c>
      <c r="L27" s="335">
        <f t="shared" si="0"/>
        <v>3550</v>
      </c>
      <c r="M27" s="336"/>
      <c r="N27" s="336"/>
    </row>
    <row r="28" spans="1:14" s="367" customFormat="1" ht="80.349999999999994" customHeight="1">
      <c r="A28" s="723">
        <v>24</v>
      </c>
      <c r="B28" s="87" t="s">
        <v>947</v>
      </c>
      <c r="C28" s="94">
        <v>4550</v>
      </c>
      <c r="D28" s="980" t="s">
        <v>267</v>
      </c>
      <c r="E28" s="980" t="s">
        <v>1155</v>
      </c>
      <c r="F28" s="91" t="s">
        <v>65</v>
      </c>
      <c r="G28" s="380" t="s">
        <v>117</v>
      </c>
      <c r="H28" s="703" t="s">
        <v>1156</v>
      </c>
      <c r="I28" s="876" t="s">
        <v>1157</v>
      </c>
      <c r="J28" s="91" t="s">
        <v>24</v>
      </c>
      <c r="K28" s="91" t="s">
        <v>194</v>
      </c>
      <c r="L28" s="335">
        <f t="shared" si="0"/>
        <v>4550</v>
      </c>
      <c r="M28" s="336"/>
      <c r="N28" s="336"/>
    </row>
    <row r="29" spans="1:14" s="367" customFormat="1" ht="91.7">
      <c r="A29" s="723">
        <v>25</v>
      </c>
      <c r="B29" s="87" t="s">
        <v>1158</v>
      </c>
      <c r="C29" s="94">
        <v>5880</v>
      </c>
      <c r="D29" s="980" t="s">
        <v>267</v>
      </c>
      <c r="E29" s="980" t="s">
        <v>1159</v>
      </c>
      <c r="F29" s="91" t="s">
        <v>65</v>
      </c>
      <c r="G29" s="380" t="s">
        <v>1160</v>
      </c>
      <c r="H29" s="1025" t="s">
        <v>1161</v>
      </c>
      <c r="I29" s="798"/>
      <c r="J29" s="91" t="s">
        <v>24</v>
      </c>
      <c r="K29" s="91" t="s">
        <v>194</v>
      </c>
      <c r="L29" s="335">
        <f t="shared" si="0"/>
        <v>5880</v>
      </c>
      <c r="M29" s="336"/>
      <c r="N29" s="336"/>
    </row>
    <row r="30" spans="1:14" s="367" customFormat="1" ht="55.55" customHeight="1">
      <c r="A30" s="786">
        <v>26</v>
      </c>
      <c r="B30" s="1092" t="s">
        <v>1077</v>
      </c>
      <c r="C30" s="94">
        <v>3250</v>
      </c>
      <c r="D30" s="980" t="s">
        <v>267</v>
      </c>
      <c r="E30" s="133" t="s">
        <v>1162</v>
      </c>
      <c r="F30" s="87" t="s">
        <v>65</v>
      </c>
      <c r="G30" s="87" t="s">
        <v>1000</v>
      </c>
      <c r="H30" s="1093" t="s">
        <v>1163</v>
      </c>
      <c r="I30" s="1094"/>
      <c r="J30" s="87" t="s">
        <v>88</v>
      </c>
      <c r="K30" s="87" t="s">
        <v>194</v>
      </c>
      <c r="L30" s="335">
        <f t="shared" si="0"/>
        <v>3250</v>
      </c>
      <c r="M30" s="336"/>
      <c r="N30" s="336"/>
    </row>
    <row r="31" spans="1:14" s="336" customFormat="1" ht="71.349999999999994" customHeight="1">
      <c r="A31" s="786">
        <v>27</v>
      </c>
      <c r="B31" s="87" t="s">
        <v>1073</v>
      </c>
      <c r="C31" s="94">
        <v>2980</v>
      </c>
      <c r="D31" s="980" t="s">
        <v>267</v>
      </c>
      <c r="E31" s="133" t="s">
        <v>1164</v>
      </c>
      <c r="F31" s="91" t="s">
        <v>65</v>
      </c>
      <c r="G31" s="133" t="s">
        <v>117</v>
      </c>
      <c r="H31" s="93" t="s">
        <v>1165</v>
      </c>
      <c r="I31" s="108"/>
      <c r="J31" s="115" t="s">
        <v>88</v>
      </c>
      <c r="K31" s="91" t="s">
        <v>194</v>
      </c>
      <c r="L31" s="1066">
        <f t="shared" si="0"/>
        <v>2980</v>
      </c>
    </row>
    <row r="32" spans="1:14" s="855" customFormat="1" ht="73.400000000000006">
      <c r="A32" s="1095">
        <v>28</v>
      </c>
      <c r="B32" s="180" t="s">
        <v>962</v>
      </c>
      <c r="C32" s="190">
        <v>4600</v>
      </c>
      <c r="D32" s="702" t="s">
        <v>267</v>
      </c>
      <c r="E32" s="707" t="s">
        <v>1166</v>
      </c>
      <c r="F32" s="180" t="s">
        <v>65</v>
      </c>
      <c r="G32" s="691" t="s">
        <v>1167</v>
      </c>
      <c r="H32" s="156" t="s">
        <v>1168</v>
      </c>
      <c r="I32" s="1096" t="s">
        <v>1169</v>
      </c>
      <c r="J32" s="1097" t="s">
        <v>24</v>
      </c>
      <c r="K32" s="180" t="s">
        <v>194</v>
      </c>
      <c r="L32" s="1098">
        <f t="shared" si="0"/>
        <v>4600</v>
      </c>
      <c r="M32" s="150"/>
      <c r="N32" s="150"/>
    </row>
    <row r="33" spans="1:14" s="367" customFormat="1" ht="131.94999999999999" customHeight="1">
      <c r="A33" s="797">
        <v>29</v>
      </c>
      <c r="B33" s="1090" t="s">
        <v>600</v>
      </c>
      <c r="C33" s="1099">
        <v>3260</v>
      </c>
      <c r="D33" s="702" t="s">
        <v>267</v>
      </c>
      <c r="E33" s="380" t="s">
        <v>1170</v>
      </c>
      <c r="F33" s="91" t="s">
        <v>65</v>
      </c>
      <c r="G33" s="152" t="s">
        <v>782</v>
      </c>
      <c r="H33" s="156" t="s">
        <v>1171</v>
      </c>
      <c r="I33" s="1100" t="s">
        <v>1172</v>
      </c>
      <c r="J33" s="115" t="s">
        <v>24</v>
      </c>
      <c r="K33" s="91" t="s">
        <v>194</v>
      </c>
      <c r="L33" s="1082">
        <f t="shared" si="0"/>
        <v>3260</v>
      </c>
      <c r="M33" s="336"/>
      <c r="N33" s="336"/>
    </row>
    <row r="34" spans="1:14" s="367" customFormat="1" ht="214.5" customHeight="1">
      <c r="A34" s="786">
        <v>30</v>
      </c>
      <c r="B34" s="177" t="s">
        <v>1173</v>
      </c>
      <c r="C34" s="1099">
        <v>18000</v>
      </c>
      <c r="D34" s="980" t="s">
        <v>267</v>
      </c>
      <c r="E34" s="980" t="s">
        <v>1174</v>
      </c>
      <c r="F34" s="91" t="s">
        <v>65</v>
      </c>
      <c r="G34" s="380" t="s">
        <v>106</v>
      </c>
      <c r="H34" s="156" t="s">
        <v>1175</v>
      </c>
      <c r="I34" s="1025" t="s">
        <v>1176</v>
      </c>
      <c r="J34" s="91" t="s">
        <v>24</v>
      </c>
      <c r="K34" s="91" t="s">
        <v>194</v>
      </c>
      <c r="L34" s="1076">
        <f t="shared" si="0"/>
        <v>18000</v>
      </c>
      <c r="M34" s="336"/>
      <c r="N34" s="336"/>
    </row>
    <row r="35" spans="1:14" s="367" customFormat="1" ht="62.35" customHeight="1">
      <c r="A35" s="786">
        <v>31</v>
      </c>
      <c r="B35" s="177" t="s">
        <v>1104</v>
      </c>
      <c r="C35" s="94">
        <v>3280</v>
      </c>
      <c r="D35" s="133" t="s">
        <v>267</v>
      </c>
      <c r="E35" s="133" t="s">
        <v>1177</v>
      </c>
      <c r="F35" s="87" t="s">
        <v>65</v>
      </c>
      <c r="G35" s="133" t="s">
        <v>142</v>
      </c>
      <c r="H35" s="1101" t="s">
        <v>1178</v>
      </c>
      <c r="I35" s="140" t="s">
        <v>1172</v>
      </c>
      <c r="J35" s="87" t="s">
        <v>24</v>
      </c>
      <c r="K35" s="87" t="s">
        <v>194</v>
      </c>
      <c r="L35" s="335">
        <f t="shared" si="0"/>
        <v>3280</v>
      </c>
      <c r="M35" s="336"/>
      <c r="N35" s="336"/>
    </row>
    <row r="36" spans="1:14" s="367" customFormat="1" ht="60.8" customHeight="1">
      <c r="A36" s="786">
        <v>32</v>
      </c>
      <c r="B36" s="177" t="s">
        <v>581</v>
      </c>
      <c r="C36" s="94">
        <v>3550</v>
      </c>
      <c r="D36" s="133" t="s">
        <v>267</v>
      </c>
      <c r="E36" s="133"/>
      <c r="F36" s="87" t="s">
        <v>65</v>
      </c>
      <c r="G36" s="87" t="s">
        <v>1179</v>
      </c>
      <c r="H36" s="155" t="s">
        <v>1180</v>
      </c>
      <c r="I36" s="108"/>
      <c r="J36" s="87" t="s">
        <v>88</v>
      </c>
      <c r="K36" s="87" t="s">
        <v>194</v>
      </c>
      <c r="L36" s="335">
        <f t="shared" si="0"/>
        <v>3550</v>
      </c>
      <c r="M36" s="336"/>
      <c r="N36" s="336"/>
    </row>
    <row r="37" spans="1:14" s="367" customFormat="1" ht="95.95" customHeight="1">
      <c r="A37" s="745">
        <v>33</v>
      </c>
      <c r="B37" s="182" t="s">
        <v>603</v>
      </c>
      <c r="C37" s="114">
        <v>2787</v>
      </c>
      <c r="D37" s="384" t="s">
        <v>267</v>
      </c>
      <c r="E37" s="384" t="s">
        <v>1181</v>
      </c>
      <c r="F37" s="126" t="s">
        <v>65</v>
      </c>
      <c r="G37" s="87" t="s">
        <v>1179</v>
      </c>
      <c r="H37" s="1013" t="s">
        <v>1182</v>
      </c>
      <c r="I37" s="1102">
        <f>2787-412-95-1000</f>
        <v>1280</v>
      </c>
      <c r="J37" s="130" t="s">
        <v>555</v>
      </c>
      <c r="K37" s="130" t="s">
        <v>194</v>
      </c>
      <c r="L37" s="338">
        <f t="shared" ref="L37:L62" si="2">C37</f>
        <v>2787</v>
      </c>
      <c r="M37" s="336"/>
      <c r="N37" s="336"/>
    </row>
    <row r="38" spans="1:14" s="367" customFormat="1" ht="125.35" customHeight="1">
      <c r="A38" s="786">
        <v>34</v>
      </c>
      <c r="B38" s="177" t="s">
        <v>662</v>
      </c>
      <c r="C38" s="94">
        <v>4700</v>
      </c>
      <c r="D38" s="133" t="s">
        <v>267</v>
      </c>
      <c r="E38" s="133" t="s">
        <v>1183</v>
      </c>
      <c r="F38" s="87" t="s">
        <v>65</v>
      </c>
      <c r="G38" s="87" t="s">
        <v>1179</v>
      </c>
      <c r="H38" s="1101" t="s">
        <v>1184</v>
      </c>
      <c r="I38" s="345" t="s">
        <v>1185</v>
      </c>
      <c r="J38" s="87" t="s">
        <v>18</v>
      </c>
      <c r="K38" s="87" t="s">
        <v>194</v>
      </c>
      <c r="L38" s="335">
        <f t="shared" si="2"/>
        <v>4700</v>
      </c>
      <c r="M38" s="336"/>
      <c r="N38" s="336"/>
    </row>
    <row r="39" spans="1:14" s="336" customFormat="1" ht="77.3" customHeight="1">
      <c r="A39" s="786">
        <v>35</v>
      </c>
      <c r="B39" s="177" t="s">
        <v>679</v>
      </c>
      <c r="C39" s="94">
        <v>3800</v>
      </c>
      <c r="D39" s="133" t="s">
        <v>267</v>
      </c>
      <c r="E39" s="133" t="s">
        <v>1186</v>
      </c>
      <c r="F39" s="91" t="s">
        <v>65</v>
      </c>
      <c r="G39" s="87" t="s">
        <v>213</v>
      </c>
      <c r="H39" s="93" t="s">
        <v>1187</v>
      </c>
      <c r="I39" s="108">
        <f>3800-1030-250</f>
        <v>2520</v>
      </c>
      <c r="J39" s="115" t="s">
        <v>22</v>
      </c>
      <c r="K39" s="91" t="s">
        <v>194</v>
      </c>
      <c r="L39" s="1082">
        <f t="shared" si="2"/>
        <v>3800</v>
      </c>
    </row>
    <row r="40" spans="1:14" s="336" customFormat="1" ht="74.25" customHeight="1">
      <c r="A40" s="786">
        <v>36</v>
      </c>
      <c r="B40" s="177" t="s">
        <v>1188</v>
      </c>
      <c r="C40" s="94">
        <v>5250</v>
      </c>
      <c r="D40" s="133" t="s">
        <v>267</v>
      </c>
      <c r="E40" s="133" t="s">
        <v>1189</v>
      </c>
      <c r="F40" s="91" t="s">
        <v>65</v>
      </c>
      <c r="G40" s="87" t="s">
        <v>1000</v>
      </c>
      <c r="H40" s="93" t="s">
        <v>1190</v>
      </c>
      <c r="I40" s="108"/>
      <c r="J40" s="87" t="s">
        <v>26</v>
      </c>
      <c r="K40" s="91" t="s">
        <v>194</v>
      </c>
      <c r="L40" s="1066">
        <f t="shared" si="2"/>
        <v>5250</v>
      </c>
    </row>
    <row r="41" spans="1:14" s="367" customFormat="1" ht="90" customHeight="1">
      <c r="A41" s="786">
        <v>37</v>
      </c>
      <c r="B41" s="182" t="s">
        <v>1191</v>
      </c>
      <c r="C41" s="114">
        <v>5000</v>
      </c>
      <c r="D41" s="384" t="s">
        <v>267</v>
      </c>
      <c r="E41" s="384" t="s">
        <v>1192</v>
      </c>
      <c r="F41" s="87" t="s">
        <v>65</v>
      </c>
      <c r="G41" s="87" t="s">
        <v>1179</v>
      </c>
      <c r="H41" s="1009" t="s">
        <v>1193</v>
      </c>
      <c r="I41" s="108"/>
      <c r="J41" s="129" t="s">
        <v>22</v>
      </c>
      <c r="K41" s="87" t="s">
        <v>194</v>
      </c>
      <c r="L41" s="335">
        <f t="shared" si="2"/>
        <v>5000</v>
      </c>
      <c r="M41" s="336"/>
      <c r="N41" s="336"/>
    </row>
    <row r="42" spans="1:14" s="336" customFormat="1" ht="58.6" customHeight="1">
      <c r="A42" s="786">
        <v>38</v>
      </c>
      <c r="B42" s="87" t="s">
        <v>1194</v>
      </c>
      <c r="C42" s="94">
        <v>2930</v>
      </c>
      <c r="D42" s="133" t="s">
        <v>267</v>
      </c>
      <c r="E42" s="133" t="s">
        <v>1195</v>
      </c>
      <c r="F42" s="91" t="s">
        <v>65</v>
      </c>
      <c r="G42" s="87" t="s">
        <v>164</v>
      </c>
      <c r="H42" s="93" t="s">
        <v>1196</v>
      </c>
      <c r="I42" s="1239"/>
      <c r="J42" s="115" t="s">
        <v>24</v>
      </c>
      <c r="K42" s="91" t="s">
        <v>194</v>
      </c>
      <c r="L42" s="1066">
        <f t="shared" si="2"/>
        <v>2930</v>
      </c>
    </row>
    <row r="43" spans="1:14" s="367" customFormat="1" ht="77.3" customHeight="1">
      <c r="A43" s="786">
        <v>39</v>
      </c>
      <c r="B43" s="87" t="s">
        <v>334</v>
      </c>
      <c r="C43" s="94">
        <v>4720</v>
      </c>
      <c r="D43" s="133" t="s">
        <v>267</v>
      </c>
      <c r="E43" s="133" t="s">
        <v>1197</v>
      </c>
      <c r="F43" s="91" t="s">
        <v>65</v>
      </c>
      <c r="G43" s="87" t="s">
        <v>213</v>
      </c>
      <c r="H43" s="93" t="s">
        <v>1198</v>
      </c>
      <c r="I43" s="93"/>
      <c r="J43" s="115" t="s">
        <v>22</v>
      </c>
      <c r="K43" s="91" t="s">
        <v>194</v>
      </c>
      <c r="L43" s="1083">
        <f t="shared" si="2"/>
        <v>4720</v>
      </c>
      <c r="M43" s="336"/>
      <c r="N43" s="336"/>
    </row>
    <row r="44" spans="1:14" s="336" customFormat="1" ht="58.6" customHeight="1">
      <c r="A44" s="786">
        <v>40</v>
      </c>
      <c r="B44" s="87" t="s">
        <v>987</v>
      </c>
      <c r="C44" s="94">
        <v>3180</v>
      </c>
      <c r="D44" s="133" t="s">
        <v>267</v>
      </c>
      <c r="E44" s="133" t="s">
        <v>1199</v>
      </c>
      <c r="F44" s="91" t="s">
        <v>65</v>
      </c>
      <c r="G44" s="87" t="s">
        <v>164</v>
      </c>
      <c r="H44" s="93" t="s">
        <v>1200</v>
      </c>
      <c r="I44" s="1035" t="s">
        <v>1201</v>
      </c>
      <c r="J44" s="115" t="s">
        <v>22</v>
      </c>
      <c r="K44" s="91" t="s">
        <v>194</v>
      </c>
      <c r="L44" s="1066">
        <f t="shared" si="2"/>
        <v>3180</v>
      </c>
    </row>
    <row r="45" spans="1:14" s="336" customFormat="1" ht="58.6" customHeight="1">
      <c r="A45" s="786">
        <v>41</v>
      </c>
      <c r="B45" s="87" t="s">
        <v>630</v>
      </c>
      <c r="C45" s="94">
        <v>4000</v>
      </c>
      <c r="D45" s="133" t="s">
        <v>267</v>
      </c>
      <c r="E45" s="133" t="s">
        <v>1202</v>
      </c>
      <c r="F45" s="91" t="s">
        <v>65</v>
      </c>
      <c r="G45" s="87" t="s">
        <v>213</v>
      </c>
      <c r="H45" s="93" t="s">
        <v>1203</v>
      </c>
      <c r="I45" s="1035"/>
      <c r="J45" s="115" t="s">
        <v>88</v>
      </c>
      <c r="K45" s="91" t="s">
        <v>194</v>
      </c>
      <c r="L45" s="1083">
        <f t="shared" si="2"/>
        <v>4000</v>
      </c>
    </row>
    <row r="46" spans="1:14" s="336" customFormat="1" ht="91.7">
      <c r="A46" s="786">
        <v>42</v>
      </c>
      <c r="B46" s="87" t="s">
        <v>1204</v>
      </c>
      <c r="C46" s="94">
        <v>4599</v>
      </c>
      <c r="D46" s="133" t="s">
        <v>267</v>
      </c>
      <c r="E46" s="133"/>
      <c r="F46" s="91" t="s">
        <v>65</v>
      </c>
      <c r="G46" s="87" t="s">
        <v>558</v>
      </c>
      <c r="H46" s="93" t="s">
        <v>1205</v>
      </c>
      <c r="I46" s="1035" t="s">
        <v>1206</v>
      </c>
      <c r="J46" s="115" t="s">
        <v>88</v>
      </c>
      <c r="K46" s="91" t="s">
        <v>194</v>
      </c>
      <c r="L46" s="1083">
        <f t="shared" si="2"/>
        <v>4599</v>
      </c>
    </row>
    <row r="47" spans="1:14" s="336" customFormat="1" ht="79.5" customHeight="1">
      <c r="A47" s="786">
        <v>43</v>
      </c>
      <c r="B47" s="87" t="s">
        <v>1207</v>
      </c>
      <c r="C47" s="94">
        <v>4300</v>
      </c>
      <c r="D47" s="133" t="s">
        <v>267</v>
      </c>
      <c r="E47" s="133"/>
      <c r="F47" s="91" t="s">
        <v>65</v>
      </c>
      <c r="G47" s="87" t="s">
        <v>213</v>
      </c>
      <c r="H47" s="93" t="s">
        <v>1208</v>
      </c>
      <c r="I47" s="1113">
        <f>4300-725-500-1800</f>
        <v>1275</v>
      </c>
      <c r="J47" s="115" t="s">
        <v>18</v>
      </c>
      <c r="K47" s="91" t="s">
        <v>194</v>
      </c>
      <c r="L47" s="1083">
        <f t="shared" si="2"/>
        <v>4300</v>
      </c>
    </row>
    <row r="48" spans="1:14" s="336" customFormat="1" ht="40.6" customHeight="1">
      <c r="A48" s="786">
        <v>44</v>
      </c>
      <c r="B48" s="87" t="s">
        <v>1209</v>
      </c>
      <c r="C48" s="94">
        <v>3060</v>
      </c>
      <c r="D48" s="133" t="s">
        <v>267</v>
      </c>
      <c r="E48" s="133"/>
      <c r="F48" s="91" t="s">
        <v>65</v>
      </c>
      <c r="G48" s="87" t="s">
        <v>294</v>
      </c>
      <c r="H48" s="93" t="s">
        <v>1210</v>
      </c>
      <c r="I48" s="1113"/>
      <c r="J48" s="115" t="s">
        <v>24</v>
      </c>
      <c r="K48" s="91" t="s">
        <v>194</v>
      </c>
      <c r="L48" s="1083">
        <f t="shared" si="2"/>
        <v>3060</v>
      </c>
    </row>
    <row r="49" spans="1:14" s="367" customFormat="1" ht="72.7" customHeight="1">
      <c r="A49" s="786">
        <v>45</v>
      </c>
      <c r="B49" s="1092" t="s">
        <v>556</v>
      </c>
      <c r="C49" s="94">
        <v>2930</v>
      </c>
      <c r="D49" s="133" t="s">
        <v>267</v>
      </c>
      <c r="E49" s="133" t="s">
        <v>1186</v>
      </c>
      <c r="F49" s="91" t="s">
        <v>65</v>
      </c>
      <c r="G49" s="87" t="s">
        <v>164</v>
      </c>
      <c r="H49" s="93" t="s">
        <v>1211</v>
      </c>
      <c r="I49" s="1035" t="s">
        <v>1212</v>
      </c>
      <c r="J49" s="115" t="s">
        <v>24</v>
      </c>
      <c r="K49" s="91" t="s">
        <v>194</v>
      </c>
      <c r="L49" s="1083">
        <f t="shared" si="2"/>
        <v>2930</v>
      </c>
      <c r="M49" s="336"/>
      <c r="N49" s="336"/>
    </row>
    <row r="50" spans="1:14" s="367" customFormat="1" ht="50.3" customHeight="1">
      <c r="A50" s="786">
        <v>46</v>
      </c>
      <c r="B50" s="1092" t="s">
        <v>1213</v>
      </c>
      <c r="C50" s="94">
        <v>3660</v>
      </c>
      <c r="D50" s="133" t="s">
        <v>267</v>
      </c>
      <c r="E50" s="133" t="s">
        <v>1214</v>
      </c>
      <c r="F50" s="91" t="s">
        <v>65</v>
      </c>
      <c r="G50" s="87" t="s">
        <v>142</v>
      </c>
      <c r="H50" s="93" t="s">
        <v>1215</v>
      </c>
      <c r="I50" s="1035" t="s">
        <v>1212</v>
      </c>
      <c r="J50" s="87" t="s">
        <v>24</v>
      </c>
      <c r="K50" s="91" t="s">
        <v>194</v>
      </c>
      <c r="L50" s="1083">
        <f t="shared" si="2"/>
        <v>3660</v>
      </c>
      <c r="M50" s="336"/>
      <c r="N50" s="336"/>
    </row>
    <row r="51" spans="1:14" s="336" customFormat="1" ht="40.6" customHeight="1">
      <c r="A51" s="786">
        <v>47</v>
      </c>
      <c r="B51" s="1092" t="s">
        <v>622</v>
      </c>
      <c r="C51" s="94">
        <v>3500</v>
      </c>
      <c r="D51" s="133" t="s">
        <v>267</v>
      </c>
      <c r="E51" s="133" t="s">
        <v>1216</v>
      </c>
      <c r="F51" s="91" t="s">
        <v>65</v>
      </c>
      <c r="G51" s="87" t="s">
        <v>213</v>
      </c>
      <c r="H51" s="93" t="s">
        <v>1217</v>
      </c>
      <c r="I51" s="1113" t="s">
        <v>1218</v>
      </c>
      <c r="J51" s="115" t="s">
        <v>22</v>
      </c>
      <c r="K51" s="91" t="s">
        <v>194</v>
      </c>
      <c r="L51" s="1083">
        <f t="shared" si="2"/>
        <v>3500</v>
      </c>
    </row>
    <row r="52" spans="1:14" s="367" customFormat="1" ht="140.94999999999999" customHeight="1">
      <c r="A52" s="786">
        <v>48</v>
      </c>
      <c r="B52" s="87" t="s">
        <v>966</v>
      </c>
      <c r="C52" s="94">
        <v>7650</v>
      </c>
      <c r="D52" s="133" t="s">
        <v>267</v>
      </c>
      <c r="E52" s="133" t="s">
        <v>1219</v>
      </c>
      <c r="F52" s="91" t="s">
        <v>65</v>
      </c>
      <c r="G52" s="87" t="s">
        <v>558</v>
      </c>
      <c r="H52" s="93" t="s">
        <v>1220</v>
      </c>
      <c r="I52" s="1035" t="s">
        <v>1221</v>
      </c>
      <c r="J52" s="87" t="s">
        <v>18</v>
      </c>
      <c r="K52" s="91" t="s">
        <v>194</v>
      </c>
      <c r="L52" s="1083">
        <f t="shared" si="2"/>
        <v>7650</v>
      </c>
      <c r="M52" s="336"/>
      <c r="N52" s="336"/>
    </row>
    <row r="53" spans="1:14" s="367" customFormat="1" ht="50.95" customHeight="1">
      <c r="A53" s="786">
        <v>49</v>
      </c>
      <c r="B53" s="1092" t="s">
        <v>572</v>
      </c>
      <c r="C53" s="94">
        <v>2787</v>
      </c>
      <c r="D53" s="133" t="s">
        <v>267</v>
      </c>
      <c r="E53" s="133" t="s">
        <v>1222</v>
      </c>
      <c r="F53" s="91" t="s">
        <v>65</v>
      </c>
      <c r="G53" s="87" t="s">
        <v>213</v>
      </c>
      <c r="H53" s="93" t="s">
        <v>1217</v>
      </c>
      <c r="I53" s="1113" t="s">
        <v>1223</v>
      </c>
      <c r="J53" s="115" t="s">
        <v>555</v>
      </c>
      <c r="K53" s="91" t="s">
        <v>194</v>
      </c>
      <c r="L53" s="1083">
        <f t="shared" si="2"/>
        <v>2787</v>
      </c>
      <c r="M53" s="336"/>
      <c r="N53" s="336"/>
    </row>
    <row r="54" spans="1:14" s="336" customFormat="1" ht="93.1" customHeight="1">
      <c r="A54" s="786">
        <v>50</v>
      </c>
      <c r="B54" s="1092" t="s">
        <v>605</v>
      </c>
      <c r="C54" s="94">
        <v>3050</v>
      </c>
      <c r="D54" s="133" t="s">
        <v>267</v>
      </c>
      <c r="E54" s="133" t="s">
        <v>1224</v>
      </c>
      <c r="F54" s="91" t="s">
        <v>65</v>
      </c>
      <c r="G54" s="87" t="s">
        <v>164</v>
      </c>
      <c r="H54" s="93" t="s">
        <v>1225</v>
      </c>
      <c r="I54" s="1114" t="s">
        <v>1226</v>
      </c>
      <c r="J54" s="115" t="s">
        <v>24</v>
      </c>
      <c r="K54" s="91" t="s">
        <v>194</v>
      </c>
      <c r="L54" s="1083">
        <f t="shared" si="2"/>
        <v>3050</v>
      </c>
    </row>
    <row r="55" spans="1:14" s="336" customFormat="1" ht="102.1" customHeight="1">
      <c r="A55" s="786">
        <v>51</v>
      </c>
      <c r="B55" s="87" t="s">
        <v>1142</v>
      </c>
      <c r="C55" s="94">
        <v>4350</v>
      </c>
      <c r="D55" s="133" t="s">
        <v>267</v>
      </c>
      <c r="E55" s="133" t="s">
        <v>1227</v>
      </c>
      <c r="F55" s="91" t="s">
        <v>65</v>
      </c>
      <c r="G55" s="87" t="s">
        <v>213</v>
      </c>
      <c r="H55" s="93" t="s">
        <v>1228</v>
      </c>
      <c r="I55" s="1113" t="s">
        <v>1229</v>
      </c>
      <c r="J55" s="115" t="s">
        <v>22</v>
      </c>
      <c r="K55" s="91" t="s">
        <v>194</v>
      </c>
      <c r="L55" s="1083">
        <f t="shared" si="2"/>
        <v>4350</v>
      </c>
    </row>
    <row r="56" spans="1:14" s="336" customFormat="1" ht="56.25" customHeight="1">
      <c r="A56" s="786">
        <v>52</v>
      </c>
      <c r="B56" s="87" t="s">
        <v>1230</v>
      </c>
      <c r="C56" s="94">
        <v>1830</v>
      </c>
      <c r="D56" s="133" t="s">
        <v>267</v>
      </c>
      <c r="E56" s="133" t="s">
        <v>1231</v>
      </c>
      <c r="F56" s="91" t="s">
        <v>65</v>
      </c>
      <c r="G56" s="87" t="s">
        <v>213</v>
      </c>
      <c r="H56" s="93" t="s">
        <v>1232</v>
      </c>
      <c r="I56" s="1113"/>
      <c r="J56" s="115" t="s">
        <v>18</v>
      </c>
      <c r="K56" s="91" t="s">
        <v>194</v>
      </c>
      <c r="L56" s="1083">
        <f t="shared" si="2"/>
        <v>1830</v>
      </c>
    </row>
    <row r="57" spans="1:14" s="367" customFormat="1" ht="47.25" customHeight="1">
      <c r="A57" s="786">
        <v>53</v>
      </c>
      <c r="B57" s="1092" t="s">
        <v>1233</v>
      </c>
      <c r="C57" s="94">
        <v>5870</v>
      </c>
      <c r="D57" s="133" t="s">
        <v>267</v>
      </c>
      <c r="E57" s="133" t="s">
        <v>1234</v>
      </c>
      <c r="F57" s="91" t="s">
        <v>65</v>
      </c>
      <c r="G57" s="87" t="s">
        <v>1235</v>
      </c>
      <c r="H57" s="93" t="s">
        <v>1236</v>
      </c>
      <c r="I57" s="1035" t="s">
        <v>1212</v>
      </c>
      <c r="J57" s="115" t="s">
        <v>22</v>
      </c>
      <c r="K57" s="91" t="s">
        <v>194</v>
      </c>
      <c r="L57" s="1083">
        <f t="shared" si="2"/>
        <v>5870</v>
      </c>
      <c r="M57" s="336"/>
      <c r="N57" s="336"/>
    </row>
    <row r="58" spans="1:14" s="336" customFormat="1" ht="40.6" customHeight="1">
      <c r="A58" s="786">
        <v>54</v>
      </c>
      <c r="B58" s="87" t="s">
        <v>1237</v>
      </c>
      <c r="C58" s="94">
        <v>3150</v>
      </c>
      <c r="D58" s="133" t="s">
        <v>267</v>
      </c>
      <c r="E58" s="133"/>
      <c r="F58" s="91" t="s">
        <v>65</v>
      </c>
      <c r="G58" s="87" t="s">
        <v>213</v>
      </c>
      <c r="H58" s="93" t="s">
        <v>1238</v>
      </c>
      <c r="I58" s="1113"/>
      <c r="J58" s="115" t="s">
        <v>22</v>
      </c>
      <c r="K58" s="91" t="s">
        <v>194</v>
      </c>
      <c r="L58" s="1083">
        <f t="shared" si="2"/>
        <v>3150</v>
      </c>
    </row>
    <row r="59" spans="1:14" s="336" customFormat="1" ht="56.25" customHeight="1">
      <c r="A59" s="786">
        <v>55</v>
      </c>
      <c r="B59" s="87" t="s">
        <v>1123</v>
      </c>
      <c r="C59" s="94">
        <v>4650</v>
      </c>
      <c r="D59" s="133" t="s">
        <v>267</v>
      </c>
      <c r="E59" s="133" t="s">
        <v>1239</v>
      </c>
      <c r="F59" s="91" t="s">
        <v>65</v>
      </c>
      <c r="G59" s="87" t="s">
        <v>213</v>
      </c>
      <c r="H59" s="93" t="s">
        <v>1240</v>
      </c>
      <c r="I59" s="1113"/>
      <c r="J59" s="115" t="s">
        <v>26</v>
      </c>
      <c r="K59" s="91" t="s">
        <v>194</v>
      </c>
      <c r="L59" s="1083">
        <f t="shared" si="2"/>
        <v>4650</v>
      </c>
    </row>
    <row r="60" spans="1:14" s="336" customFormat="1" ht="40.6" customHeight="1">
      <c r="A60" s="786">
        <v>56</v>
      </c>
      <c r="B60" s="1092" t="s">
        <v>1241</v>
      </c>
      <c r="C60" s="94">
        <v>3150</v>
      </c>
      <c r="D60" s="133" t="s">
        <v>267</v>
      </c>
      <c r="E60" s="133" t="s">
        <v>1242</v>
      </c>
      <c r="F60" s="91" t="s">
        <v>65</v>
      </c>
      <c r="G60" s="87" t="s">
        <v>142</v>
      </c>
      <c r="H60" s="93" t="s">
        <v>1243</v>
      </c>
      <c r="I60" s="1115" t="s">
        <v>946</v>
      </c>
      <c r="J60" s="115" t="s">
        <v>26</v>
      </c>
      <c r="K60" s="91" t="s">
        <v>194</v>
      </c>
      <c r="L60" s="1083">
        <f t="shared" si="2"/>
        <v>3150</v>
      </c>
    </row>
    <row r="61" spans="1:14" s="336" customFormat="1" ht="55.05">
      <c r="A61" s="786">
        <v>57</v>
      </c>
      <c r="B61" s="87" t="s">
        <v>1244</v>
      </c>
      <c r="C61" s="94">
        <v>3380</v>
      </c>
      <c r="D61" s="133" t="s">
        <v>267</v>
      </c>
      <c r="E61" s="133" t="s">
        <v>1245</v>
      </c>
      <c r="F61" s="91" t="s">
        <v>65</v>
      </c>
      <c r="G61" s="87" t="s">
        <v>213</v>
      </c>
      <c r="H61" s="93" t="s">
        <v>1246</v>
      </c>
      <c r="I61" s="1113"/>
      <c r="J61" s="115" t="s">
        <v>24</v>
      </c>
      <c r="K61" s="91" t="s">
        <v>194</v>
      </c>
      <c r="L61" s="1083">
        <f t="shared" si="2"/>
        <v>3380</v>
      </c>
    </row>
    <row r="62" spans="1:14" s="367" customFormat="1" ht="36.700000000000003">
      <c r="A62" s="786">
        <v>58</v>
      </c>
      <c r="B62" s="1092" t="s">
        <v>686</v>
      </c>
      <c r="C62" s="94">
        <v>5300</v>
      </c>
      <c r="D62" s="133" t="s">
        <v>394</v>
      </c>
      <c r="E62" s="1026" t="s">
        <v>1247</v>
      </c>
      <c r="F62" s="87" t="s">
        <v>65</v>
      </c>
      <c r="G62" s="129" t="s">
        <v>66</v>
      </c>
      <c r="H62" s="108" t="s">
        <v>1248</v>
      </c>
      <c r="I62" s="1101" t="s">
        <v>1249</v>
      </c>
      <c r="J62" s="115" t="s">
        <v>22</v>
      </c>
      <c r="K62" s="91" t="s">
        <v>194</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5.05">
      <c r="A69" s="1103">
        <v>65</v>
      </c>
      <c r="B69" s="1104" t="s">
        <v>1250</v>
      </c>
      <c r="C69" s="1105" t="s">
        <v>716</v>
      </c>
      <c r="D69" s="1106" t="s">
        <v>1251</v>
      </c>
      <c r="E69" s="1106"/>
      <c r="F69" s="1107" t="s">
        <v>65</v>
      </c>
      <c r="G69" s="1104" t="s">
        <v>164</v>
      </c>
      <c r="H69" s="1108" t="s">
        <v>1252</v>
      </c>
      <c r="I69" s="1109"/>
      <c r="J69" s="1110" t="s">
        <v>22</v>
      </c>
      <c r="K69" s="1107" t="s">
        <v>194</v>
      </c>
      <c r="L69" s="1111" t="str">
        <f>C69</f>
        <v>HỦY</v>
      </c>
    </row>
    <row r="70" spans="1:14" s="1" customFormat="1">
      <c r="A70" s="738">
        <v>66</v>
      </c>
      <c r="B70" s="1075" t="s">
        <v>578</v>
      </c>
      <c r="C70" s="1003" t="s">
        <v>716</v>
      </c>
      <c r="D70" s="1077" t="s">
        <v>1253</v>
      </c>
      <c r="E70" s="1078"/>
      <c r="F70" s="102" t="s">
        <v>65</v>
      </c>
      <c r="G70" s="109" t="s">
        <v>213</v>
      </c>
      <c r="H70" s="1030"/>
      <c r="I70" s="1033">
        <f>4300-1400-1100</f>
        <v>1800</v>
      </c>
      <c r="J70" s="109" t="s">
        <v>22</v>
      </c>
      <c r="K70" s="112" t="s">
        <v>194</v>
      </c>
      <c r="L70" s="1036" t="str">
        <f>C70</f>
        <v>HỦY</v>
      </c>
      <c r="M70" s="3"/>
      <c r="N70" s="3"/>
    </row>
    <row r="71" spans="1:14" s="1" customFormat="1">
      <c r="A71" s="738">
        <v>67</v>
      </c>
      <c r="B71" s="1073" t="s">
        <v>1254</v>
      </c>
      <c r="C71" s="1003" t="s">
        <v>716</v>
      </c>
      <c r="D71" s="1077" t="s">
        <v>1253</v>
      </c>
      <c r="E71" s="1077" t="s">
        <v>1253</v>
      </c>
      <c r="F71" s="102" t="s">
        <v>65</v>
      </c>
      <c r="G71" s="109" t="s">
        <v>213</v>
      </c>
      <c r="H71" s="1030"/>
      <c r="I71" s="1033"/>
      <c r="J71" s="109" t="s">
        <v>24</v>
      </c>
      <c r="K71" s="102" t="s">
        <v>194</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1" priority="38"/>
  </conditionalFormatting>
  <conditionalFormatting sqref="A4">
    <cfRule type="duplicateValues" dxfId="820" priority="32"/>
  </conditionalFormatting>
  <conditionalFormatting sqref="A5">
    <cfRule type="duplicateValues" dxfId="819" priority="12"/>
  </conditionalFormatting>
  <conditionalFormatting sqref="A6">
    <cfRule type="duplicateValues" dxfId="818" priority="9"/>
  </conditionalFormatting>
  <conditionalFormatting sqref="A7">
    <cfRule type="duplicateValues" dxfId="817" priority="1029"/>
  </conditionalFormatting>
  <conditionalFormatting sqref="A8:A9 A11:A12">
    <cfRule type="duplicateValues" dxfId="816" priority="1032"/>
  </conditionalFormatting>
  <conditionalFormatting sqref="A10">
    <cfRule type="duplicateValues" dxfId="815" priority="1030"/>
  </conditionalFormatting>
  <conditionalFormatting sqref="A13">
    <cfRule type="duplicateValues" dxfId="814" priority="11"/>
  </conditionalFormatting>
  <conditionalFormatting sqref="A14 A17">
    <cfRule type="duplicateValues" dxfId="813" priority="10"/>
  </conditionalFormatting>
  <conditionalFormatting sqref="A15:A16 A18:A19 A21:A22 A25 A27:A29 A71">
    <cfRule type="duplicateValues" dxfId="812" priority="1042"/>
  </conditionalFormatting>
  <conditionalFormatting sqref="A20 A24">
    <cfRule type="duplicateValues" dxfId="811" priority="1052"/>
  </conditionalFormatting>
  <conditionalFormatting sqref="A23">
    <cfRule type="duplicateValues" dxfId="810" priority="1011"/>
  </conditionalFormatting>
  <conditionalFormatting sqref="A26">
    <cfRule type="duplicateValues" dxfId="809" priority="5"/>
  </conditionalFormatting>
  <conditionalFormatting sqref="A30 A41">
    <cfRule type="duplicateValues" dxfId="808" priority="1045"/>
  </conditionalFormatting>
  <conditionalFormatting sqref="A32:A33 A36">
    <cfRule type="duplicateValues" dxfId="807" priority="1046"/>
  </conditionalFormatting>
  <conditionalFormatting sqref="A34">
    <cfRule type="duplicateValues" dxfId="806" priority="3"/>
  </conditionalFormatting>
  <conditionalFormatting sqref="A35">
    <cfRule type="duplicateValues" dxfId="805" priority="4"/>
  </conditionalFormatting>
  <conditionalFormatting sqref="A37">
    <cfRule type="duplicateValues" dxfId="804" priority="1"/>
  </conditionalFormatting>
  <conditionalFormatting sqref="A38">
    <cfRule type="duplicateValues" dxfId="803" priority="2"/>
  </conditionalFormatting>
  <conditionalFormatting sqref="A70">
    <cfRule type="duplicateValues" dxfId="802" priority="6"/>
  </conditionalFormatting>
  <conditionalFormatting sqref="B3">
    <cfRule type="duplicateValues" dxfId="801" priority="33"/>
    <cfRule type="duplicateValues" dxfId="800" priority="34"/>
    <cfRule type="duplicateValues" dxfId="799" priority="35"/>
  </conditionalFormatting>
  <conditionalFormatting sqref="B4">
    <cfRule type="duplicateValues" dxfId="798" priority="29"/>
    <cfRule type="duplicateValues" dxfId="797" priority="30"/>
    <cfRule type="duplicateValues" dxfId="796"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topRight"/>
      <selection pane="bottomLeft"/>
      <selection pane="bottomRight"/>
    </sheetView>
  </sheetViews>
  <sheetFormatPr defaultColWidth="25.625" defaultRowHeight="18.350000000000001"/>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375" style="9" customWidth="1"/>
    <col min="9" max="9" width="49.125" style="9" customWidth="1"/>
    <col min="10" max="11" width="25.625" style="1" customWidth="1"/>
    <col min="12" max="12" width="16.125" style="1" customWidth="1"/>
    <col min="13" max="13" width="10.25" style="804" customWidth="1"/>
    <col min="14" max="14" width="25.625" style="3" customWidth="1"/>
    <col min="15" max="15" width="15.375" style="3" customWidth="1"/>
    <col min="16" max="16" width="34.625" style="3" customWidth="1"/>
    <col min="17" max="16384" width="25.625" style="3"/>
  </cols>
  <sheetData>
    <row r="1" spans="1:15" ht="17.350000000000001" customHeight="1">
      <c r="B1" s="10"/>
      <c r="C1" s="3671"/>
      <c r="D1" s="3671"/>
      <c r="E1" s="3671"/>
      <c r="F1" s="3671"/>
      <c r="G1" s="3671"/>
      <c r="H1" s="3671"/>
      <c r="I1" s="3671"/>
    </row>
    <row r="2" spans="1:15" ht="16.5" customHeight="1">
      <c r="A2" s="3684" t="s">
        <v>1255</v>
      </c>
      <c r="B2" s="3684"/>
      <c r="C2" s="3684"/>
      <c r="D2" s="3684"/>
      <c r="E2" s="3684"/>
      <c r="F2" s="3684"/>
      <c r="G2" s="3684"/>
      <c r="H2" s="3684"/>
      <c r="I2" s="3684"/>
      <c r="J2" s="194"/>
      <c r="K2" s="194"/>
      <c r="L2" s="195"/>
      <c r="M2" s="805"/>
      <c r="N2" s="196"/>
      <c r="O2" s="197"/>
    </row>
    <row r="3" spans="1:15" ht="13.6" customHeight="1">
      <c r="A3" s="360"/>
      <c r="B3" s="385"/>
      <c r="C3" s="806">
        <f>SUBTOTAL(9,C5:C85)</f>
        <v>272368</v>
      </c>
      <c r="D3" s="378"/>
      <c r="E3" s="849"/>
      <c r="F3" s="201"/>
      <c r="G3" s="199"/>
      <c r="H3" s="202"/>
      <c r="I3" s="3686">
        <f ca="1">TODAY()</f>
        <v>45988</v>
      </c>
      <c r="J3" s="3686"/>
      <c r="K3" s="807"/>
      <c r="L3" s="807"/>
      <c r="M3" s="808"/>
      <c r="N3" s="197"/>
      <c r="O3" s="197"/>
    </row>
    <row r="4" spans="1:15" s="7" customFormat="1" ht="48.1" customHeight="1">
      <c r="A4" s="810" t="s">
        <v>48</v>
      </c>
      <c r="B4" s="679" t="s">
        <v>380</v>
      </c>
      <c r="C4" s="811" t="s">
        <v>50</v>
      </c>
      <c r="D4" s="679" t="s">
        <v>51</v>
      </c>
      <c r="E4" s="679" t="s">
        <v>53</v>
      </c>
      <c r="F4" s="679" t="s">
        <v>55</v>
      </c>
      <c r="G4" s="679" t="s">
        <v>56</v>
      </c>
      <c r="H4" s="812" t="s">
        <v>57</v>
      </c>
      <c r="I4" s="679" t="s">
        <v>58</v>
      </c>
      <c r="J4" s="679" t="s">
        <v>52</v>
      </c>
      <c r="K4" s="679" t="s">
        <v>1094</v>
      </c>
      <c r="L4" s="679" t="s">
        <v>1256</v>
      </c>
      <c r="M4" s="813" t="s">
        <v>381</v>
      </c>
      <c r="N4" s="753" t="s">
        <v>382</v>
      </c>
      <c r="O4" s="754">
        <f>SUM(O5:O12)</f>
        <v>272368</v>
      </c>
    </row>
    <row r="5" spans="1:15" s="434" customFormat="1" ht="25.5" customHeight="1">
      <c r="A5" s="699" cm="1">
        <f t="array" ref="A5:A74">_xlfn.SEQUENCE(70,1,1,)</f>
        <v>1</v>
      </c>
      <c r="B5" s="87" t="s">
        <v>677</v>
      </c>
      <c r="C5" s="88">
        <v>2950</v>
      </c>
      <c r="D5" s="393" t="s">
        <v>1257</v>
      </c>
      <c r="E5" s="133" t="s">
        <v>267</v>
      </c>
      <c r="F5" s="87" t="s">
        <v>65</v>
      </c>
      <c r="G5" s="87" t="s">
        <v>213</v>
      </c>
      <c r="H5" s="147" t="s">
        <v>1258</v>
      </c>
      <c r="I5" s="979"/>
      <c r="J5" s="87" t="s">
        <v>26</v>
      </c>
      <c r="K5" s="87" t="s">
        <v>524</v>
      </c>
      <c r="L5" s="390"/>
      <c r="M5" s="335">
        <f t="shared" ref="M5:M36" si="0">C5</f>
        <v>2950</v>
      </c>
      <c r="N5" s="998" t="s">
        <v>88</v>
      </c>
      <c r="O5" s="758">
        <f t="shared" ref="O5:O10" si="1">SUMIF($J:$J,N5,M:M)</f>
        <v>49400</v>
      </c>
    </row>
    <row r="6" spans="1:15" ht="36.700000000000003">
      <c r="A6" s="786">
        <v>2</v>
      </c>
      <c r="B6" s="91" t="s">
        <v>1259</v>
      </c>
      <c r="C6" s="982">
        <v>2660</v>
      </c>
      <c r="D6" s="980" t="s">
        <v>1260</v>
      </c>
      <c r="E6" s="380" t="s">
        <v>267</v>
      </c>
      <c r="F6" s="91" t="s">
        <v>65</v>
      </c>
      <c r="G6" s="91" t="s">
        <v>213</v>
      </c>
      <c r="H6" s="1013" t="s">
        <v>1261</v>
      </c>
      <c r="I6" s="926"/>
      <c r="J6" s="87" t="s">
        <v>22</v>
      </c>
      <c r="K6" s="87" t="s">
        <v>22</v>
      </c>
      <c r="L6" s="129"/>
      <c r="M6" s="335">
        <f t="shared" si="0"/>
        <v>2660</v>
      </c>
      <c r="N6" s="998" t="s">
        <v>22</v>
      </c>
      <c r="O6" s="758">
        <f t="shared" si="1"/>
        <v>92010</v>
      </c>
    </row>
    <row r="7" spans="1:15" ht="57.75" customHeight="1">
      <c r="A7" s="971">
        <v>3</v>
      </c>
      <c r="B7" s="87" t="s">
        <v>1262</v>
      </c>
      <c r="C7" s="94">
        <v>4650</v>
      </c>
      <c r="D7" s="393" t="s">
        <v>1260</v>
      </c>
      <c r="E7" s="133" t="s">
        <v>267</v>
      </c>
      <c r="F7" s="87" t="s">
        <v>65</v>
      </c>
      <c r="G7" s="87" t="s">
        <v>213</v>
      </c>
      <c r="H7" s="290" t="s">
        <v>1263</v>
      </c>
      <c r="I7" s="694"/>
      <c r="J7" s="380" t="s">
        <v>18</v>
      </c>
      <c r="K7" s="91" t="s">
        <v>18</v>
      </c>
      <c r="L7" s="349"/>
      <c r="M7" s="335">
        <f t="shared" si="0"/>
        <v>4650</v>
      </c>
      <c r="N7" s="999" t="s">
        <v>24</v>
      </c>
      <c r="O7" s="758">
        <f t="shared" si="1"/>
        <v>65118</v>
      </c>
    </row>
    <row r="8" spans="1:15" s="434" customFormat="1" ht="36.700000000000003">
      <c r="A8" s="736">
        <v>4</v>
      </c>
      <c r="B8" s="87" t="s">
        <v>1142</v>
      </c>
      <c r="C8" s="94">
        <v>4350</v>
      </c>
      <c r="D8" s="393" t="s">
        <v>1257</v>
      </c>
      <c r="E8" s="133" t="s">
        <v>267</v>
      </c>
      <c r="F8" s="87" t="s">
        <v>65</v>
      </c>
      <c r="G8" s="87" t="s">
        <v>213</v>
      </c>
      <c r="H8" s="155" t="s">
        <v>1264</v>
      </c>
      <c r="I8" s="981"/>
      <c r="J8" s="87" t="s">
        <v>22</v>
      </c>
      <c r="K8" s="87" t="s">
        <v>22</v>
      </c>
      <c r="L8" s="390"/>
      <c r="M8" s="335">
        <f t="shared" si="0"/>
        <v>4350</v>
      </c>
      <c r="N8" s="1000" t="s">
        <v>26</v>
      </c>
      <c r="O8" s="758">
        <f t="shared" si="1"/>
        <v>9800</v>
      </c>
    </row>
    <row r="9" spans="1:15" ht="25.5" customHeight="1">
      <c r="A9" s="786">
        <v>5</v>
      </c>
      <c r="B9" s="113" t="s">
        <v>1265</v>
      </c>
      <c r="C9" s="114">
        <v>2200</v>
      </c>
      <c r="D9" s="925" t="s">
        <v>1257</v>
      </c>
      <c r="E9" s="384" t="s">
        <v>267</v>
      </c>
      <c r="F9" s="113" t="s">
        <v>65</v>
      </c>
      <c r="G9" s="113" t="s">
        <v>213</v>
      </c>
      <c r="H9" s="692" t="s">
        <v>1258</v>
      </c>
      <c r="I9" s="914"/>
      <c r="J9" s="87" t="s">
        <v>26</v>
      </c>
      <c r="K9" s="87" t="s">
        <v>524</v>
      </c>
      <c r="L9" s="349"/>
      <c r="M9" s="335">
        <f t="shared" si="0"/>
        <v>2200</v>
      </c>
      <c r="N9" s="1001" t="s">
        <v>555</v>
      </c>
      <c r="O9" s="758">
        <f t="shared" si="1"/>
        <v>0</v>
      </c>
    </row>
    <row r="10" spans="1:15" ht="55.05">
      <c r="A10" s="786">
        <v>6</v>
      </c>
      <c r="B10" s="87" t="s">
        <v>955</v>
      </c>
      <c r="C10" s="186">
        <v>3550</v>
      </c>
      <c r="D10" s="393" t="s">
        <v>1257</v>
      </c>
      <c r="E10" s="133" t="s">
        <v>267</v>
      </c>
      <c r="F10" s="87" t="s">
        <v>65</v>
      </c>
      <c r="G10" s="87" t="s">
        <v>213</v>
      </c>
      <c r="H10" s="93" t="s">
        <v>1266</v>
      </c>
      <c r="I10" s="388"/>
      <c r="J10" s="133" t="s">
        <v>24</v>
      </c>
      <c r="K10" s="87" t="s">
        <v>24</v>
      </c>
      <c r="L10" s="349"/>
      <c r="M10" s="335">
        <f t="shared" si="0"/>
        <v>3550</v>
      </c>
      <c r="N10" s="998" t="s">
        <v>18</v>
      </c>
      <c r="O10" s="758">
        <f t="shared" si="1"/>
        <v>56040</v>
      </c>
    </row>
    <row r="11" spans="1:15">
      <c r="A11" s="856">
        <v>7</v>
      </c>
      <c r="B11" s="818" t="s">
        <v>1267</v>
      </c>
      <c r="C11" s="973" t="s">
        <v>1268</v>
      </c>
      <c r="D11" s="974" t="s">
        <v>1257</v>
      </c>
      <c r="E11" s="975"/>
      <c r="F11" s="386" t="s">
        <v>65</v>
      </c>
      <c r="G11" s="976" t="s">
        <v>213</v>
      </c>
      <c r="H11" s="977" t="s">
        <v>1269</v>
      </c>
      <c r="I11" s="978"/>
      <c r="J11" s="354" t="s">
        <v>22</v>
      </c>
      <c r="K11" s="354" t="s">
        <v>22</v>
      </c>
      <c r="L11" s="352"/>
      <c r="M11" s="335" t="str">
        <f t="shared" si="0"/>
        <v>PHÔI</v>
      </c>
    </row>
    <row r="12" spans="1:15" ht="58.6" customHeight="1">
      <c r="A12" s="786">
        <v>8</v>
      </c>
      <c r="B12" s="87" t="s">
        <v>1188</v>
      </c>
      <c r="C12" s="94">
        <v>5250</v>
      </c>
      <c r="D12" s="393" t="s">
        <v>1270</v>
      </c>
      <c r="E12" s="133" t="s">
        <v>267</v>
      </c>
      <c r="F12" s="87" t="s">
        <v>65</v>
      </c>
      <c r="G12" s="87" t="s">
        <v>1271</v>
      </c>
      <c r="H12" s="290" t="s">
        <v>1272</v>
      </c>
      <c r="I12" s="140" t="s">
        <v>1273</v>
      </c>
      <c r="J12" s="133" t="s">
        <v>18</v>
      </c>
      <c r="K12" s="87" t="s">
        <v>18</v>
      </c>
      <c r="L12" s="349"/>
      <c r="M12" s="335">
        <f t="shared" si="0"/>
        <v>5250</v>
      </c>
    </row>
    <row r="13" spans="1:15" ht="55.55" customHeight="1">
      <c r="A13" s="789">
        <v>9</v>
      </c>
      <c r="B13" s="816" t="s">
        <v>114</v>
      </c>
      <c r="C13" s="114">
        <v>3750</v>
      </c>
      <c r="D13" s="925" t="s">
        <v>1274</v>
      </c>
      <c r="E13" s="384" t="s">
        <v>267</v>
      </c>
      <c r="F13" s="113" t="s">
        <v>65</v>
      </c>
      <c r="G13" s="117" t="s">
        <v>213</v>
      </c>
      <c r="H13" s="290" t="s">
        <v>1275</v>
      </c>
      <c r="I13" s="936" t="s">
        <v>1276</v>
      </c>
      <c r="J13" s="133" t="s">
        <v>22</v>
      </c>
      <c r="K13" s="87" t="s">
        <v>22</v>
      </c>
      <c r="L13" s="129"/>
      <c r="M13" s="335">
        <f t="shared" si="0"/>
        <v>3750</v>
      </c>
    </row>
    <row r="14" spans="1:15" ht="71.349999999999994" customHeight="1">
      <c r="A14" s="789">
        <v>10</v>
      </c>
      <c r="B14" s="113" t="s">
        <v>1277</v>
      </c>
      <c r="C14" s="114">
        <v>4000</v>
      </c>
      <c r="D14" s="925" t="s">
        <v>1278</v>
      </c>
      <c r="E14" s="384" t="s">
        <v>267</v>
      </c>
      <c r="F14" s="113" t="s">
        <v>65</v>
      </c>
      <c r="G14" s="113" t="s">
        <v>1279</v>
      </c>
      <c r="H14" s="690" t="s">
        <v>1280</v>
      </c>
      <c r="I14" s="984" t="s">
        <v>1281</v>
      </c>
      <c r="J14" s="350" t="s">
        <v>18</v>
      </c>
      <c r="K14" s="113" t="s">
        <v>18</v>
      </c>
      <c r="L14" s="133"/>
      <c r="M14" s="335">
        <f t="shared" si="0"/>
        <v>4000</v>
      </c>
    </row>
    <row r="15" spans="1:15" ht="55.55" customHeight="1">
      <c r="A15" s="789">
        <v>11</v>
      </c>
      <c r="B15" s="816" t="s">
        <v>630</v>
      </c>
      <c r="C15" s="114">
        <v>3900</v>
      </c>
      <c r="D15" s="925" t="s">
        <v>1274</v>
      </c>
      <c r="E15" s="384" t="s">
        <v>267</v>
      </c>
      <c r="F15" s="113" t="s">
        <v>65</v>
      </c>
      <c r="G15" s="117" t="s">
        <v>213</v>
      </c>
      <c r="H15" s="108" t="s">
        <v>1282</v>
      </c>
      <c r="I15" s="936"/>
      <c r="J15" s="133" t="s">
        <v>88</v>
      </c>
      <c r="K15" s="87" t="s">
        <v>524</v>
      </c>
      <c r="L15" s="129"/>
      <c r="M15" s="335">
        <f t="shared" si="0"/>
        <v>3900</v>
      </c>
      <c r="N15" s="434"/>
      <c r="O15" s="434"/>
    </row>
    <row r="16" spans="1:15">
      <c r="A16" s="985">
        <v>12</v>
      </c>
      <c r="B16" s="1027" t="s">
        <v>1283</v>
      </c>
      <c r="C16" s="992" t="s">
        <v>1284</v>
      </c>
      <c r="D16" s="986" t="s">
        <v>1285</v>
      </c>
      <c r="E16" s="987"/>
      <c r="F16" s="742" t="s">
        <v>65</v>
      </c>
      <c r="G16" s="988" t="s">
        <v>213</v>
      </c>
      <c r="H16" s="991"/>
      <c r="I16" s="989"/>
      <c r="J16" s="990" t="s">
        <v>24</v>
      </c>
      <c r="K16" s="372" t="s">
        <v>24</v>
      </c>
      <c r="L16" s="369"/>
      <c r="M16" s="335" t="str">
        <f t="shared" si="0"/>
        <v>Hủy vì cảng vụ k cho xếp</v>
      </c>
    </row>
    <row r="17" spans="1:15" s="434" customFormat="1" ht="210.75" customHeight="1">
      <c r="A17" s="904">
        <v>13</v>
      </c>
      <c r="B17" s="816" t="s">
        <v>738</v>
      </c>
      <c r="C17" s="688">
        <v>16000</v>
      </c>
      <c r="D17" s="689" t="s">
        <v>1286</v>
      </c>
      <c r="E17" s="993" t="s">
        <v>267</v>
      </c>
      <c r="F17" s="182" t="s">
        <v>65</v>
      </c>
      <c r="G17" s="994" t="s">
        <v>106</v>
      </c>
      <c r="H17" s="155" t="s">
        <v>1287</v>
      </c>
      <c r="I17" s="995">
        <f>500+2700+5000+2400+500+1700+1000+400+1000+800</f>
        <v>16000</v>
      </c>
      <c r="J17" s="388" t="s">
        <v>88</v>
      </c>
      <c r="K17" s="177" t="s">
        <v>18</v>
      </c>
      <c r="L17" s="181"/>
      <c r="M17" s="335">
        <f t="shared" si="0"/>
        <v>16000</v>
      </c>
      <c r="N17" s="3"/>
      <c r="O17" s="3"/>
    </row>
    <row r="18" spans="1:15" ht="55.55" customHeight="1">
      <c r="A18" s="786">
        <v>14</v>
      </c>
      <c r="B18" s="125" t="s">
        <v>1288</v>
      </c>
      <c r="C18" s="114">
        <v>4200</v>
      </c>
      <c r="D18" s="393" t="s">
        <v>1257</v>
      </c>
      <c r="E18" s="384" t="s">
        <v>267</v>
      </c>
      <c r="F18" s="113" t="s">
        <v>65</v>
      </c>
      <c r="G18" s="117" t="s">
        <v>213</v>
      </c>
      <c r="H18" s="996" t="s">
        <v>1289</v>
      </c>
      <c r="I18" s="936" t="s">
        <v>1290</v>
      </c>
      <c r="J18" s="133" t="s">
        <v>24</v>
      </c>
      <c r="K18" s="87" t="s">
        <v>24</v>
      </c>
      <c r="L18" s="129"/>
      <c r="M18" s="335">
        <f t="shared" si="0"/>
        <v>4200</v>
      </c>
    </row>
    <row r="19" spans="1:15" ht="74.25" customHeight="1">
      <c r="A19" s="789">
        <v>15</v>
      </c>
      <c r="B19" s="816" t="s">
        <v>1291</v>
      </c>
      <c r="C19" s="114">
        <v>3090</v>
      </c>
      <c r="D19" s="925" t="s">
        <v>1292</v>
      </c>
      <c r="E19" s="384" t="s">
        <v>267</v>
      </c>
      <c r="F19" s="113" t="s">
        <v>65</v>
      </c>
      <c r="G19" s="117" t="s">
        <v>213</v>
      </c>
      <c r="H19" s="290" t="s">
        <v>1293</v>
      </c>
      <c r="I19" s="936"/>
      <c r="J19" s="133" t="s">
        <v>18</v>
      </c>
      <c r="K19" s="87" t="s">
        <v>18</v>
      </c>
      <c r="L19" s="129"/>
      <c r="M19" s="335">
        <f t="shared" si="0"/>
        <v>3090</v>
      </c>
    </row>
    <row r="20" spans="1:15" ht="47.25" customHeight="1">
      <c r="A20" s="789">
        <v>16</v>
      </c>
      <c r="B20" s="816" t="s">
        <v>1294</v>
      </c>
      <c r="C20" s="114">
        <v>3000</v>
      </c>
      <c r="D20" s="925"/>
      <c r="E20" s="384" t="s">
        <v>267</v>
      </c>
      <c r="F20" s="113" t="s">
        <v>65</v>
      </c>
      <c r="G20" s="117" t="s">
        <v>213</v>
      </c>
      <c r="H20" s="290" t="s">
        <v>1295</v>
      </c>
      <c r="I20" s="995"/>
      <c r="J20" s="133" t="s">
        <v>22</v>
      </c>
      <c r="K20" s="87" t="s">
        <v>22</v>
      </c>
      <c r="L20" s="129"/>
      <c r="M20" s="335">
        <f t="shared" si="0"/>
        <v>3000</v>
      </c>
    </row>
    <row r="21" spans="1:15" ht="47.25" customHeight="1">
      <c r="A21" s="789">
        <v>17</v>
      </c>
      <c r="B21" s="816" t="s">
        <v>1296</v>
      </c>
      <c r="C21" s="114">
        <v>4000</v>
      </c>
      <c r="D21" s="925" t="s">
        <v>1285</v>
      </c>
      <c r="E21" s="384" t="s">
        <v>267</v>
      </c>
      <c r="F21" s="113" t="s">
        <v>65</v>
      </c>
      <c r="G21" s="117" t="s">
        <v>508</v>
      </c>
      <c r="H21" s="290" t="s">
        <v>1297</v>
      </c>
      <c r="I21" s="997" t="s">
        <v>1298</v>
      </c>
      <c r="J21" s="133" t="s">
        <v>22</v>
      </c>
      <c r="K21" s="87" t="s">
        <v>22</v>
      </c>
      <c r="L21" s="129"/>
      <c r="M21" s="335">
        <f t="shared" si="0"/>
        <v>4000</v>
      </c>
    </row>
    <row r="22" spans="1:15" s="336" customFormat="1" ht="54.7" customHeight="1">
      <c r="A22" s="789">
        <v>18</v>
      </c>
      <c r="B22" s="816" t="s">
        <v>1254</v>
      </c>
      <c r="C22" s="114">
        <v>4450</v>
      </c>
      <c r="D22" s="925" t="s">
        <v>1299</v>
      </c>
      <c r="E22" s="384" t="s">
        <v>267</v>
      </c>
      <c r="F22" s="113" t="s">
        <v>65</v>
      </c>
      <c r="G22" s="1002" t="s">
        <v>1300</v>
      </c>
      <c r="H22" s="1004" t="s">
        <v>1301</v>
      </c>
      <c r="I22" s="995"/>
      <c r="J22" s="133" t="s">
        <v>24</v>
      </c>
      <c r="K22" s="87" t="s">
        <v>24</v>
      </c>
      <c r="L22" s="129"/>
      <c r="M22" s="335">
        <f t="shared" si="0"/>
        <v>4450</v>
      </c>
    </row>
    <row r="23" spans="1:15" s="336" customFormat="1" ht="54.7" customHeight="1">
      <c r="A23" s="789">
        <v>19</v>
      </c>
      <c r="B23" s="816" t="s">
        <v>1302</v>
      </c>
      <c r="C23" s="114">
        <v>4800</v>
      </c>
      <c r="D23" s="925" t="s">
        <v>1299</v>
      </c>
      <c r="E23" s="384" t="s">
        <v>267</v>
      </c>
      <c r="F23" s="113" t="s">
        <v>65</v>
      </c>
      <c r="G23" s="343" t="s">
        <v>508</v>
      </c>
      <c r="H23" s="996" t="s">
        <v>1303</v>
      </c>
      <c r="I23" s="995"/>
      <c r="J23" s="133" t="s">
        <v>24</v>
      </c>
      <c r="K23" s="87" t="s">
        <v>24</v>
      </c>
      <c r="L23" s="129"/>
      <c r="M23" s="335">
        <f t="shared" si="0"/>
        <v>4800</v>
      </c>
    </row>
    <row r="24" spans="1:15" s="336" customFormat="1" ht="84.75" customHeight="1">
      <c r="A24" s="789">
        <v>20</v>
      </c>
      <c r="B24" s="816" t="s">
        <v>567</v>
      </c>
      <c r="C24" s="688">
        <v>3400</v>
      </c>
      <c r="D24" s="925" t="s">
        <v>1304</v>
      </c>
      <c r="E24" s="384" t="s">
        <v>267</v>
      </c>
      <c r="F24" s="117" t="s">
        <v>65</v>
      </c>
      <c r="G24" s="87" t="s">
        <v>1305</v>
      </c>
      <c r="H24" s="825" t="s">
        <v>1306</v>
      </c>
      <c r="I24" s="936" t="s">
        <v>1307</v>
      </c>
      <c r="J24" s="133" t="s">
        <v>88</v>
      </c>
      <c r="K24" s="133" t="s">
        <v>524</v>
      </c>
      <c r="L24" s="129"/>
      <c r="M24" s="335">
        <f t="shared" si="0"/>
        <v>3400</v>
      </c>
    </row>
    <row r="25" spans="1:15" s="336" customFormat="1" ht="54" customHeight="1">
      <c r="A25" s="789">
        <v>21</v>
      </c>
      <c r="B25" s="1028" t="s">
        <v>593</v>
      </c>
      <c r="C25" s="114">
        <v>3260</v>
      </c>
      <c r="D25" s="925" t="s">
        <v>1304</v>
      </c>
      <c r="E25" s="384" t="s">
        <v>267</v>
      </c>
      <c r="F25" s="117" t="s">
        <v>65</v>
      </c>
      <c r="G25" s="113" t="s">
        <v>558</v>
      </c>
      <c r="H25" s="690" t="s">
        <v>1308</v>
      </c>
      <c r="I25" s="936"/>
      <c r="J25" s="133" t="s">
        <v>24</v>
      </c>
      <c r="K25" s="87" t="s">
        <v>24</v>
      </c>
      <c r="L25" s="129"/>
      <c r="M25" s="335">
        <f t="shared" si="0"/>
        <v>3260</v>
      </c>
    </row>
    <row r="26" spans="1:15" s="336" customFormat="1" ht="94.6" customHeight="1">
      <c r="A26" s="789">
        <v>22</v>
      </c>
      <c r="B26" s="1028" t="s">
        <v>1309</v>
      </c>
      <c r="C26" s="114">
        <v>2870</v>
      </c>
      <c r="D26" s="925" t="s">
        <v>1304</v>
      </c>
      <c r="E26" s="384" t="s">
        <v>267</v>
      </c>
      <c r="F26" s="113" t="s">
        <v>65</v>
      </c>
      <c r="G26" s="117" t="s">
        <v>213</v>
      </c>
      <c r="H26" s="690" t="s">
        <v>1310</v>
      </c>
      <c r="I26" s="936">
        <f>2870-440-570</f>
        <v>1860</v>
      </c>
      <c r="J26" s="133" t="s">
        <v>24</v>
      </c>
      <c r="K26" s="133" t="s">
        <v>24</v>
      </c>
      <c r="L26" s="129"/>
      <c r="M26" s="335">
        <f t="shared" si="0"/>
        <v>2870</v>
      </c>
    </row>
    <row r="27" spans="1:15" s="336" customFormat="1" ht="54.7" customHeight="1">
      <c r="A27" s="789">
        <v>23</v>
      </c>
      <c r="B27" s="1028" t="s">
        <v>1311</v>
      </c>
      <c r="C27" s="114">
        <v>7200</v>
      </c>
      <c r="D27" s="925" t="s">
        <v>1285</v>
      </c>
      <c r="E27" s="384" t="s">
        <v>267</v>
      </c>
      <c r="F27" s="113" t="s">
        <v>65</v>
      </c>
      <c r="G27" s="117" t="s">
        <v>213</v>
      </c>
      <c r="H27" s="690" t="s">
        <v>1312</v>
      </c>
      <c r="I27" s="995"/>
      <c r="J27" s="133" t="s">
        <v>24</v>
      </c>
      <c r="K27" s="87" t="s">
        <v>24</v>
      </c>
      <c r="L27" s="129"/>
      <c r="M27" s="335">
        <f t="shared" si="0"/>
        <v>7200</v>
      </c>
    </row>
    <row r="28" spans="1:15" s="336" customFormat="1" ht="41.95" customHeight="1">
      <c r="A28" s="789">
        <v>24</v>
      </c>
      <c r="B28" s="1028" t="s">
        <v>1123</v>
      </c>
      <c r="C28" s="114">
        <v>4700</v>
      </c>
      <c r="D28" s="925" t="s">
        <v>1313</v>
      </c>
      <c r="E28" s="384" t="s">
        <v>267</v>
      </c>
      <c r="F28" s="113" t="s">
        <v>65</v>
      </c>
      <c r="G28" s="117" t="s">
        <v>213</v>
      </c>
      <c r="H28" s="690" t="s">
        <v>1314</v>
      </c>
      <c r="I28" s="936"/>
      <c r="J28" s="133" t="s">
        <v>22</v>
      </c>
      <c r="K28" s="87" t="s">
        <v>22</v>
      </c>
      <c r="L28" s="129"/>
      <c r="M28" s="335">
        <f t="shared" si="0"/>
        <v>4700</v>
      </c>
    </row>
    <row r="29" spans="1:15" s="336" customFormat="1" ht="55.05">
      <c r="A29" s="1005">
        <v>25</v>
      </c>
      <c r="B29" s="704" t="s">
        <v>600</v>
      </c>
      <c r="C29" s="337">
        <v>3250</v>
      </c>
      <c r="D29" s="1006" t="s">
        <v>1315</v>
      </c>
      <c r="E29" s="384" t="s">
        <v>267</v>
      </c>
      <c r="F29" s="130" t="s">
        <v>65</v>
      </c>
      <c r="G29" s="343" t="s">
        <v>1305</v>
      </c>
      <c r="H29" s="996" t="s">
        <v>1316</v>
      </c>
      <c r="I29" s="694"/>
      <c r="J29" s="380" t="s">
        <v>22</v>
      </c>
      <c r="K29" s="91" t="s">
        <v>22</v>
      </c>
      <c r="L29" s="129"/>
      <c r="M29" s="335">
        <f t="shared" si="0"/>
        <v>3250</v>
      </c>
    </row>
    <row r="30" spans="1:15" s="336" customFormat="1" ht="55.05">
      <c r="A30" s="786">
        <v>26</v>
      </c>
      <c r="B30" s="177" t="s">
        <v>709</v>
      </c>
      <c r="C30" s="94">
        <v>5500</v>
      </c>
      <c r="D30" s="393" t="s">
        <v>1317</v>
      </c>
      <c r="E30" s="133" t="s">
        <v>267</v>
      </c>
      <c r="F30" s="87" t="s">
        <v>65</v>
      </c>
      <c r="G30" s="87" t="s">
        <v>213</v>
      </c>
      <c r="H30" s="188" t="s">
        <v>1318</v>
      </c>
      <c r="I30" s="388">
        <f>5500-1300-1900</f>
        <v>2300</v>
      </c>
      <c r="J30" s="133" t="s">
        <v>18</v>
      </c>
      <c r="K30" s="87" t="s">
        <v>18</v>
      </c>
      <c r="L30" s="129"/>
      <c r="M30" s="335">
        <f t="shared" si="0"/>
        <v>5500</v>
      </c>
    </row>
    <row r="31" spans="1:15" s="336" customFormat="1" ht="37.549999999999997" customHeight="1">
      <c r="A31" s="786">
        <v>27</v>
      </c>
      <c r="B31" s="177" t="s">
        <v>1319</v>
      </c>
      <c r="C31" s="94">
        <v>4250</v>
      </c>
      <c r="D31" s="393" t="s">
        <v>1320</v>
      </c>
      <c r="E31" s="133" t="s">
        <v>267</v>
      </c>
      <c r="F31" s="87" t="s">
        <v>65</v>
      </c>
      <c r="G31" s="87" t="s">
        <v>213</v>
      </c>
      <c r="H31" s="155" t="s">
        <v>1321</v>
      </c>
      <c r="I31" s="388"/>
      <c r="J31" s="133" t="s">
        <v>18</v>
      </c>
      <c r="K31" s="87" t="s">
        <v>18</v>
      </c>
      <c r="L31" s="129"/>
      <c r="M31" s="335">
        <f t="shared" si="0"/>
        <v>4250</v>
      </c>
    </row>
    <row r="32" spans="1:15" s="336" customFormat="1" ht="47.25" customHeight="1">
      <c r="A32" s="786">
        <v>28</v>
      </c>
      <c r="B32" s="177" t="s">
        <v>1011</v>
      </c>
      <c r="C32" s="94">
        <v>6300</v>
      </c>
      <c r="D32" s="393" t="s">
        <v>1322</v>
      </c>
      <c r="E32" s="133" t="s">
        <v>267</v>
      </c>
      <c r="F32" s="87" t="s">
        <v>65</v>
      </c>
      <c r="G32" s="87" t="s">
        <v>1323</v>
      </c>
      <c r="H32" s="155" t="s">
        <v>1324</v>
      </c>
      <c r="I32" s="388"/>
      <c r="J32" s="133" t="s">
        <v>22</v>
      </c>
      <c r="K32" s="87" t="s">
        <v>1325</v>
      </c>
      <c r="L32" s="129"/>
      <c r="M32" s="335">
        <f t="shared" si="0"/>
        <v>6300</v>
      </c>
    </row>
    <row r="33" spans="1:13" s="336" customFormat="1" ht="89.35" customHeight="1">
      <c r="A33" s="797">
        <v>29</v>
      </c>
      <c r="B33" s="180" t="s">
        <v>991</v>
      </c>
      <c r="C33" s="120">
        <v>5600</v>
      </c>
      <c r="D33" s="980" t="s">
        <v>1317</v>
      </c>
      <c r="E33" s="380" t="s">
        <v>267</v>
      </c>
      <c r="F33" s="91" t="s">
        <v>65</v>
      </c>
      <c r="G33" s="91" t="s">
        <v>213</v>
      </c>
      <c r="H33" s="703" t="s">
        <v>1326</v>
      </c>
      <c r="I33" s="122">
        <f>1900+200+374+3000</f>
        <v>5474</v>
      </c>
      <c r="J33" s="133" t="s">
        <v>22</v>
      </c>
      <c r="K33" s="87" t="s">
        <v>22</v>
      </c>
      <c r="L33" s="129"/>
      <c r="M33" s="335">
        <f t="shared" si="0"/>
        <v>5600</v>
      </c>
    </row>
    <row r="34" spans="1:13" s="336" customFormat="1" ht="66.75" customHeight="1">
      <c r="A34" s="786">
        <v>30</v>
      </c>
      <c r="B34" s="177" t="s">
        <v>1327</v>
      </c>
      <c r="C34" s="94">
        <v>4050</v>
      </c>
      <c r="D34" s="393" t="s">
        <v>1328</v>
      </c>
      <c r="E34" s="133" t="s">
        <v>267</v>
      </c>
      <c r="F34" s="87" t="s">
        <v>65</v>
      </c>
      <c r="G34" s="87" t="s">
        <v>1279</v>
      </c>
      <c r="H34" s="290" t="s">
        <v>1329</v>
      </c>
      <c r="I34" s="119"/>
      <c r="J34" s="350" t="s">
        <v>24</v>
      </c>
      <c r="K34" s="113" t="s">
        <v>24</v>
      </c>
      <c r="L34" s="129"/>
      <c r="M34" s="335">
        <f t="shared" si="0"/>
        <v>4050</v>
      </c>
    </row>
    <row r="35" spans="1:13" s="336" customFormat="1" ht="53.35" customHeight="1">
      <c r="A35" s="789">
        <v>31</v>
      </c>
      <c r="B35" s="816" t="s">
        <v>1330</v>
      </c>
      <c r="C35" s="114">
        <v>2300</v>
      </c>
      <c r="D35" s="925" t="s">
        <v>1331</v>
      </c>
      <c r="E35" s="384" t="s">
        <v>267</v>
      </c>
      <c r="F35" s="113" t="s">
        <v>65</v>
      </c>
      <c r="G35" s="117" t="s">
        <v>213</v>
      </c>
      <c r="H35" s="1009" t="s">
        <v>1332</v>
      </c>
      <c r="I35" s="1008" t="s">
        <v>1333</v>
      </c>
      <c r="J35" s="349" t="s">
        <v>88</v>
      </c>
      <c r="K35" s="87" t="s">
        <v>524</v>
      </c>
      <c r="L35" s="129"/>
      <c r="M35" s="335">
        <f t="shared" si="0"/>
        <v>2300</v>
      </c>
    </row>
    <row r="36" spans="1:13" s="336" customFormat="1" ht="53.35" customHeight="1">
      <c r="A36" s="789">
        <v>32</v>
      </c>
      <c r="B36" s="816" t="s">
        <v>1077</v>
      </c>
      <c r="C36" s="114">
        <v>3200</v>
      </c>
      <c r="D36" s="925" t="s">
        <v>1331</v>
      </c>
      <c r="E36" s="384" t="s">
        <v>267</v>
      </c>
      <c r="F36" s="113" t="s">
        <v>65</v>
      </c>
      <c r="G36" s="117" t="s">
        <v>213</v>
      </c>
      <c r="H36" s="1010" t="s">
        <v>1334</v>
      </c>
      <c r="I36" s="1008" t="s">
        <v>1335</v>
      </c>
      <c r="J36" s="349" t="s">
        <v>88</v>
      </c>
      <c r="K36" s="113" t="s">
        <v>524</v>
      </c>
      <c r="L36" s="129"/>
      <c r="M36" s="335">
        <f t="shared" si="0"/>
        <v>3200</v>
      </c>
    </row>
    <row r="37" spans="1:13" s="336" customFormat="1" ht="55.55" customHeight="1">
      <c r="A37" s="789">
        <v>33</v>
      </c>
      <c r="B37" s="816" t="s">
        <v>1336</v>
      </c>
      <c r="C37" s="114">
        <v>3350</v>
      </c>
      <c r="D37" s="925" t="s">
        <v>1337</v>
      </c>
      <c r="E37" s="384" t="s">
        <v>267</v>
      </c>
      <c r="F37" s="113" t="s">
        <v>65</v>
      </c>
      <c r="G37" s="343" t="s">
        <v>164</v>
      </c>
      <c r="H37" s="1011" t="s">
        <v>1338</v>
      </c>
      <c r="I37" s="388"/>
      <c r="J37" s="349" t="s">
        <v>22</v>
      </c>
      <c r="K37" s="87" t="s">
        <v>22</v>
      </c>
      <c r="L37" s="129"/>
      <c r="M37" s="335">
        <f t="shared" ref="M37:M71" si="2">C37</f>
        <v>3350</v>
      </c>
    </row>
    <row r="38" spans="1:13" s="336" customFormat="1" ht="90" customHeight="1">
      <c r="A38" s="789">
        <v>34</v>
      </c>
      <c r="B38" s="1029" t="s">
        <v>1191</v>
      </c>
      <c r="C38" s="114">
        <v>5000</v>
      </c>
      <c r="D38" s="925" t="s">
        <v>1331</v>
      </c>
      <c r="E38" s="133" t="s">
        <v>267</v>
      </c>
      <c r="F38" s="117" t="s">
        <v>65</v>
      </c>
      <c r="G38" s="87" t="s">
        <v>106</v>
      </c>
      <c r="H38" s="155" t="s">
        <v>1339</v>
      </c>
      <c r="I38" s="1012" t="s">
        <v>1340</v>
      </c>
      <c r="J38" s="349" t="s">
        <v>22</v>
      </c>
      <c r="K38" s="87" t="s">
        <v>22</v>
      </c>
      <c r="L38" s="129"/>
      <c r="M38" s="335">
        <f t="shared" si="2"/>
        <v>5000</v>
      </c>
    </row>
    <row r="39" spans="1:13" s="336" customFormat="1" ht="62.35" customHeight="1">
      <c r="A39" s="789">
        <v>35</v>
      </c>
      <c r="B39" s="816" t="s">
        <v>622</v>
      </c>
      <c r="C39" s="114">
        <v>3500</v>
      </c>
      <c r="D39" s="925" t="s">
        <v>1331</v>
      </c>
      <c r="E39" s="384" t="s">
        <v>267</v>
      </c>
      <c r="F39" s="113" t="s">
        <v>65</v>
      </c>
      <c r="G39" s="117" t="s">
        <v>1341</v>
      </c>
      <c r="H39" s="1013" t="s">
        <v>1342</v>
      </c>
      <c r="I39" s="1012" t="s">
        <v>1340</v>
      </c>
      <c r="J39" s="380" t="s">
        <v>22</v>
      </c>
      <c r="K39" s="113" t="s">
        <v>22</v>
      </c>
      <c r="L39" s="129"/>
      <c r="M39" s="335">
        <f t="shared" si="2"/>
        <v>3500</v>
      </c>
    </row>
    <row r="40" spans="1:13" s="336" customFormat="1" ht="74.25" customHeight="1">
      <c r="A40" s="789">
        <v>36</v>
      </c>
      <c r="B40" s="816" t="s">
        <v>947</v>
      </c>
      <c r="C40" s="114">
        <v>4500</v>
      </c>
      <c r="D40" s="925" t="s">
        <v>1331</v>
      </c>
      <c r="E40" s="384" t="s">
        <v>267</v>
      </c>
      <c r="F40" s="87" t="s">
        <v>65</v>
      </c>
      <c r="G40" s="89" t="s">
        <v>968</v>
      </c>
      <c r="H40" s="188" t="s">
        <v>1343</v>
      </c>
      <c r="I40" s="1014" t="s">
        <v>1344</v>
      </c>
      <c r="J40" s="133" t="s">
        <v>22</v>
      </c>
      <c r="K40" s="87" t="s">
        <v>22</v>
      </c>
      <c r="L40" s="129"/>
      <c r="M40" s="335">
        <f t="shared" si="2"/>
        <v>4500</v>
      </c>
    </row>
    <row r="41" spans="1:13" s="336" customFormat="1" ht="62.35" customHeight="1">
      <c r="A41" s="789">
        <v>37</v>
      </c>
      <c r="B41" s="816" t="s">
        <v>955</v>
      </c>
      <c r="C41" s="114">
        <v>3550</v>
      </c>
      <c r="D41" s="925" t="s">
        <v>1331</v>
      </c>
      <c r="E41" s="384" t="s">
        <v>267</v>
      </c>
      <c r="F41" s="113" t="s">
        <v>65</v>
      </c>
      <c r="G41" s="117" t="s">
        <v>1341</v>
      </c>
      <c r="H41" s="155" t="s">
        <v>1345</v>
      </c>
      <c r="I41" s="1008"/>
      <c r="J41" s="133" t="s">
        <v>24</v>
      </c>
      <c r="K41" s="125" t="s">
        <v>24</v>
      </c>
      <c r="L41" s="129"/>
      <c r="M41" s="335">
        <f t="shared" si="2"/>
        <v>3550</v>
      </c>
    </row>
    <row r="42" spans="1:13" s="336" customFormat="1" ht="91.7">
      <c r="A42" s="789">
        <v>38</v>
      </c>
      <c r="B42" s="816" t="s">
        <v>630</v>
      </c>
      <c r="C42" s="114">
        <v>3900</v>
      </c>
      <c r="D42" s="925" t="s">
        <v>1331</v>
      </c>
      <c r="E42" s="384" t="s">
        <v>267</v>
      </c>
      <c r="F42" s="113" t="s">
        <v>65</v>
      </c>
      <c r="G42" s="117" t="s">
        <v>213</v>
      </c>
      <c r="H42" s="1004" t="s">
        <v>1346</v>
      </c>
      <c r="I42" s="1015">
        <f>3900-550-1000-1000-710</f>
        <v>640</v>
      </c>
      <c r="J42" s="133" t="s">
        <v>88</v>
      </c>
      <c r="K42" s="125" t="s">
        <v>524</v>
      </c>
      <c r="L42" s="129"/>
      <c r="M42" s="335">
        <f t="shared" si="2"/>
        <v>3900</v>
      </c>
    </row>
    <row r="43" spans="1:13" s="336" customFormat="1" ht="112.6" customHeight="1">
      <c r="A43" s="789">
        <v>39</v>
      </c>
      <c r="B43" s="816" t="s">
        <v>1347</v>
      </c>
      <c r="C43" s="114">
        <v>6650</v>
      </c>
      <c r="D43" s="925" t="s">
        <v>1331</v>
      </c>
      <c r="E43" s="384" t="s">
        <v>267</v>
      </c>
      <c r="F43" s="113" t="s">
        <v>65</v>
      </c>
      <c r="G43" s="117" t="s">
        <v>213</v>
      </c>
      <c r="H43" s="1004" t="s">
        <v>1348</v>
      </c>
      <c r="I43" s="1014">
        <f>6600-2000-1900-1000-1500</f>
        <v>200</v>
      </c>
      <c r="J43" s="380" t="s">
        <v>22</v>
      </c>
      <c r="K43" s="125" t="s">
        <v>22</v>
      </c>
      <c r="L43" s="129"/>
      <c r="M43" s="335">
        <f t="shared" si="2"/>
        <v>6650</v>
      </c>
    </row>
    <row r="44" spans="1:13" s="336" customFormat="1" ht="102.1" customHeight="1">
      <c r="A44" s="789">
        <v>40</v>
      </c>
      <c r="B44" s="816" t="s">
        <v>962</v>
      </c>
      <c r="C44" s="114">
        <v>4500</v>
      </c>
      <c r="D44" s="925" t="s">
        <v>1331</v>
      </c>
      <c r="E44" s="384" t="s">
        <v>267</v>
      </c>
      <c r="F44" s="87" t="s">
        <v>65</v>
      </c>
      <c r="G44" s="117" t="s">
        <v>1305</v>
      </c>
      <c r="H44" s="926" t="s">
        <v>1349</v>
      </c>
      <c r="I44" s="1016"/>
      <c r="J44" s="133" t="s">
        <v>22</v>
      </c>
      <c r="K44" s="125" t="s">
        <v>22</v>
      </c>
      <c r="L44" s="129"/>
      <c r="M44" s="335">
        <f t="shared" si="2"/>
        <v>4500</v>
      </c>
    </row>
    <row r="45" spans="1:13" s="336" customFormat="1" ht="73.55" customHeight="1">
      <c r="A45" s="789">
        <v>41</v>
      </c>
      <c r="B45" s="816" t="s">
        <v>1350</v>
      </c>
      <c r="C45" s="114">
        <v>2750</v>
      </c>
      <c r="D45" s="925" t="s">
        <v>1331</v>
      </c>
      <c r="E45" s="384" t="s">
        <v>267</v>
      </c>
      <c r="F45" s="113" t="s">
        <v>65</v>
      </c>
      <c r="G45" s="117" t="s">
        <v>213</v>
      </c>
      <c r="H45" s="155" t="s">
        <v>1351</v>
      </c>
      <c r="I45" s="1017"/>
      <c r="J45" s="384" t="s">
        <v>22</v>
      </c>
      <c r="K45" s="87" t="s">
        <v>22</v>
      </c>
      <c r="L45" s="129"/>
      <c r="M45" s="335">
        <f t="shared" si="2"/>
        <v>2750</v>
      </c>
    </row>
    <row r="46" spans="1:13" s="336" customFormat="1" ht="63" customHeight="1">
      <c r="A46" s="789">
        <v>42</v>
      </c>
      <c r="B46" s="816" t="s">
        <v>1296</v>
      </c>
      <c r="C46" s="114">
        <v>4000</v>
      </c>
      <c r="D46" s="1018" t="s">
        <v>1331</v>
      </c>
      <c r="E46" s="380" t="s">
        <v>267</v>
      </c>
      <c r="F46" s="91" t="s">
        <v>65</v>
      </c>
      <c r="G46" s="380" t="s">
        <v>213</v>
      </c>
      <c r="H46" s="926" t="s">
        <v>1352</v>
      </c>
      <c r="I46" s="1008"/>
      <c r="J46" s="350" t="s">
        <v>24</v>
      </c>
      <c r="K46" s="113" t="s">
        <v>24</v>
      </c>
      <c r="L46" s="129"/>
      <c r="M46" s="335">
        <f t="shared" si="2"/>
        <v>4000</v>
      </c>
    </row>
    <row r="47" spans="1:13" s="336" customFormat="1" ht="72.7" customHeight="1">
      <c r="A47" s="789">
        <v>43</v>
      </c>
      <c r="B47" s="816" t="s">
        <v>1158</v>
      </c>
      <c r="C47" s="114">
        <v>5880</v>
      </c>
      <c r="D47" s="1018" t="s">
        <v>1353</v>
      </c>
      <c r="E47" s="380" t="s">
        <v>267</v>
      </c>
      <c r="F47" s="91" t="s">
        <v>65</v>
      </c>
      <c r="G47" s="91" t="s">
        <v>106</v>
      </c>
      <c r="H47" s="188" t="s">
        <v>1354</v>
      </c>
      <c r="I47" s="1019" t="s">
        <v>1355</v>
      </c>
      <c r="J47" s="350" t="s">
        <v>24</v>
      </c>
      <c r="K47" s="113" t="s">
        <v>24</v>
      </c>
      <c r="L47" s="129"/>
      <c r="M47" s="335">
        <f t="shared" si="2"/>
        <v>5880</v>
      </c>
    </row>
    <row r="48" spans="1:13" s="336" customFormat="1" ht="91.55" customHeight="1">
      <c r="A48" s="789">
        <v>44</v>
      </c>
      <c r="B48" s="816" t="s">
        <v>1048</v>
      </c>
      <c r="C48" s="114">
        <v>3550</v>
      </c>
      <c r="D48" s="1018" t="s">
        <v>1331</v>
      </c>
      <c r="E48" s="380" t="s">
        <v>267</v>
      </c>
      <c r="F48" s="91" t="s">
        <v>65</v>
      </c>
      <c r="G48" s="380" t="s">
        <v>1279</v>
      </c>
      <c r="H48" s="926" t="s">
        <v>1356</v>
      </c>
      <c r="I48" s="1008"/>
      <c r="J48" s="350" t="s">
        <v>88</v>
      </c>
      <c r="K48" s="113" t="s">
        <v>524</v>
      </c>
      <c r="L48" s="129"/>
      <c r="M48" s="335">
        <f t="shared" si="2"/>
        <v>3550</v>
      </c>
    </row>
    <row r="49" spans="1:13" s="336" customFormat="1" ht="67.599999999999994" customHeight="1">
      <c r="A49" s="789">
        <v>45</v>
      </c>
      <c r="B49" s="816" t="s">
        <v>1042</v>
      </c>
      <c r="C49" s="114">
        <v>3400</v>
      </c>
      <c r="D49" s="1018" t="s">
        <v>1353</v>
      </c>
      <c r="E49" s="380" t="s">
        <v>267</v>
      </c>
      <c r="F49" s="91" t="s">
        <v>65</v>
      </c>
      <c r="G49" s="91" t="s">
        <v>213</v>
      </c>
      <c r="H49" s="1020" t="s">
        <v>1357</v>
      </c>
      <c r="I49" s="1021"/>
      <c r="J49" s="350" t="s">
        <v>22</v>
      </c>
      <c r="K49" s="113" t="s">
        <v>22</v>
      </c>
      <c r="L49" s="129"/>
      <c r="M49" s="335">
        <f t="shared" si="2"/>
        <v>3400</v>
      </c>
    </row>
    <row r="50" spans="1:13" s="336" customFormat="1" ht="84.75" customHeight="1">
      <c r="A50" s="789">
        <v>46</v>
      </c>
      <c r="B50" s="1028" t="s">
        <v>334</v>
      </c>
      <c r="C50" s="114">
        <v>4650</v>
      </c>
      <c r="D50" s="1018" t="s">
        <v>267</v>
      </c>
      <c r="E50" s="380"/>
      <c r="F50" s="91" t="s">
        <v>65</v>
      </c>
      <c r="G50" s="115" t="s">
        <v>213</v>
      </c>
      <c r="H50" s="703" t="s">
        <v>1358</v>
      </c>
      <c r="I50" s="1022"/>
      <c r="J50" s="350" t="s">
        <v>26</v>
      </c>
      <c r="K50" s="113" t="s">
        <v>524</v>
      </c>
      <c r="L50" s="129"/>
      <c r="M50" s="335">
        <f t="shared" si="2"/>
        <v>4650</v>
      </c>
    </row>
    <row r="51" spans="1:13" s="336" customFormat="1" ht="53.35" customHeight="1">
      <c r="A51" s="789">
        <v>47</v>
      </c>
      <c r="B51" s="1028" t="s">
        <v>1359</v>
      </c>
      <c r="C51" s="114">
        <v>4900</v>
      </c>
      <c r="D51" s="1018" t="s">
        <v>267</v>
      </c>
      <c r="E51" s="380"/>
      <c r="F51" s="91" t="s">
        <v>65</v>
      </c>
      <c r="G51" s="115" t="s">
        <v>213</v>
      </c>
      <c r="H51" s="290" t="s">
        <v>1360</v>
      </c>
      <c r="I51" s="1019" t="s">
        <v>1361</v>
      </c>
      <c r="J51" s="350" t="s">
        <v>18</v>
      </c>
      <c r="K51" s="113" t="s">
        <v>18</v>
      </c>
      <c r="L51" s="129"/>
      <c r="M51" s="335">
        <f t="shared" si="2"/>
        <v>4900</v>
      </c>
    </row>
    <row r="52" spans="1:13" s="336" customFormat="1" ht="55.55" customHeight="1">
      <c r="A52" s="789">
        <v>48</v>
      </c>
      <c r="B52" s="1028" t="s">
        <v>1362</v>
      </c>
      <c r="C52" s="114">
        <v>3650</v>
      </c>
      <c r="D52" s="1018" t="s">
        <v>267</v>
      </c>
      <c r="E52" s="380" t="s">
        <v>1363</v>
      </c>
      <c r="F52" s="91" t="s">
        <v>65</v>
      </c>
      <c r="G52" s="115" t="s">
        <v>213</v>
      </c>
      <c r="H52" s="1025" t="s">
        <v>1364</v>
      </c>
      <c r="I52" s="1022"/>
      <c r="J52" s="350" t="s">
        <v>18</v>
      </c>
      <c r="K52" s="113" t="s">
        <v>18</v>
      </c>
      <c r="L52" s="129"/>
      <c r="M52" s="335">
        <f t="shared" si="2"/>
        <v>3650</v>
      </c>
    </row>
    <row r="53" spans="1:13" s="336" customFormat="1" ht="55.55" customHeight="1">
      <c r="A53" s="789">
        <v>49</v>
      </c>
      <c r="B53" s="1028" t="s">
        <v>1142</v>
      </c>
      <c r="C53" s="114">
        <v>4350</v>
      </c>
      <c r="D53" s="1018" t="s">
        <v>267</v>
      </c>
      <c r="E53" s="380" t="s">
        <v>1365</v>
      </c>
      <c r="F53" s="91" t="s">
        <v>65</v>
      </c>
      <c r="G53" s="115" t="s">
        <v>213</v>
      </c>
      <c r="H53" s="1025" t="s">
        <v>1366</v>
      </c>
      <c r="I53" s="1022"/>
      <c r="J53" s="350" t="s">
        <v>22</v>
      </c>
      <c r="K53" s="113" t="s">
        <v>22</v>
      </c>
      <c r="L53" s="129"/>
      <c r="M53" s="335">
        <f t="shared" si="2"/>
        <v>4350</v>
      </c>
    </row>
    <row r="54" spans="1:13" s="336" customFormat="1" ht="72.7" customHeight="1">
      <c r="A54" s="797">
        <v>50</v>
      </c>
      <c r="B54" s="180" t="s">
        <v>1104</v>
      </c>
      <c r="C54" s="120">
        <v>3280</v>
      </c>
      <c r="D54" s="980" t="s">
        <v>267</v>
      </c>
      <c r="E54" s="380" t="s">
        <v>1367</v>
      </c>
      <c r="F54" s="91" t="s">
        <v>65</v>
      </c>
      <c r="G54" s="379" t="s">
        <v>968</v>
      </c>
      <c r="H54" s="93" t="s">
        <v>1368</v>
      </c>
      <c r="I54" s="697"/>
      <c r="J54" s="351" t="s">
        <v>24</v>
      </c>
      <c r="K54" s="130" t="s">
        <v>194</v>
      </c>
      <c r="L54" s="129"/>
      <c r="M54" s="335">
        <f t="shared" si="2"/>
        <v>3280</v>
      </c>
    </row>
    <row r="55" spans="1:13" s="336" customFormat="1" ht="72.7" customHeight="1">
      <c r="A55" s="927">
        <v>51</v>
      </c>
      <c r="B55" s="177" t="s">
        <v>607</v>
      </c>
      <c r="C55" s="94">
        <v>3400</v>
      </c>
      <c r="D55" s="393" t="s">
        <v>267</v>
      </c>
      <c r="E55" s="349" t="s">
        <v>1369</v>
      </c>
      <c r="F55" s="91" t="s">
        <v>65</v>
      </c>
      <c r="G55" s="1026" t="s">
        <v>142</v>
      </c>
      <c r="H55" s="119" t="s">
        <v>1370</v>
      </c>
      <c r="I55" s="878"/>
      <c r="J55" s="133" t="s">
        <v>22</v>
      </c>
      <c r="K55" s="87" t="s">
        <v>194</v>
      </c>
      <c r="L55" s="129"/>
      <c r="M55" s="335">
        <f t="shared" si="2"/>
        <v>3400</v>
      </c>
    </row>
    <row r="56" spans="1:13" s="336" customFormat="1">
      <c r="A56" s="971">
        <v>52</v>
      </c>
      <c r="B56" s="180" t="s">
        <v>1371</v>
      </c>
      <c r="C56" s="120">
        <v>4400</v>
      </c>
      <c r="D56" s="980" t="s">
        <v>267</v>
      </c>
      <c r="E56" s="980" t="s">
        <v>1372</v>
      </c>
      <c r="F56" s="91" t="s">
        <v>65</v>
      </c>
      <c r="G56" s="379" t="s">
        <v>213</v>
      </c>
      <c r="H56" s="93" t="s">
        <v>1373</v>
      </c>
      <c r="I56" s="697"/>
      <c r="J56" s="380" t="s">
        <v>18</v>
      </c>
      <c r="K56" s="91" t="s">
        <v>194</v>
      </c>
      <c r="L56" s="129"/>
      <c r="M56" s="335">
        <f t="shared" si="2"/>
        <v>4400</v>
      </c>
    </row>
    <row r="57" spans="1:13" s="336" customFormat="1" ht="36.700000000000003">
      <c r="A57" s="927">
        <v>53</v>
      </c>
      <c r="B57" s="177" t="s">
        <v>947</v>
      </c>
      <c r="C57" s="94">
        <v>4550</v>
      </c>
      <c r="D57" s="393" t="s">
        <v>267</v>
      </c>
      <c r="E57" s="393" t="s">
        <v>1374</v>
      </c>
      <c r="F57" s="91" t="s">
        <v>65</v>
      </c>
      <c r="G57" s="1026" t="s">
        <v>142</v>
      </c>
      <c r="H57" s="93" t="s">
        <v>1375</v>
      </c>
      <c r="I57" s="878"/>
      <c r="J57" s="133" t="s">
        <v>24</v>
      </c>
      <c r="K57" s="87" t="s">
        <v>194</v>
      </c>
      <c r="L57" s="129"/>
      <c r="M57" s="335">
        <f t="shared" si="2"/>
        <v>4550</v>
      </c>
    </row>
    <row r="58" spans="1:13" s="336" customFormat="1" ht="73.400000000000006">
      <c r="A58" s="723">
        <v>54</v>
      </c>
      <c r="B58" s="177" t="s">
        <v>1376</v>
      </c>
      <c r="C58" s="94">
        <v>4600</v>
      </c>
      <c r="D58" s="393" t="s">
        <v>267</v>
      </c>
      <c r="E58" s="393" t="s">
        <v>1377</v>
      </c>
      <c r="F58" s="91" t="s">
        <v>65</v>
      </c>
      <c r="G58" s="380" t="s">
        <v>546</v>
      </c>
      <c r="H58" s="1031" t="s">
        <v>1378</v>
      </c>
      <c r="I58" s="1032" t="s">
        <v>1379</v>
      </c>
      <c r="J58" s="384" t="s">
        <v>18</v>
      </c>
      <c r="K58" s="113" t="s">
        <v>194</v>
      </c>
      <c r="L58" s="129"/>
      <c r="M58" s="335">
        <f t="shared" si="2"/>
        <v>4600</v>
      </c>
    </row>
    <row r="59" spans="1:13" s="336" customFormat="1" ht="36.700000000000003" customHeight="1">
      <c r="A59" s="786">
        <v>55</v>
      </c>
      <c r="B59" s="177" t="s">
        <v>1330</v>
      </c>
      <c r="C59" s="94">
        <v>2300</v>
      </c>
      <c r="D59" s="393" t="s">
        <v>267</v>
      </c>
      <c r="E59" s="393" t="s">
        <v>1380</v>
      </c>
      <c r="F59" s="87" t="s">
        <v>65</v>
      </c>
      <c r="G59" s="384" t="s">
        <v>213</v>
      </c>
      <c r="H59" s="1240" t="s">
        <v>1381</v>
      </c>
      <c r="I59" s="1034" t="s">
        <v>1382</v>
      </c>
      <c r="J59" s="133" t="s">
        <v>88</v>
      </c>
      <c r="K59" s="87" t="s">
        <v>194</v>
      </c>
      <c r="L59" s="129"/>
      <c r="M59" s="335">
        <f t="shared" si="2"/>
        <v>2300</v>
      </c>
    </row>
    <row r="60" spans="1:13" s="336" customFormat="1" ht="131.30000000000001" customHeight="1">
      <c r="A60" s="786">
        <v>56</v>
      </c>
      <c r="B60" s="177" t="s">
        <v>966</v>
      </c>
      <c r="C60" s="94">
        <v>7700</v>
      </c>
      <c r="D60" s="393" t="s">
        <v>267</v>
      </c>
      <c r="E60" s="393" t="s">
        <v>1383</v>
      </c>
      <c r="F60" s="87" t="s">
        <v>65</v>
      </c>
      <c r="G60" s="1026" t="s">
        <v>968</v>
      </c>
      <c r="H60" s="93" t="s">
        <v>1384</v>
      </c>
      <c r="I60" s="1035" t="s">
        <v>1385</v>
      </c>
      <c r="J60" s="349" t="s">
        <v>403</v>
      </c>
      <c r="K60" s="87" t="s">
        <v>194</v>
      </c>
      <c r="L60" s="129"/>
      <c r="M60" s="335">
        <f t="shared" si="2"/>
        <v>7700</v>
      </c>
    </row>
    <row r="61" spans="1:13" s="336" customFormat="1" ht="85.6" customHeight="1">
      <c r="A61" s="786">
        <v>57</v>
      </c>
      <c r="B61" s="177" t="s">
        <v>1386</v>
      </c>
      <c r="C61" s="94">
        <v>4050</v>
      </c>
      <c r="D61" s="393" t="s">
        <v>267</v>
      </c>
      <c r="E61" s="393" t="s">
        <v>1387</v>
      </c>
      <c r="F61" s="87" t="s">
        <v>65</v>
      </c>
      <c r="G61" s="1026" t="s">
        <v>1279</v>
      </c>
      <c r="H61" s="93" t="s">
        <v>1388</v>
      </c>
      <c r="I61" s="1019"/>
      <c r="J61" s="349" t="s">
        <v>403</v>
      </c>
      <c r="K61" s="87" t="s">
        <v>194</v>
      </c>
      <c r="L61" s="129"/>
      <c r="M61" s="335">
        <f t="shared" si="2"/>
        <v>4050</v>
      </c>
    </row>
    <row r="62" spans="1:13" s="336" customFormat="1" ht="146.25" customHeight="1">
      <c r="A62" s="745">
        <v>58</v>
      </c>
      <c r="B62" s="730" t="s">
        <v>983</v>
      </c>
      <c r="C62" s="337">
        <v>3660</v>
      </c>
      <c r="D62" s="1006" t="s">
        <v>267</v>
      </c>
      <c r="E62" s="1037" t="s">
        <v>1389</v>
      </c>
      <c r="F62" s="91" t="s">
        <v>65</v>
      </c>
      <c r="G62" s="380" t="s">
        <v>142</v>
      </c>
      <c r="H62" s="996" t="s">
        <v>1390</v>
      </c>
      <c r="I62" s="1038"/>
      <c r="J62" s="383" t="s">
        <v>24</v>
      </c>
      <c r="K62" s="130" t="s">
        <v>194</v>
      </c>
      <c r="L62" s="154"/>
      <c r="M62" s="335">
        <f t="shared" si="2"/>
        <v>3660</v>
      </c>
    </row>
    <row r="63" spans="1:13" s="336" customFormat="1" ht="63" customHeight="1">
      <c r="A63" s="786">
        <v>59</v>
      </c>
      <c r="B63" s="177" t="s">
        <v>1391</v>
      </c>
      <c r="C63" s="94">
        <v>4100</v>
      </c>
      <c r="D63" s="393" t="s">
        <v>267</v>
      </c>
      <c r="E63" s="393" t="s">
        <v>1392</v>
      </c>
      <c r="F63" s="87" t="s">
        <v>65</v>
      </c>
      <c r="G63" s="133" t="s">
        <v>213</v>
      </c>
      <c r="H63" s="290" t="s">
        <v>1393</v>
      </c>
      <c r="I63" s="1019" t="s">
        <v>1394</v>
      </c>
      <c r="J63" s="133" t="s">
        <v>88</v>
      </c>
      <c r="K63" s="87" t="s">
        <v>194</v>
      </c>
      <c r="L63" s="87"/>
      <c r="M63" s="335">
        <f t="shared" si="2"/>
        <v>4100</v>
      </c>
    </row>
    <row r="64" spans="1:13" s="336" customFormat="1" ht="91.7">
      <c r="A64" s="723">
        <v>60</v>
      </c>
      <c r="B64" s="177" t="s">
        <v>556</v>
      </c>
      <c r="C64" s="94">
        <v>2918</v>
      </c>
      <c r="D64" s="393" t="s">
        <v>267</v>
      </c>
      <c r="E64" s="393" t="s">
        <v>1395</v>
      </c>
      <c r="F64" s="87" t="s">
        <v>65</v>
      </c>
      <c r="G64" s="133" t="s">
        <v>1305</v>
      </c>
      <c r="H64" s="124" t="s">
        <v>1396</v>
      </c>
      <c r="I64" s="1022" t="s">
        <v>1157</v>
      </c>
      <c r="J64" s="380" t="s">
        <v>24</v>
      </c>
      <c r="K64" s="113" t="s">
        <v>194</v>
      </c>
      <c r="L64" s="129"/>
      <c r="M64" s="335">
        <f t="shared" si="2"/>
        <v>2918</v>
      </c>
    </row>
    <row r="65" spans="1:15" s="336" customFormat="1" ht="55.05">
      <c r="A65" s="723">
        <v>61</v>
      </c>
      <c r="B65" s="177" t="s">
        <v>622</v>
      </c>
      <c r="C65" s="94">
        <v>3500</v>
      </c>
      <c r="D65" s="393" t="s">
        <v>267</v>
      </c>
      <c r="E65" s="393" t="s">
        <v>1397</v>
      </c>
      <c r="F65" s="87" t="s">
        <v>65</v>
      </c>
      <c r="G65" s="133" t="s">
        <v>213</v>
      </c>
      <c r="H65" s="1241" t="s">
        <v>1398</v>
      </c>
      <c r="I65" s="1019"/>
      <c r="J65" s="133" t="s">
        <v>22</v>
      </c>
      <c r="K65" s="125" t="s">
        <v>194</v>
      </c>
      <c r="L65" s="129"/>
      <c r="M65" s="335">
        <f t="shared" si="2"/>
        <v>3500</v>
      </c>
    </row>
    <row r="66" spans="1:15" s="336" customFormat="1" ht="36.700000000000003">
      <c r="A66" s="723">
        <v>62</v>
      </c>
      <c r="B66" s="182" t="s">
        <v>1191</v>
      </c>
      <c r="C66" s="114">
        <v>5000</v>
      </c>
      <c r="D66" s="925" t="s">
        <v>267</v>
      </c>
      <c r="E66" s="925" t="s">
        <v>1399</v>
      </c>
      <c r="F66" s="113" t="s">
        <v>65</v>
      </c>
      <c r="G66" s="91" t="s">
        <v>106</v>
      </c>
      <c r="H66" s="1041" t="s">
        <v>1400</v>
      </c>
      <c r="I66" s="993"/>
      <c r="J66" s="384" t="s">
        <v>22</v>
      </c>
      <c r="K66" s="125" t="s">
        <v>194</v>
      </c>
      <c r="L66" s="350"/>
      <c r="M66" s="335">
        <f t="shared" si="2"/>
        <v>5000</v>
      </c>
    </row>
    <row r="67" spans="1:15" s="336" customFormat="1" ht="53.35" customHeight="1">
      <c r="A67" s="786">
        <v>63</v>
      </c>
      <c r="B67" s="180" t="s">
        <v>1401</v>
      </c>
      <c r="C67" s="120">
        <v>3550</v>
      </c>
      <c r="D67" s="980" t="s">
        <v>267</v>
      </c>
      <c r="E67" s="980" t="s">
        <v>1402</v>
      </c>
      <c r="F67" s="91" t="s">
        <v>65</v>
      </c>
      <c r="G67" s="380" t="s">
        <v>213</v>
      </c>
      <c r="H67" s="703" t="s">
        <v>1403</v>
      </c>
      <c r="I67" s="1034" t="s">
        <v>1382</v>
      </c>
      <c r="J67" s="380" t="s">
        <v>88</v>
      </c>
      <c r="K67" s="91" t="s">
        <v>194</v>
      </c>
      <c r="L67" s="91"/>
      <c r="M67" s="335">
        <f t="shared" si="2"/>
        <v>3550</v>
      </c>
    </row>
    <row r="68" spans="1:15" s="336" customFormat="1" ht="56.25" customHeight="1">
      <c r="A68" s="723">
        <v>64</v>
      </c>
      <c r="B68" s="177" t="s">
        <v>1077</v>
      </c>
      <c r="C68" s="94">
        <v>3200</v>
      </c>
      <c r="D68" s="393" t="s">
        <v>267</v>
      </c>
      <c r="E68" s="393" t="s">
        <v>1404</v>
      </c>
      <c r="F68" s="87" t="s">
        <v>65</v>
      </c>
      <c r="G68" s="133" t="s">
        <v>213</v>
      </c>
      <c r="H68" s="290" t="s">
        <v>1405</v>
      </c>
      <c r="I68" s="1008"/>
      <c r="J68" s="133" t="s">
        <v>88</v>
      </c>
      <c r="K68" s="87" t="s">
        <v>194</v>
      </c>
      <c r="L68" s="87"/>
      <c r="M68" s="335">
        <f t="shared" si="2"/>
        <v>3200</v>
      </c>
    </row>
    <row r="69" spans="1:15" s="367" customFormat="1" ht="66.099999999999994" customHeight="1">
      <c r="A69" s="723">
        <v>65</v>
      </c>
      <c r="B69" s="1043" t="s">
        <v>1406</v>
      </c>
      <c r="C69" s="94">
        <v>4500</v>
      </c>
      <c r="D69" s="980" t="s">
        <v>267</v>
      </c>
      <c r="E69" s="393" t="s">
        <v>1407</v>
      </c>
      <c r="F69" s="91" t="s">
        <v>65</v>
      </c>
      <c r="G69" s="379" t="s">
        <v>213</v>
      </c>
      <c r="H69" s="290" t="s">
        <v>1408</v>
      </c>
      <c r="I69" s="1008"/>
      <c r="J69" s="133" t="s">
        <v>22</v>
      </c>
      <c r="K69" s="87" t="s">
        <v>194</v>
      </c>
      <c r="M69" s="335">
        <f t="shared" si="2"/>
        <v>4500</v>
      </c>
      <c r="N69" s="336"/>
      <c r="O69" s="336"/>
    </row>
    <row r="70" spans="1:15" s="336" customFormat="1" ht="48.75" customHeight="1">
      <c r="A70" s="723">
        <v>66</v>
      </c>
      <c r="B70" s="1063" t="s">
        <v>653</v>
      </c>
      <c r="C70" s="94">
        <v>2900</v>
      </c>
      <c r="D70" s="393" t="s">
        <v>267</v>
      </c>
      <c r="E70" s="393" t="s">
        <v>1409</v>
      </c>
      <c r="F70" s="91" t="s">
        <v>65</v>
      </c>
      <c r="G70" s="380" t="s">
        <v>664</v>
      </c>
      <c r="H70" s="290" t="s">
        <v>1410</v>
      </c>
      <c r="I70" s="1019"/>
      <c r="J70" s="133" t="s">
        <v>24</v>
      </c>
      <c r="K70" s="91" t="s">
        <v>194</v>
      </c>
      <c r="L70" s="87"/>
      <c r="M70" s="335">
        <f t="shared" si="2"/>
        <v>2900</v>
      </c>
    </row>
    <row r="71" spans="1:15" s="1" customFormat="1" ht="41.3" customHeight="1">
      <c r="A71" s="1007">
        <v>67</v>
      </c>
      <c r="B71" s="608" t="s">
        <v>662</v>
      </c>
      <c r="C71" s="1003" t="s">
        <v>1411</v>
      </c>
      <c r="D71" s="1023" t="s">
        <v>1412</v>
      </c>
      <c r="E71" s="1023" t="s">
        <v>1413</v>
      </c>
      <c r="F71" s="144" t="s">
        <v>65</v>
      </c>
      <c r="G71" s="136" t="s">
        <v>164</v>
      </c>
      <c r="H71" s="1030"/>
      <c r="I71" s="1042" t="s">
        <v>1414</v>
      </c>
      <c r="J71" s="109" t="s">
        <v>22</v>
      </c>
      <c r="K71" s="102" t="s">
        <v>194</v>
      </c>
      <c r="M71" s="1036" t="str">
        <f t="shared" si="2"/>
        <v>Kiểm tra lại mẫu</v>
      </c>
      <c r="N71" s="3"/>
      <c r="O71" s="3"/>
    </row>
    <row r="72" spans="1:15" s="1" customFormat="1" ht="23.1">
      <c r="A72" s="1007">
        <v>68</v>
      </c>
      <c r="B72" s="102" t="s">
        <v>649</v>
      </c>
      <c r="C72" s="1003" t="s">
        <v>1415</v>
      </c>
      <c r="D72" s="1023" t="s">
        <v>1416</v>
      </c>
      <c r="E72" s="1039"/>
      <c r="F72" s="144" t="s">
        <v>65</v>
      </c>
      <c r="G72" s="110" t="s">
        <v>213</v>
      </c>
      <c r="H72" s="1030" t="s">
        <v>1417</v>
      </c>
      <c r="I72" s="1033"/>
      <c r="J72" s="109" t="s">
        <v>24</v>
      </c>
      <c r="K72" s="102" t="s">
        <v>194</v>
      </c>
      <c r="M72" s="1036"/>
      <c r="N72" s="3"/>
      <c r="O72" s="3"/>
    </row>
    <row r="73" spans="1:15" s="1" customFormat="1" ht="23.1">
      <c r="A73" s="1007">
        <v>69</v>
      </c>
      <c r="B73" s="102" t="s">
        <v>709</v>
      </c>
      <c r="C73" s="1003" t="s">
        <v>1415</v>
      </c>
      <c r="D73" s="1023" t="s">
        <v>1416</v>
      </c>
      <c r="E73" s="1039"/>
      <c r="F73" s="144" t="s">
        <v>65</v>
      </c>
      <c r="G73" s="110" t="s">
        <v>213</v>
      </c>
      <c r="H73" s="1030" t="s">
        <v>1417</v>
      </c>
      <c r="I73" s="109"/>
      <c r="J73" s="102" t="s">
        <v>18</v>
      </c>
      <c r="K73" s="102" t="s">
        <v>194</v>
      </c>
      <c r="M73" s="809" t="str">
        <f>C73</f>
        <v>THÁNG 4</v>
      </c>
      <c r="N73" s="3"/>
      <c r="O73" s="3"/>
    </row>
    <row r="74" spans="1:15" s="1" customFormat="1" ht="18.7"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1254</v>
      </c>
      <c r="C80" s="1049" t="s">
        <v>716</v>
      </c>
      <c r="D80" s="1050" t="s">
        <v>1418</v>
      </c>
      <c r="E80" s="1044"/>
      <c r="F80" s="760" t="s">
        <v>65</v>
      </c>
      <c r="G80" s="760" t="s">
        <v>66</v>
      </c>
      <c r="H80" s="1051"/>
      <c r="I80" s="1044"/>
      <c r="J80" s="1044" t="s">
        <v>24</v>
      </c>
      <c r="K80" s="760" t="s">
        <v>194</v>
      </c>
      <c r="L80" s="1052"/>
      <c r="M80" s="1053" t="str">
        <f>C80</f>
        <v>HỦY</v>
      </c>
    </row>
    <row r="81" spans="2:13" s="434" customFormat="1">
      <c r="B81" s="1045" t="s">
        <v>1188</v>
      </c>
      <c r="C81" s="719" t="s">
        <v>716</v>
      </c>
      <c r="D81" s="720" t="s">
        <v>1419</v>
      </c>
      <c r="E81" s="612"/>
      <c r="F81" s="608" t="s">
        <v>65</v>
      </c>
      <c r="G81" s="608" t="s">
        <v>213</v>
      </c>
      <c r="H81" s="670"/>
      <c r="I81" s="612"/>
      <c r="J81" s="1054" t="s">
        <v>18</v>
      </c>
      <c r="K81" s="608" t="s">
        <v>18</v>
      </c>
      <c r="L81" s="1001"/>
      <c r="M81" s="1053" t="str">
        <f>C81</f>
        <v>HỦY</v>
      </c>
    </row>
    <row r="82" spans="2:13" s="434" customFormat="1">
      <c r="B82" s="1045" t="s">
        <v>1420</v>
      </c>
      <c r="C82" s="719" t="s">
        <v>1421</v>
      </c>
      <c r="D82" s="720" t="s">
        <v>1320</v>
      </c>
      <c r="E82" s="722"/>
      <c r="F82" s="718" t="s">
        <v>65</v>
      </c>
      <c r="G82" s="1055" t="s">
        <v>213</v>
      </c>
      <c r="H82" s="1056"/>
      <c r="I82" s="896"/>
      <c r="J82" s="612" t="s">
        <v>22</v>
      </c>
      <c r="K82" s="608" t="s">
        <v>22</v>
      </c>
      <c r="L82" s="1001"/>
      <c r="M82" s="1053"/>
    </row>
    <row r="83" spans="2:13" s="434" customFormat="1">
      <c r="B83" s="1045" t="s">
        <v>844</v>
      </c>
      <c r="C83" s="719" t="s">
        <v>1421</v>
      </c>
      <c r="D83" s="720" t="s">
        <v>1313</v>
      </c>
      <c r="E83" s="722"/>
      <c r="F83" s="718" t="s">
        <v>65</v>
      </c>
      <c r="G83" s="1055" t="s">
        <v>213</v>
      </c>
      <c r="H83" s="1056"/>
      <c r="I83" s="896"/>
      <c r="J83" s="612" t="s">
        <v>22</v>
      </c>
      <c r="K83" s="608" t="s">
        <v>22</v>
      </c>
      <c r="L83" s="1001"/>
      <c r="M83" s="1053"/>
    </row>
    <row r="84" spans="2:13" s="434" customFormat="1">
      <c r="B84" s="1046" t="s">
        <v>1422</v>
      </c>
      <c r="C84" s="1057" t="s">
        <v>716</v>
      </c>
      <c r="D84" s="1058" t="s">
        <v>1423</v>
      </c>
      <c r="E84" s="1059"/>
      <c r="F84" s="608" t="s">
        <v>65</v>
      </c>
      <c r="G84" s="1060" t="s">
        <v>968</v>
      </c>
      <c r="H84" s="1061"/>
      <c r="I84" s="1047"/>
      <c r="J84" s="1062" t="s">
        <v>403</v>
      </c>
      <c r="K84" s="1046" t="s">
        <v>194</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5" priority="654"/>
  </conditionalFormatting>
  <conditionalFormatting sqref="A4">
    <cfRule type="duplicateValues" dxfId="794" priority="46"/>
  </conditionalFormatting>
  <conditionalFormatting sqref="A5">
    <cfRule type="duplicateValues" dxfId="793" priority="653"/>
  </conditionalFormatting>
  <conditionalFormatting sqref="A6">
    <cfRule type="duplicateValues" dxfId="792" priority="18"/>
  </conditionalFormatting>
  <conditionalFormatting sqref="A7">
    <cfRule type="duplicateValues" dxfId="791" priority="17"/>
  </conditionalFormatting>
  <conditionalFormatting sqref="A8">
    <cfRule type="duplicateValues" dxfId="790" priority="42"/>
  </conditionalFormatting>
  <conditionalFormatting sqref="A9">
    <cfRule type="duplicateValues" dxfId="789" priority="16"/>
  </conditionalFormatting>
  <conditionalFormatting sqref="A10 A14">
    <cfRule type="duplicateValues" dxfId="788" priority="655"/>
  </conditionalFormatting>
  <conditionalFormatting sqref="A11">
    <cfRule type="duplicateValues" dxfId="787" priority="21"/>
  </conditionalFormatting>
  <conditionalFormatting sqref="A12">
    <cfRule type="duplicateValues" dxfId="786" priority="648"/>
  </conditionalFormatting>
  <conditionalFormatting sqref="A13 A15 A18:A19 A22:A23 A27 A32:A34 A58:A65 A67:A68 A70 A73 A75 A77:A78 A81 A83">
    <cfRule type="duplicateValues" dxfId="785" priority="1014"/>
  </conditionalFormatting>
  <conditionalFormatting sqref="A16:A17 A20:A21 A24:A26 A28:A29 A66 A69 A72 A74 A76 A79 A82">
    <cfRule type="duplicateValues" dxfId="784" priority="979"/>
  </conditionalFormatting>
  <conditionalFormatting sqref="A30">
    <cfRule type="duplicateValues" dxfId="783" priority="14"/>
  </conditionalFormatting>
  <conditionalFormatting sqref="A31">
    <cfRule type="duplicateValues" dxfId="782" priority="13"/>
  </conditionalFormatting>
  <conditionalFormatting sqref="A35:A36 A38">
    <cfRule type="duplicateValues" dxfId="781" priority="11"/>
  </conditionalFormatting>
  <conditionalFormatting sqref="A37">
    <cfRule type="duplicateValues" dxfId="780" priority="12"/>
  </conditionalFormatting>
  <conditionalFormatting sqref="A39">
    <cfRule type="duplicateValues" dxfId="779" priority="8"/>
  </conditionalFormatting>
  <conditionalFormatting sqref="A40 A44">
    <cfRule type="duplicateValues" dxfId="778" priority="780"/>
  </conditionalFormatting>
  <conditionalFormatting sqref="A41:A43">
    <cfRule type="duplicateValues" dxfId="777" priority="816"/>
  </conditionalFormatting>
  <conditionalFormatting sqref="A45">
    <cfRule type="duplicateValues" dxfId="776" priority="6"/>
  </conditionalFormatting>
  <conditionalFormatting sqref="A46:A50 A52:A53">
    <cfRule type="duplicateValues" dxfId="775" priority="956"/>
  </conditionalFormatting>
  <conditionalFormatting sqref="A51">
    <cfRule type="duplicateValues" dxfId="774" priority="4"/>
  </conditionalFormatting>
  <conditionalFormatting sqref="A54:A57">
    <cfRule type="duplicateValues" dxfId="773" priority="977"/>
  </conditionalFormatting>
  <conditionalFormatting sqref="A71">
    <cfRule type="duplicateValues" dxfId="772" priority="1"/>
  </conditionalFormatting>
  <conditionalFormatting sqref="A80">
    <cfRule type="duplicateValues" dxfId="771" priority="2"/>
  </conditionalFormatting>
  <conditionalFormatting sqref="A84">
    <cfRule type="duplicateValues" dxfId="770" priority="3"/>
  </conditionalFormatting>
  <conditionalFormatting sqref="B3">
    <cfRule type="duplicateValues" dxfId="769" priority="47"/>
    <cfRule type="duplicateValues" dxfId="768" priority="48"/>
    <cfRule type="duplicateValues" dxfId="767" priority="49"/>
  </conditionalFormatting>
  <conditionalFormatting sqref="B4">
    <cfRule type="duplicateValues" dxfId="766" priority="43"/>
    <cfRule type="duplicateValues" dxfId="765" priority="44"/>
    <cfRule type="duplicateValues" dxfId="764"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topRight"/>
      <selection pane="bottomLeft"/>
      <selection pane="bottomRight"/>
    </sheetView>
  </sheetViews>
  <sheetFormatPr defaultColWidth="25.625" defaultRowHeight="18.350000000000001"/>
  <cols>
    <col min="1" max="1" width="7.125" style="359" customWidth="1"/>
    <col min="2" max="2" width="23.25" style="1" customWidth="1"/>
    <col min="3" max="3" width="12.25" style="803" customWidth="1"/>
    <col min="4" max="4" width="15.375" style="271" customWidth="1"/>
    <col min="5" max="5" width="16.375" style="271" customWidth="1"/>
    <col min="6" max="6" width="16.375" style="1" customWidth="1"/>
    <col min="7" max="7" width="24.375" style="1" customWidth="1"/>
    <col min="8" max="8" width="58.625" style="9" customWidth="1"/>
    <col min="9" max="9" width="40.375" style="9" customWidth="1"/>
    <col min="10" max="10" width="20.625" style="1" customWidth="1"/>
    <col min="11" max="11" width="19.25" style="1" customWidth="1"/>
    <col min="12" max="12" width="16.125" style="1" hidden="1" customWidth="1"/>
    <col min="13" max="13" width="10.25" style="804" hidden="1" customWidth="1"/>
    <col min="14" max="14" width="27.375" style="3" customWidth="1"/>
    <col min="15" max="15" width="15.375" style="3" customWidth="1"/>
    <col min="16" max="16" width="34.625" style="3" customWidth="1"/>
    <col min="17" max="16384" width="25.625" style="3"/>
  </cols>
  <sheetData>
    <row r="1" spans="1:15" ht="17.350000000000001" customHeight="1">
      <c r="B1" s="10"/>
      <c r="C1" s="3671"/>
      <c r="D1" s="3671"/>
      <c r="E1" s="3671"/>
      <c r="F1" s="3671"/>
      <c r="G1" s="3671"/>
      <c r="H1" s="3671"/>
      <c r="I1" s="3671"/>
    </row>
    <row r="2" spans="1:15" ht="27" customHeight="1">
      <c r="A2" s="3684" t="s">
        <v>1424</v>
      </c>
      <c r="B2" s="3684"/>
      <c r="C2" s="3684"/>
      <c r="D2" s="3684"/>
      <c r="E2" s="3684"/>
      <c r="F2" s="3684"/>
      <c r="G2" s="3684"/>
      <c r="H2" s="3684"/>
      <c r="I2" s="3684"/>
      <c r="J2" s="194"/>
      <c r="K2" s="194"/>
      <c r="L2" s="195"/>
      <c r="M2" s="805"/>
      <c r="N2" s="196"/>
      <c r="O2" s="197"/>
    </row>
    <row r="3" spans="1:15" ht="23.95" customHeight="1">
      <c r="A3" s="360"/>
      <c r="B3" s="385"/>
      <c r="C3" s="806">
        <f>SUBTOTAL(9,C5:C212)</f>
        <v>104470</v>
      </c>
      <c r="D3" s="378"/>
      <c r="E3" s="849"/>
      <c r="F3" s="201"/>
      <c r="G3" s="199"/>
      <c r="H3" s="202"/>
      <c r="I3" s="3686">
        <f ca="1">TODAY()</f>
        <v>45988</v>
      </c>
      <c r="J3" s="3686"/>
      <c r="K3" s="807"/>
      <c r="L3" s="807"/>
      <c r="M3" s="808"/>
      <c r="N3" s="197"/>
      <c r="O3" s="197"/>
    </row>
    <row r="4" spans="1:15" s="7" customFormat="1" ht="48.1" customHeight="1">
      <c r="A4" s="810" t="s">
        <v>48</v>
      </c>
      <c r="B4" s="679" t="s">
        <v>1425</v>
      </c>
      <c r="C4" s="811" t="s">
        <v>50</v>
      </c>
      <c r="D4" s="679" t="s">
        <v>51</v>
      </c>
      <c r="E4" s="679" t="s">
        <v>53</v>
      </c>
      <c r="F4" s="679" t="s">
        <v>55</v>
      </c>
      <c r="G4" s="679" t="s">
        <v>56</v>
      </c>
      <c r="H4" s="812" t="s">
        <v>57</v>
      </c>
      <c r="I4" s="679" t="s">
        <v>58</v>
      </c>
      <c r="J4" s="679" t="s">
        <v>52</v>
      </c>
      <c r="K4" s="679" t="s">
        <v>1094</v>
      </c>
      <c r="L4" s="679" t="s">
        <v>1256</v>
      </c>
      <c r="M4" s="813" t="s">
        <v>381</v>
      </c>
      <c r="N4" s="753" t="s">
        <v>382</v>
      </c>
      <c r="O4" s="754">
        <f>SUM(O5:O13)</f>
        <v>54444</v>
      </c>
    </row>
    <row r="5" spans="1:15" s="336" customFormat="1" ht="88.5" customHeight="1">
      <c r="A5" s="786" cm="1">
        <f t="array" ref="A5:A54">_xlfn.SEQUENCE(50,1,1,)</f>
        <v>1</v>
      </c>
      <c r="B5" s="177" t="s">
        <v>1426</v>
      </c>
      <c r="C5" s="186">
        <v>7250</v>
      </c>
      <c r="D5" s="693" t="s">
        <v>1427</v>
      </c>
      <c r="E5" s="693" t="s">
        <v>292</v>
      </c>
      <c r="F5" s="87" t="s">
        <v>65</v>
      </c>
      <c r="G5" s="177" t="s">
        <v>1271</v>
      </c>
      <c r="H5" s="188" t="s">
        <v>1428</v>
      </c>
      <c r="I5" s="147"/>
      <c r="J5" s="177" t="s">
        <v>22</v>
      </c>
      <c r="K5" s="177" t="s">
        <v>22</v>
      </c>
      <c r="L5" s="133"/>
      <c r="M5" s="335">
        <f>C5</f>
        <v>7250</v>
      </c>
      <c r="N5" s="241" t="s">
        <v>22</v>
      </c>
      <c r="O5" s="258">
        <f>SUMIF($J:$J,N5,M:M)</f>
        <v>22550</v>
      </c>
    </row>
    <row r="6" spans="1:15" s="150" customFormat="1" ht="35.35" customHeight="1">
      <c r="A6" s="706">
        <v>2</v>
      </c>
      <c r="B6" s="177" t="s">
        <v>1429</v>
      </c>
      <c r="C6" s="186">
        <v>2950</v>
      </c>
      <c r="D6" s="693" t="s">
        <v>1430</v>
      </c>
      <c r="E6" s="693" t="s">
        <v>292</v>
      </c>
      <c r="F6" s="87" t="s">
        <v>65</v>
      </c>
      <c r="G6" s="180" t="s">
        <v>1279</v>
      </c>
      <c r="H6" s="156" t="s">
        <v>1431</v>
      </c>
      <c r="I6" s="703" t="s">
        <v>1432</v>
      </c>
      <c r="J6" s="177" t="s">
        <v>26</v>
      </c>
      <c r="K6" s="177" t="s">
        <v>524</v>
      </c>
      <c r="L6" s="388"/>
      <c r="M6" s="335">
        <f>C6</f>
        <v>2950</v>
      </c>
      <c r="N6" s="691" t="s">
        <v>24</v>
      </c>
      <c r="O6" s="248">
        <f>SUMIF($J:$J,N6,M:M)</f>
        <v>10570</v>
      </c>
    </row>
    <row r="7" spans="1:15" s="336" customFormat="1" ht="32.950000000000003" customHeight="1">
      <c r="A7" s="786">
        <v>3</v>
      </c>
      <c r="B7" s="87" t="s">
        <v>667</v>
      </c>
      <c r="C7" s="94">
        <v>3200</v>
      </c>
      <c r="D7" s="87" t="s">
        <v>1433</v>
      </c>
      <c r="E7" s="87" t="s">
        <v>267</v>
      </c>
      <c r="F7" s="89" t="s">
        <v>65</v>
      </c>
      <c r="G7" s="87" t="s">
        <v>213</v>
      </c>
      <c r="H7" s="184" t="s">
        <v>1434</v>
      </c>
      <c r="I7" s="850"/>
      <c r="J7" s="129" t="s">
        <v>22</v>
      </c>
      <c r="K7" s="133" t="s">
        <v>22</v>
      </c>
      <c r="L7" s="133"/>
      <c r="M7" s="335"/>
      <c r="N7" s="181" t="s">
        <v>555</v>
      </c>
      <c r="O7" s="851">
        <f>SUMIF($J:$J,N7,M:M)</f>
        <v>5574</v>
      </c>
    </row>
    <row r="8" spans="1:15" s="336" customFormat="1" ht="53.35" customHeight="1">
      <c r="A8" s="786">
        <v>4</v>
      </c>
      <c r="B8" s="87" t="s">
        <v>1435</v>
      </c>
      <c r="C8" s="94">
        <v>3050</v>
      </c>
      <c r="D8" s="87" t="s">
        <v>1436</v>
      </c>
      <c r="E8" s="87" t="s">
        <v>292</v>
      </c>
      <c r="F8" s="89" t="s">
        <v>65</v>
      </c>
      <c r="G8" s="87" t="s">
        <v>213</v>
      </c>
      <c r="H8" s="93" t="s">
        <v>1437</v>
      </c>
      <c r="I8" s="290" t="s">
        <v>1438</v>
      </c>
      <c r="J8" s="129" t="s">
        <v>22</v>
      </c>
      <c r="K8" s="133" t="s">
        <v>22</v>
      </c>
      <c r="L8" s="133"/>
      <c r="M8" s="335"/>
      <c r="N8" s="852" t="s">
        <v>26</v>
      </c>
      <c r="O8" s="851">
        <f>SUMIF($J:$J,N8,M:M)</f>
        <v>2950</v>
      </c>
    </row>
    <row r="9" spans="1:15" s="336" customFormat="1" ht="50.3" customHeight="1">
      <c r="A9" s="786">
        <v>5</v>
      </c>
      <c r="B9" s="87" t="s">
        <v>1336</v>
      </c>
      <c r="C9" s="94">
        <v>3350</v>
      </c>
      <c r="D9" s="87" t="s">
        <v>1436</v>
      </c>
      <c r="E9" s="87" t="s">
        <v>267</v>
      </c>
      <c r="F9" s="89" t="s">
        <v>65</v>
      </c>
      <c r="G9" s="87" t="s">
        <v>213</v>
      </c>
      <c r="H9" s="93" t="s">
        <v>1434</v>
      </c>
      <c r="I9" s="850"/>
      <c r="J9" s="129" t="s">
        <v>22</v>
      </c>
      <c r="K9" s="133" t="s">
        <v>22</v>
      </c>
      <c r="L9" s="133"/>
      <c r="M9" s="335">
        <f t="shared" ref="M9:M10" si="0">C9</f>
        <v>3350</v>
      </c>
      <c r="N9" s="241" t="s">
        <v>18</v>
      </c>
      <c r="O9" s="242">
        <f>SUMIF($J:$J,N9,M:M)</f>
        <v>4000</v>
      </c>
    </row>
    <row r="10" spans="1:15" s="150" customFormat="1" ht="56.25" customHeight="1">
      <c r="A10" s="706">
        <v>6</v>
      </c>
      <c r="B10" s="177" t="s">
        <v>649</v>
      </c>
      <c r="C10" s="186">
        <v>4300</v>
      </c>
      <c r="D10" s="693" t="s">
        <v>1439</v>
      </c>
      <c r="E10" s="87" t="s">
        <v>267</v>
      </c>
      <c r="F10" s="87" t="s">
        <v>65</v>
      </c>
      <c r="G10" s="180" t="s">
        <v>213</v>
      </c>
      <c r="H10" s="184" t="s">
        <v>1440</v>
      </c>
      <c r="I10" s="151"/>
      <c r="J10" s="177" t="s">
        <v>24</v>
      </c>
      <c r="K10" s="177" t="s">
        <v>24</v>
      </c>
      <c r="L10" s="388"/>
      <c r="M10" s="335">
        <f t="shared" si="0"/>
        <v>4300</v>
      </c>
      <c r="N10" s="365"/>
      <c r="O10" s="853"/>
    </row>
    <row r="11" spans="1:15" s="855" customFormat="1">
      <c r="A11" s="706">
        <v>7</v>
      </c>
      <c r="B11" s="177" t="s">
        <v>1441</v>
      </c>
      <c r="C11" s="186" t="s">
        <v>710</v>
      </c>
      <c r="D11" s="177" t="s">
        <v>1427</v>
      </c>
      <c r="E11" s="177"/>
      <c r="F11" s="389" t="s">
        <v>1442</v>
      </c>
      <c r="G11" s="177" t="s">
        <v>213</v>
      </c>
      <c r="H11" s="854" t="s">
        <v>710</v>
      </c>
      <c r="I11" s="147"/>
      <c r="J11" s="181" t="s">
        <v>22</v>
      </c>
      <c r="K11" s="133" t="s">
        <v>22</v>
      </c>
      <c r="L11" s="177"/>
      <c r="M11" s="335" t="str">
        <f t="shared" ref="M11" si="1">C11</f>
        <v>hủy</v>
      </c>
      <c r="N11" s="365"/>
      <c r="O11" s="853"/>
    </row>
    <row r="12" spans="1:15" s="336" customFormat="1" ht="63.7" customHeight="1">
      <c r="A12" s="706">
        <v>8</v>
      </c>
      <c r="B12" s="177" t="s">
        <v>1443</v>
      </c>
      <c r="C12" s="94">
        <v>3170</v>
      </c>
      <c r="D12" s="87" t="s">
        <v>1444</v>
      </c>
      <c r="E12" s="87" t="s">
        <v>267</v>
      </c>
      <c r="F12" s="89" t="s">
        <v>65</v>
      </c>
      <c r="G12" s="87" t="s">
        <v>1445</v>
      </c>
      <c r="H12" s="93" t="s">
        <v>1446</v>
      </c>
      <c r="I12" s="290" t="s">
        <v>1447</v>
      </c>
      <c r="J12" s="129" t="s">
        <v>24</v>
      </c>
      <c r="K12" s="133" t="s">
        <v>24</v>
      </c>
      <c r="L12" s="133"/>
      <c r="M12" s="335">
        <f t="shared" ref="M12" si="2">C12</f>
        <v>3170</v>
      </c>
      <c r="N12" s="365"/>
      <c r="O12" s="853"/>
    </row>
    <row r="13" spans="1:15" s="336" customFormat="1" ht="86.3" hidden="1" customHeight="1">
      <c r="A13" s="786">
        <v>9</v>
      </c>
      <c r="B13" s="177" t="s">
        <v>607</v>
      </c>
      <c r="C13" s="94">
        <v>3400</v>
      </c>
      <c r="D13" s="87" t="s">
        <v>1439</v>
      </c>
      <c r="E13" s="87" t="s">
        <v>292</v>
      </c>
      <c r="F13" s="89" t="s">
        <v>65</v>
      </c>
      <c r="G13" s="87" t="s">
        <v>213</v>
      </c>
      <c r="H13" s="93" t="s">
        <v>1448</v>
      </c>
      <c r="I13" s="290" t="s">
        <v>1449</v>
      </c>
      <c r="J13" s="129" t="s">
        <v>22</v>
      </c>
      <c r="K13" s="133" t="s">
        <v>22</v>
      </c>
      <c r="L13" s="133"/>
      <c r="M13" s="335">
        <f>C13</f>
        <v>3400</v>
      </c>
      <c r="N13" s="241" t="s">
        <v>88</v>
      </c>
      <c r="O13" s="242">
        <f>SUMIF($J:$J,N13,M:M)</f>
        <v>8800</v>
      </c>
    </row>
    <row r="14" spans="1:15" s="336" customFormat="1" ht="57.75" hidden="1" customHeight="1">
      <c r="A14" s="786">
        <v>10</v>
      </c>
      <c r="B14" s="177" t="s">
        <v>290</v>
      </c>
      <c r="C14" s="94">
        <v>2950</v>
      </c>
      <c r="D14" s="133" t="s">
        <v>1450</v>
      </c>
      <c r="E14" s="133" t="s">
        <v>292</v>
      </c>
      <c r="F14" s="89" t="s">
        <v>65</v>
      </c>
      <c r="G14" s="87" t="s">
        <v>213</v>
      </c>
      <c r="H14" s="93" t="s">
        <v>1451</v>
      </c>
      <c r="I14" s="850"/>
      <c r="J14" s="129" t="s">
        <v>22</v>
      </c>
      <c r="K14" s="133" t="s">
        <v>22</v>
      </c>
      <c r="L14" s="133"/>
      <c r="M14" s="335">
        <f>C14</f>
        <v>2950</v>
      </c>
      <c r="N14" s="861"/>
      <c r="O14" s="861"/>
    </row>
    <row r="15" spans="1:15" s="336" customFormat="1" ht="54" hidden="1" customHeight="1">
      <c r="A15" s="786">
        <v>11</v>
      </c>
      <c r="B15" s="177" t="s">
        <v>1452</v>
      </c>
      <c r="C15" s="94">
        <v>3000</v>
      </c>
      <c r="D15" s="87" t="s">
        <v>1439</v>
      </c>
      <c r="E15" s="87" t="s">
        <v>292</v>
      </c>
      <c r="F15" s="89" t="s">
        <v>65</v>
      </c>
      <c r="G15" s="87" t="s">
        <v>213</v>
      </c>
      <c r="H15" s="93" t="s">
        <v>1453</v>
      </c>
      <c r="I15" s="850" t="s">
        <v>1454</v>
      </c>
      <c r="J15" s="129" t="s">
        <v>26</v>
      </c>
      <c r="K15" s="133" t="s">
        <v>524</v>
      </c>
      <c r="L15" s="133"/>
      <c r="M15" s="335"/>
    </row>
    <row r="16" spans="1:15" s="336" customFormat="1" ht="52.5" hidden="1" customHeight="1">
      <c r="A16" s="786">
        <v>12</v>
      </c>
      <c r="B16" s="177" t="s">
        <v>1455</v>
      </c>
      <c r="C16" s="94">
        <v>3100</v>
      </c>
      <c r="D16" s="87" t="s">
        <v>1456</v>
      </c>
      <c r="E16" s="87" t="s">
        <v>292</v>
      </c>
      <c r="F16" s="89" t="s">
        <v>65</v>
      </c>
      <c r="G16" s="87" t="s">
        <v>1279</v>
      </c>
      <c r="H16" s="93" t="s">
        <v>1457</v>
      </c>
      <c r="I16" s="290" t="s">
        <v>1458</v>
      </c>
      <c r="J16" s="129" t="s">
        <v>24</v>
      </c>
      <c r="K16" s="133" t="s">
        <v>24</v>
      </c>
      <c r="L16" s="133"/>
      <c r="M16" s="335">
        <f>C16</f>
        <v>3100</v>
      </c>
    </row>
    <row r="17" spans="1:15" s="358" customFormat="1" hidden="1">
      <c r="A17" s="856">
        <v>13</v>
      </c>
      <c r="B17" s="857" t="s">
        <v>1459</v>
      </c>
      <c r="C17" s="353" t="s">
        <v>717</v>
      </c>
      <c r="D17" s="381" t="s">
        <v>1460</v>
      </c>
      <c r="E17" s="381"/>
      <c r="F17" s="628" t="s">
        <v>65</v>
      </c>
      <c r="G17" s="354" t="s">
        <v>142</v>
      </c>
      <c r="H17" s="355"/>
      <c r="I17" s="858"/>
      <c r="J17" s="352" t="s">
        <v>22</v>
      </c>
      <c r="K17" s="381" t="s">
        <v>22</v>
      </c>
      <c r="L17" s="381"/>
      <c r="M17" s="859"/>
      <c r="N17" s="860"/>
      <c r="O17" s="860"/>
    </row>
    <row r="18" spans="1:15" s="873" customFormat="1" hidden="1">
      <c r="A18" s="862">
        <v>14</v>
      </c>
      <c r="B18" s="863" t="s">
        <v>1461</v>
      </c>
      <c r="C18" s="864" t="s">
        <v>716</v>
      </c>
      <c r="D18" s="865" t="s">
        <v>1462</v>
      </c>
      <c r="E18" s="865"/>
      <c r="F18" s="866" t="s">
        <v>65</v>
      </c>
      <c r="G18" s="867" t="s">
        <v>213</v>
      </c>
      <c r="H18" s="868"/>
      <c r="I18" s="869"/>
      <c r="J18" s="870" t="s">
        <v>22</v>
      </c>
      <c r="K18" s="865" t="s">
        <v>22</v>
      </c>
      <c r="L18" s="865"/>
      <c r="M18" s="871"/>
      <c r="N18" s="872"/>
      <c r="O18" s="872"/>
    </row>
    <row r="19" spans="1:15" s="336" customFormat="1" ht="75.75" hidden="1" customHeight="1">
      <c r="A19" s="786">
        <v>15</v>
      </c>
      <c r="B19" s="177" t="s">
        <v>1463</v>
      </c>
      <c r="C19" s="186">
        <v>4200</v>
      </c>
      <c r="D19" s="693" t="s">
        <v>1462</v>
      </c>
      <c r="E19" s="87" t="s">
        <v>292</v>
      </c>
      <c r="F19" s="87" t="s">
        <v>65</v>
      </c>
      <c r="G19" s="180" t="s">
        <v>213</v>
      </c>
      <c r="H19" s="93" t="s">
        <v>1464</v>
      </c>
      <c r="I19" s="850"/>
      <c r="J19" s="177" t="s">
        <v>24</v>
      </c>
      <c r="K19" s="177" t="s">
        <v>24</v>
      </c>
      <c r="L19" s="133"/>
      <c r="M19" s="335"/>
      <c r="N19" s="855"/>
      <c r="O19" s="855"/>
    </row>
    <row r="20" spans="1:15" s="336" customFormat="1" ht="88.5" hidden="1" customHeight="1">
      <c r="A20" s="786">
        <v>16</v>
      </c>
      <c r="B20" s="177" t="s">
        <v>1158</v>
      </c>
      <c r="C20" s="186">
        <v>5870</v>
      </c>
      <c r="D20" s="693" t="s">
        <v>1462</v>
      </c>
      <c r="E20" s="87" t="s">
        <v>292</v>
      </c>
      <c r="F20" s="89" t="s">
        <v>65</v>
      </c>
      <c r="G20" s="180" t="s">
        <v>213</v>
      </c>
      <c r="H20" s="188" t="s">
        <v>1465</v>
      </c>
      <c r="I20" s="876" t="s">
        <v>1466</v>
      </c>
      <c r="J20" s="181" t="s">
        <v>22</v>
      </c>
      <c r="K20" s="177" t="s">
        <v>22</v>
      </c>
      <c r="L20" s="133"/>
      <c r="M20" s="335"/>
      <c r="N20" s="855"/>
      <c r="O20" s="855"/>
    </row>
    <row r="21" spans="1:15" s="855" customFormat="1" ht="108" customHeight="1">
      <c r="A21" s="706">
        <v>17</v>
      </c>
      <c r="B21" s="177" t="s">
        <v>1467</v>
      </c>
      <c r="C21" s="94">
        <v>8800</v>
      </c>
      <c r="D21" s="133" t="s">
        <v>1462</v>
      </c>
      <c r="E21" s="87" t="s">
        <v>292</v>
      </c>
      <c r="F21" s="87" t="s">
        <v>65</v>
      </c>
      <c r="G21" s="87" t="s">
        <v>1445</v>
      </c>
      <c r="H21" s="188" t="s">
        <v>1468</v>
      </c>
      <c r="I21" s="188" t="s">
        <v>1469</v>
      </c>
      <c r="J21" s="133" t="s">
        <v>88</v>
      </c>
      <c r="K21" s="87" t="s">
        <v>24</v>
      </c>
      <c r="L21" s="133"/>
      <c r="M21" s="335">
        <f>C21</f>
        <v>8800</v>
      </c>
      <c r="N21" s="336"/>
      <c r="O21" s="336"/>
    </row>
    <row r="22" spans="1:15" s="855" customFormat="1" ht="77.3" hidden="1" customHeight="1">
      <c r="A22" s="706">
        <v>18</v>
      </c>
      <c r="B22" s="87" t="s">
        <v>603</v>
      </c>
      <c r="C22" s="94">
        <v>2787</v>
      </c>
      <c r="D22" s="133" t="s">
        <v>1470</v>
      </c>
      <c r="E22" s="87" t="s">
        <v>292</v>
      </c>
      <c r="F22" s="87" t="s">
        <v>65</v>
      </c>
      <c r="G22" s="87" t="s">
        <v>213</v>
      </c>
      <c r="H22" s="188" t="s">
        <v>1471</v>
      </c>
      <c r="I22" s="290" t="s">
        <v>1472</v>
      </c>
      <c r="J22" s="133" t="s">
        <v>555</v>
      </c>
      <c r="K22" s="87" t="s">
        <v>24</v>
      </c>
      <c r="L22" s="133"/>
      <c r="M22" s="335">
        <f>C22</f>
        <v>2787</v>
      </c>
      <c r="N22" s="336"/>
      <c r="O22" s="336"/>
    </row>
    <row r="23" spans="1:15" s="336" customFormat="1" ht="59.3" hidden="1" customHeight="1">
      <c r="A23" s="786">
        <v>19</v>
      </c>
      <c r="B23" s="177" t="s">
        <v>311</v>
      </c>
      <c r="C23" s="94">
        <v>3950</v>
      </c>
      <c r="D23" s="133" t="s">
        <v>1473</v>
      </c>
      <c r="E23" s="133" t="s">
        <v>292</v>
      </c>
      <c r="F23" s="89" t="s">
        <v>65</v>
      </c>
      <c r="G23" s="87" t="s">
        <v>142</v>
      </c>
      <c r="H23" s="93" t="s">
        <v>1474</v>
      </c>
      <c r="I23" s="876" t="s">
        <v>1475</v>
      </c>
      <c r="J23" s="129" t="s">
        <v>22</v>
      </c>
      <c r="K23" s="133" t="s">
        <v>22</v>
      </c>
      <c r="L23" s="133"/>
      <c r="M23" s="335"/>
      <c r="N23" s="861"/>
      <c r="O23" s="861"/>
    </row>
    <row r="24" spans="1:15" s="336" customFormat="1" ht="58.6" customHeight="1">
      <c r="A24" s="786">
        <v>20</v>
      </c>
      <c r="B24" s="177" t="s">
        <v>679</v>
      </c>
      <c r="C24" s="94">
        <v>3800</v>
      </c>
      <c r="D24" s="133" t="s">
        <v>1476</v>
      </c>
      <c r="E24" s="133" t="s">
        <v>292</v>
      </c>
      <c r="F24" s="89" t="s">
        <v>65</v>
      </c>
      <c r="G24" s="87" t="s">
        <v>1445</v>
      </c>
      <c r="H24" s="93" t="s">
        <v>1477</v>
      </c>
      <c r="I24" s="290"/>
      <c r="J24" s="349" t="s">
        <v>22</v>
      </c>
      <c r="K24" s="133" t="s">
        <v>22</v>
      </c>
      <c r="L24" s="133"/>
      <c r="M24" s="335"/>
    </row>
    <row r="25" spans="1:15" s="336" customFormat="1" ht="55.05">
      <c r="A25" s="786">
        <v>21</v>
      </c>
      <c r="B25" s="177" t="s">
        <v>1336</v>
      </c>
      <c r="C25" s="94">
        <v>3350</v>
      </c>
      <c r="D25" s="133" t="s">
        <v>1478</v>
      </c>
      <c r="E25" s="133" t="s">
        <v>267</v>
      </c>
      <c r="F25" s="87" t="s">
        <v>65</v>
      </c>
      <c r="G25" s="89" t="s">
        <v>1445</v>
      </c>
      <c r="H25" s="93" t="s">
        <v>1479</v>
      </c>
      <c r="I25" s="345"/>
      <c r="J25" s="349" t="s">
        <v>22</v>
      </c>
      <c r="K25" s="87" t="s">
        <v>22</v>
      </c>
      <c r="L25" s="878"/>
      <c r="M25" s="335"/>
    </row>
    <row r="26" spans="1:15" s="336" customFormat="1" ht="117" hidden="1" customHeight="1">
      <c r="A26" s="786">
        <v>22</v>
      </c>
      <c r="B26" s="177" t="s">
        <v>1026</v>
      </c>
      <c r="C26" s="94">
        <v>7150</v>
      </c>
      <c r="D26" s="393">
        <v>44608</v>
      </c>
      <c r="E26" s="133" t="s">
        <v>292</v>
      </c>
      <c r="F26" s="87" t="s">
        <v>65</v>
      </c>
      <c r="G26" s="897" t="s">
        <v>1000</v>
      </c>
      <c r="H26" s="703" t="s">
        <v>1480</v>
      </c>
      <c r="I26" s="286" t="s">
        <v>1481</v>
      </c>
      <c r="J26" s="129" t="s">
        <v>22</v>
      </c>
      <c r="K26" s="87" t="s">
        <v>22</v>
      </c>
      <c r="L26" s="129"/>
      <c r="M26" s="335"/>
    </row>
    <row r="27" spans="1:15" s="336" customFormat="1" ht="59.3" hidden="1" customHeight="1">
      <c r="A27" s="786">
        <v>23</v>
      </c>
      <c r="B27" s="87" t="s">
        <v>622</v>
      </c>
      <c r="C27" s="94">
        <v>450</v>
      </c>
      <c r="D27" s="133" t="s">
        <v>1478</v>
      </c>
      <c r="E27" s="133" t="s">
        <v>292</v>
      </c>
      <c r="F27" s="89" t="s">
        <v>65</v>
      </c>
      <c r="G27" s="87" t="s">
        <v>664</v>
      </c>
      <c r="H27" s="140" t="s">
        <v>1482</v>
      </c>
      <c r="I27" s="388" t="s">
        <v>1483</v>
      </c>
      <c r="J27" s="349" t="s">
        <v>24</v>
      </c>
      <c r="K27" s="87" t="s">
        <v>24</v>
      </c>
      <c r="L27" s="878"/>
      <c r="M27" s="335"/>
    </row>
    <row r="28" spans="1:15" s="336" customFormat="1" ht="37.549999999999997" hidden="1" customHeight="1">
      <c r="A28" s="786">
        <v>24</v>
      </c>
      <c r="B28" s="87" t="s">
        <v>572</v>
      </c>
      <c r="C28" s="94">
        <v>2787</v>
      </c>
      <c r="D28" s="393">
        <v>44610</v>
      </c>
      <c r="E28" s="133" t="s">
        <v>292</v>
      </c>
      <c r="F28" s="89" t="s">
        <v>65</v>
      </c>
      <c r="G28" s="87" t="s">
        <v>1484</v>
      </c>
      <c r="H28" s="93" t="s">
        <v>1485</v>
      </c>
      <c r="I28" s="388"/>
      <c r="J28" s="349" t="s">
        <v>555</v>
      </c>
      <c r="K28" s="87" t="s">
        <v>24</v>
      </c>
      <c r="L28" s="850"/>
      <c r="M28" s="335">
        <f>C28</f>
        <v>2787</v>
      </c>
    </row>
    <row r="29" spans="1:15" s="336" customFormat="1" ht="43.5" hidden="1" customHeight="1">
      <c r="A29" s="786">
        <v>25</v>
      </c>
      <c r="B29" s="177" t="s">
        <v>1486</v>
      </c>
      <c r="C29" s="94">
        <v>1950</v>
      </c>
      <c r="D29" s="133" t="s">
        <v>1487</v>
      </c>
      <c r="E29" s="133" t="s">
        <v>292</v>
      </c>
      <c r="F29" s="89" t="s">
        <v>65</v>
      </c>
      <c r="G29" s="87" t="s">
        <v>1488</v>
      </c>
      <c r="H29" s="93" t="s">
        <v>1489</v>
      </c>
      <c r="I29" s="364" t="s">
        <v>1490</v>
      </c>
      <c r="J29" s="349" t="s">
        <v>24</v>
      </c>
      <c r="K29" s="87" t="s">
        <v>24</v>
      </c>
      <c r="L29" s="878"/>
      <c r="M29" s="335"/>
    </row>
    <row r="30" spans="1:15" s="336" customFormat="1" ht="101.25" hidden="1" customHeight="1">
      <c r="A30" s="786">
        <v>26</v>
      </c>
      <c r="B30" s="177" t="s">
        <v>1391</v>
      </c>
      <c r="C30" s="94">
        <v>4050</v>
      </c>
      <c r="D30" s="393" t="s">
        <v>1491</v>
      </c>
      <c r="E30" s="133" t="s">
        <v>267</v>
      </c>
      <c r="F30" s="89" t="s">
        <v>65</v>
      </c>
      <c r="G30" s="87" t="s">
        <v>1305</v>
      </c>
      <c r="H30" s="119" t="s">
        <v>1492</v>
      </c>
      <c r="I30" s="703"/>
      <c r="J30" s="349" t="s">
        <v>18</v>
      </c>
      <c r="K30" s="133" t="s">
        <v>18</v>
      </c>
      <c r="L30" s="349"/>
      <c r="M30" s="335"/>
    </row>
    <row r="31" spans="1:15" s="150" customFormat="1" ht="57.1" hidden="1" customHeight="1">
      <c r="A31" s="904">
        <v>27</v>
      </c>
      <c r="B31" s="905" t="s">
        <v>1493</v>
      </c>
      <c r="C31" s="688">
        <v>4050</v>
      </c>
      <c r="D31" s="906" t="s">
        <v>1494</v>
      </c>
      <c r="E31" s="907" t="s">
        <v>292</v>
      </c>
      <c r="F31" s="113" t="s">
        <v>65</v>
      </c>
      <c r="G31" s="117" t="s">
        <v>405</v>
      </c>
      <c r="H31" s="290" t="s">
        <v>1495</v>
      </c>
      <c r="I31" s="908"/>
      <c r="J31" s="816" t="s">
        <v>18</v>
      </c>
      <c r="K31" s="182" t="s">
        <v>18</v>
      </c>
      <c r="L31" s="390"/>
      <c r="M31" s="335"/>
      <c r="N31" s="336"/>
      <c r="O31" s="336"/>
    </row>
    <row r="32" spans="1:15" s="336" customFormat="1" ht="128.4" hidden="1">
      <c r="A32" s="786">
        <v>28</v>
      </c>
      <c r="B32" s="177" t="s">
        <v>859</v>
      </c>
      <c r="C32" s="94">
        <v>22800</v>
      </c>
      <c r="D32" s="133" t="s">
        <v>1496</v>
      </c>
      <c r="E32" s="133" t="s">
        <v>292</v>
      </c>
      <c r="F32" s="89" t="s">
        <v>65</v>
      </c>
      <c r="G32" s="87" t="s">
        <v>213</v>
      </c>
      <c r="H32" s="93" t="s">
        <v>1497</v>
      </c>
      <c r="I32" s="345"/>
      <c r="J32" s="349" t="s">
        <v>18</v>
      </c>
      <c r="K32" s="87" t="s">
        <v>18</v>
      </c>
      <c r="L32" s="878"/>
      <c r="M32" s="335"/>
    </row>
    <row r="33" spans="1:15" s="336" customFormat="1" ht="86.95" hidden="1" customHeight="1">
      <c r="A33" s="786">
        <v>29</v>
      </c>
      <c r="B33" s="177" t="s">
        <v>1498</v>
      </c>
      <c r="C33" s="94">
        <v>4300</v>
      </c>
      <c r="D33" s="393" t="s">
        <v>1499</v>
      </c>
      <c r="E33" s="133" t="s">
        <v>292</v>
      </c>
      <c r="F33" s="89" t="s">
        <v>65</v>
      </c>
      <c r="G33" s="87" t="s">
        <v>1305</v>
      </c>
      <c r="H33" s="913" t="s">
        <v>1500</v>
      </c>
      <c r="I33" s="914"/>
      <c r="J33" s="129" t="s">
        <v>24</v>
      </c>
      <c r="K33" s="87" t="s">
        <v>24</v>
      </c>
      <c r="L33" s="129"/>
      <c r="M33" s="335"/>
    </row>
    <row r="34" spans="1:15" s="336" customFormat="1" ht="59.3" hidden="1" customHeight="1">
      <c r="A34" s="786">
        <v>30</v>
      </c>
      <c r="B34" s="87" t="s">
        <v>1501</v>
      </c>
      <c r="C34" s="88">
        <v>4980</v>
      </c>
      <c r="D34" s="393" t="s">
        <v>1331</v>
      </c>
      <c r="E34" s="384" t="s">
        <v>292</v>
      </c>
      <c r="F34" s="87" t="s">
        <v>65</v>
      </c>
      <c r="G34" s="87" t="s">
        <v>117</v>
      </c>
      <c r="H34" s="876" t="s">
        <v>1502</v>
      </c>
      <c r="I34" s="915"/>
      <c r="J34" s="87" t="s">
        <v>22</v>
      </c>
      <c r="K34" s="129" t="s">
        <v>22</v>
      </c>
      <c r="L34" s="129"/>
      <c r="M34" s="335"/>
    </row>
    <row r="35" spans="1:15" s="336" customFormat="1" ht="93.75" hidden="1" customHeight="1">
      <c r="A35" s="789">
        <v>31</v>
      </c>
      <c r="B35" s="125" t="s">
        <v>753</v>
      </c>
      <c r="C35" s="114">
        <v>21300</v>
      </c>
      <c r="D35" s="925" t="s">
        <v>1499</v>
      </c>
      <c r="E35" s="384" t="s">
        <v>292</v>
      </c>
      <c r="F35" s="117" t="s">
        <v>65</v>
      </c>
      <c r="G35" s="117" t="s">
        <v>213</v>
      </c>
      <c r="H35" s="1004" t="s">
        <v>1503</v>
      </c>
      <c r="I35" s="926">
        <f>21300-5000-10000-2136-3100</f>
        <v>1064</v>
      </c>
      <c r="J35" s="87" t="s">
        <v>88</v>
      </c>
      <c r="K35" s="125" t="s">
        <v>524</v>
      </c>
      <c r="L35" s="129"/>
      <c r="M35" s="335"/>
    </row>
    <row r="36" spans="1:15" s="336" customFormat="1" ht="104.3" hidden="1" customHeight="1">
      <c r="A36" s="927">
        <v>32</v>
      </c>
      <c r="B36" s="87" t="s">
        <v>1467</v>
      </c>
      <c r="C36" s="94">
        <v>8800</v>
      </c>
      <c r="D36" s="393" t="s">
        <v>1331</v>
      </c>
      <c r="E36" s="384" t="s">
        <v>292</v>
      </c>
      <c r="F36" s="87" t="s">
        <v>65</v>
      </c>
      <c r="G36" s="87" t="s">
        <v>1271</v>
      </c>
      <c r="H36" s="188" t="s">
        <v>1504</v>
      </c>
      <c r="I36" s="364">
        <f>2000+3000+181+3000+800</f>
        <v>8981</v>
      </c>
      <c r="J36" s="87" t="s">
        <v>18</v>
      </c>
      <c r="K36" s="125" t="s">
        <v>18</v>
      </c>
      <c r="L36" s="129"/>
      <c r="M36" s="335"/>
    </row>
    <row r="37" spans="1:15" s="929" customFormat="1" ht="52.5" hidden="1" customHeight="1">
      <c r="A37" s="932">
        <v>33</v>
      </c>
      <c r="B37" s="388" t="s">
        <v>590</v>
      </c>
      <c r="C37" s="186">
        <v>3500</v>
      </c>
      <c r="D37" s="933" t="s">
        <v>1505</v>
      </c>
      <c r="E37" s="384" t="s">
        <v>292</v>
      </c>
      <c r="F37" s="87" t="s">
        <v>65</v>
      </c>
      <c r="G37" s="87" t="s">
        <v>213</v>
      </c>
      <c r="H37" s="290" t="s">
        <v>1506</v>
      </c>
      <c r="I37" s="147" t="s">
        <v>1507</v>
      </c>
      <c r="J37" s="177" t="s">
        <v>22</v>
      </c>
      <c r="K37" s="816" t="s">
        <v>22</v>
      </c>
      <c r="L37" s="928"/>
      <c r="M37" s="877"/>
      <c r="N37" s="841"/>
      <c r="O37" s="841"/>
    </row>
    <row r="38" spans="1:15" s="912" customFormat="1" hidden="1">
      <c r="A38" s="930">
        <v>34</v>
      </c>
      <c r="B38" s="931" t="s">
        <v>290</v>
      </c>
      <c r="C38" s="916" t="s">
        <v>710</v>
      </c>
      <c r="D38" s="909" t="s">
        <v>1508</v>
      </c>
      <c r="E38" s="909"/>
      <c r="F38" s="909" t="s">
        <v>65</v>
      </c>
      <c r="G38" s="931" t="s">
        <v>213</v>
      </c>
      <c r="H38" s="909"/>
      <c r="I38" s="909"/>
      <c r="J38" s="909" t="s">
        <v>22</v>
      </c>
      <c r="K38" s="909" t="s">
        <v>22</v>
      </c>
      <c r="L38" s="910"/>
      <c r="M38" s="911"/>
    </row>
    <row r="39" spans="1:15" s="336" customFormat="1" ht="67.599999999999994" hidden="1" customHeight="1">
      <c r="A39" s="786">
        <v>35</v>
      </c>
      <c r="B39" s="87" t="s">
        <v>1362</v>
      </c>
      <c r="C39" s="934">
        <v>3750</v>
      </c>
      <c r="D39" s="393" t="s">
        <v>1509</v>
      </c>
      <c r="E39" s="935" t="s">
        <v>292</v>
      </c>
      <c r="F39" s="89" t="s">
        <v>65</v>
      </c>
      <c r="G39" s="87" t="s">
        <v>213</v>
      </c>
      <c r="H39" s="983" t="s">
        <v>1485</v>
      </c>
      <c r="I39" s="936"/>
      <c r="J39" s="133" t="s">
        <v>18</v>
      </c>
      <c r="K39" s="87" t="s">
        <v>18</v>
      </c>
      <c r="L39" s="349"/>
      <c r="M39" s="335"/>
    </row>
    <row r="40" spans="1:15" s="336" customFormat="1" ht="62.35" hidden="1" customHeight="1">
      <c r="A40" s="786">
        <v>36</v>
      </c>
      <c r="B40" s="125" t="s">
        <v>1116</v>
      </c>
      <c r="C40" s="114">
        <v>5600</v>
      </c>
      <c r="D40" s="925" t="s">
        <v>1509</v>
      </c>
      <c r="E40" s="935" t="s">
        <v>292</v>
      </c>
      <c r="F40" s="117" t="s">
        <v>65</v>
      </c>
      <c r="G40" s="87" t="s">
        <v>66</v>
      </c>
      <c r="H40" s="183" t="s">
        <v>1510</v>
      </c>
      <c r="I40" s="937" t="s">
        <v>1511</v>
      </c>
      <c r="J40" s="87" t="s">
        <v>22</v>
      </c>
      <c r="K40" s="87" t="s">
        <v>22</v>
      </c>
      <c r="L40" s="129"/>
      <c r="M40" s="335">
        <f>C40</f>
        <v>5600</v>
      </c>
    </row>
    <row r="41" spans="1:15" s="336" customFormat="1" ht="73.400000000000006">
      <c r="A41" s="786">
        <v>37</v>
      </c>
      <c r="B41" s="968" t="s">
        <v>1512</v>
      </c>
      <c r="C41" s="153">
        <v>35000</v>
      </c>
      <c r="D41" s="380" t="s">
        <v>1513</v>
      </c>
      <c r="E41" s="969" t="s">
        <v>267</v>
      </c>
      <c r="F41" s="91" t="s">
        <v>65</v>
      </c>
      <c r="G41" s="730" t="s">
        <v>551</v>
      </c>
      <c r="H41" s="970" t="s">
        <v>1514</v>
      </c>
      <c r="I41" s="728" t="s">
        <v>1515</v>
      </c>
      <c r="J41" s="91" t="s">
        <v>1516</v>
      </c>
      <c r="K41" s="129" t="s">
        <v>18</v>
      </c>
      <c r="L41" s="129"/>
      <c r="M41" s="335">
        <f>C41</f>
        <v>35000</v>
      </c>
    </row>
    <row r="42" spans="1:15" s="336" customFormat="1">
      <c r="A42" s="971">
        <v>38</v>
      </c>
      <c r="B42" s="87" t="s">
        <v>649</v>
      </c>
      <c r="C42" s="88">
        <v>4300</v>
      </c>
      <c r="D42" s="393" t="s">
        <v>1509</v>
      </c>
      <c r="E42" s="133" t="s">
        <v>292</v>
      </c>
      <c r="F42" s="87" t="s">
        <v>65</v>
      </c>
      <c r="G42" s="89" t="s">
        <v>213</v>
      </c>
      <c r="H42" s="850" t="s">
        <v>1517</v>
      </c>
      <c r="I42" s="914"/>
      <c r="J42" s="154" t="s">
        <v>22</v>
      </c>
      <c r="K42" s="91" t="s">
        <v>22</v>
      </c>
      <c r="L42" s="129"/>
      <c r="M42" s="335"/>
    </row>
    <row r="43" spans="1:15" s="336" customFormat="1" ht="183.75" customHeight="1">
      <c r="A43" s="786">
        <v>39</v>
      </c>
      <c r="B43" s="177" t="s">
        <v>741</v>
      </c>
      <c r="C43" s="88">
        <v>8700</v>
      </c>
      <c r="D43" s="393">
        <v>2</v>
      </c>
      <c r="E43" s="133" t="s">
        <v>292</v>
      </c>
      <c r="F43" s="87" t="s">
        <v>65</v>
      </c>
      <c r="G43" s="89" t="s">
        <v>106</v>
      </c>
      <c r="H43" s="93" t="s">
        <v>1518</v>
      </c>
      <c r="I43" s="290">
        <f>8700-2000-1000-2000-400-2000</f>
        <v>1300</v>
      </c>
      <c r="J43" s="348" t="s">
        <v>18</v>
      </c>
      <c r="K43" s="133" t="s">
        <v>18</v>
      </c>
      <c r="L43" s="349"/>
      <c r="M43" s="335"/>
    </row>
    <row r="44" spans="1:15" s="336" customFormat="1" ht="100.55" hidden="1" customHeight="1">
      <c r="A44" s="789">
        <v>40</v>
      </c>
      <c r="B44" s="125" t="s">
        <v>1139</v>
      </c>
      <c r="C44" s="114">
        <v>4050</v>
      </c>
      <c r="D44" s="393" t="s">
        <v>1260</v>
      </c>
      <c r="E44" s="133" t="s">
        <v>292</v>
      </c>
      <c r="F44" s="117" t="s">
        <v>65</v>
      </c>
      <c r="G44" s="87" t="s">
        <v>1279</v>
      </c>
      <c r="H44" s="188" t="s">
        <v>1519</v>
      </c>
      <c r="I44" s="972" t="s">
        <v>1520</v>
      </c>
      <c r="J44" s="113" t="s">
        <v>24</v>
      </c>
      <c r="K44" s="113" t="s">
        <v>24</v>
      </c>
      <c r="L44" s="129"/>
      <c r="M44" s="335"/>
    </row>
    <row r="45" spans="1:15" s="336" customFormat="1" ht="55.55" hidden="1" customHeight="1">
      <c r="A45" s="745">
        <v>41</v>
      </c>
      <c r="B45" s="113" t="s">
        <v>1142</v>
      </c>
      <c r="C45" s="94">
        <v>4350</v>
      </c>
      <c r="D45" s="393" t="s">
        <v>1257</v>
      </c>
      <c r="E45" s="133"/>
      <c r="F45" s="87" t="s">
        <v>65</v>
      </c>
      <c r="G45" s="87" t="s">
        <v>213</v>
      </c>
      <c r="H45" s="155" t="s">
        <v>1264</v>
      </c>
      <c r="I45" s="3701" t="s">
        <v>1521</v>
      </c>
      <c r="J45" s="154" t="s">
        <v>22</v>
      </c>
      <c r="K45" s="91" t="s">
        <v>22</v>
      </c>
      <c r="L45" s="129"/>
      <c r="M45" s="335"/>
    </row>
    <row r="46" spans="1:15" s="947" customFormat="1" ht="100.55" hidden="1" customHeight="1">
      <c r="A46" s="938">
        <v>42</v>
      </c>
      <c r="B46" s="939" t="s">
        <v>1265</v>
      </c>
      <c r="C46" s="940">
        <v>2200</v>
      </c>
      <c r="D46" s="941" t="s">
        <v>1257</v>
      </c>
      <c r="E46" s="942"/>
      <c r="F46" s="939" t="s">
        <v>65</v>
      </c>
      <c r="G46" s="939" t="s">
        <v>213</v>
      </c>
      <c r="H46" s="1236" t="s">
        <v>1258</v>
      </c>
      <c r="I46" s="3702"/>
      <c r="J46" s="943" t="s">
        <v>26</v>
      </c>
      <c r="K46" s="944" t="s">
        <v>524</v>
      </c>
      <c r="L46" s="945"/>
      <c r="M46" s="946"/>
    </row>
    <row r="47" spans="1:15" s="947" customFormat="1" ht="55.55" hidden="1" customHeight="1">
      <c r="A47" s="950">
        <v>43</v>
      </c>
      <c r="B47" s="951" t="s">
        <v>1188</v>
      </c>
      <c r="C47" s="952">
        <v>5250</v>
      </c>
      <c r="D47" s="941" t="s">
        <v>1257</v>
      </c>
      <c r="E47" s="953"/>
      <c r="F47" s="948" t="s">
        <v>65</v>
      </c>
      <c r="G47" s="954" t="s">
        <v>1271</v>
      </c>
      <c r="H47" s="955" t="s">
        <v>1522</v>
      </c>
      <c r="I47" s="3702"/>
      <c r="J47" s="956" t="s">
        <v>18</v>
      </c>
      <c r="K47" s="939" t="s">
        <v>18</v>
      </c>
      <c r="L47" s="956"/>
      <c r="M47" s="946"/>
    </row>
    <row r="48" spans="1:15" s="947" customFormat="1" ht="67.599999999999994" hidden="1" customHeight="1">
      <c r="A48" s="957">
        <v>44</v>
      </c>
      <c r="B48" s="958" t="s">
        <v>955</v>
      </c>
      <c r="C48" s="959">
        <v>3550</v>
      </c>
      <c r="D48" s="941" t="s">
        <v>1257</v>
      </c>
      <c r="E48" s="960"/>
      <c r="F48" s="961" t="s">
        <v>65</v>
      </c>
      <c r="G48" s="944" t="s">
        <v>213</v>
      </c>
      <c r="H48" s="962" t="s">
        <v>1266</v>
      </c>
      <c r="I48" s="3702"/>
      <c r="J48" s="963" t="s">
        <v>24</v>
      </c>
      <c r="K48" s="948" t="s">
        <v>24</v>
      </c>
      <c r="L48" s="956"/>
      <c r="M48" s="946"/>
    </row>
    <row r="49" spans="1:15" s="947" customFormat="1" ht="73.400000000000006">
      <c r="A49" s="964">
        <v>45</v>
      </c>
      <c r="B49" s="939" t="s">
        <v>1277</v>
      </c>
      <c r="C49" s="949">
        <v>4000</v>
      </c>
      <c r="D49" s="941" t="s">
        <v>1257</v>
      </c>
      <c r="E49" s="942"/>
      <c r="F49" s="939" t="s">
        <v>65</v>
      </c>
      <c r="G49" s="939" t="s">
        <v>1279</v>
      </c>
      <c r="H49" s="965" t="s">
        <v>1280</v>
      </c>
      <c r="I49" s="3702"/>
      <c r="J49" s="956" t="s">
        <v>18</v>
      </c>
      <c r="K49" s="939" t="s">
        <v>18</v>
      </c>
      <c r="L49" s="956"/>
      <c r="M49" s="946">
        <f>C49</f>
        <v>4000</v>
      </c>
    </row>
    <row r="50" spans="1:15" s="947" customFormat="1">
      <c r="A50" s="950">
        <v>46</v>
      </c>
      <c r="B50" s="951" t="s">
        <v>1267</v>
      </c>
      <c r="C50" s="952">
        <v>5050</v>
      </c>
      <c r="D50" s="941" t="s">
        <v>1257</v>
      </c>
      <c r="E50" s="953"/>
      <c r="F50" s="948" t="s">
        <v>65</v>
      </c>
      <c r="G50" s="954" t="s">
        <v>213</v>
      </c>
      <c r="H50" s="966" t="s">
        <v>1523</v>
      </c>
      <c r="I50" s="3702"/>
      <c r="J50" s="939" t="s">
        <v>22</v>
      </c>
      <c r="K50" s="939" t="s">
        <v>22</v>
      </c>
      <c r="L50" s="945"/>
      <c r="M50" s="946"/>
    </row>
    <row r="51" spans="1:15" s="947" customFormat="1">
      <c r="A51" s="950">
        <v>47</v>
      </c>
      <c r="B51" s="951" t="s">
        <v>1288</v>
      </c>
      <c r="C51" s="952">
        <v>4200</v>
      </c>
      <c r="D51" s="941" t="s">
        <v>1257</v>
      </c>
      <c r="E51" s="953"/>
      <c r="F51" s="948" t="s">
        <v>65</v>
      </c>
      <c r="G51" s="954" t="s">
        <v>213</v>
      </c>
      <c r="H51" s="967"/>
      <c r="I51" s="3703"/>
      <c r="J51" s="942" t="s">
        <v>24</v>
      </c>
      <c r="K51" s="939" t="s">
        <v>24</v>
      </c>
      <c r="L51" s="956"/>
      <c r="M51" s="946"/>
    </row>
    <row r="52" spans="1:15" ht="67.599999999999994" customHeight="1">
      <c r="A52" s="738">
        <v>48</v>
      </c>
      <c r="B52" s="128"/>
      <c r="C52" s="752"/>
      <c r="D52" s="895"/>
      <c r="E52" s="735"/>
      <c r="F52" s="112"/>
      <c r="G52" s="875" t="s">
        <v>968</v>
      </c>
      <c r="H52" s="794" t="s">
        <v>1524</v>
      </c>
      <c r="I52" s="896" t="s">
        <v>1525</v>
      </c>
      <c r="J52" s="109"/>
      <c r="K52" s="102"/>
      <c r="L52" s="839"/>
      <c r="M52" s="809"/>
    </row>
    <row r="53" spans="1:15" s="892" customFormat="1" hidden="1">
      <c r="A53" s="887">
        <v>49</v>
      </c>
      <c r="B53" s="893" t="s">
        <v>1526</v>
      </c>
      <c r="C53" s="888" t="s">
        <v>1527</v>
      </c>
      <c r="D53" s="899">
        <v>44610</v>
      </c>
      <c r="E53" s="900"/>
      <c r="F53" s="901" t="s">
        <v>65</v>
      </c>
      <c r="G53" s="902" t="s">
        <v>405</v>
      </c>
      <c r="H53" s="1237" t="s">
        <v>1528</v>
      </c>
      <c r="I53" s="903"/>
      <c r="J53" s="890" t="s">
        <v>18</v>
      </c>
      <c r="K53" s="889" t="s">
        <v>18</v>
      </c>
      <c r="L53" s="889"/>
      <c r="M53" s="891" t="str">
        <f>C53</f>
        <v>Đổi tàu</v>
      </c>
    </row>
    <row r="54" spans="1:15" s="892" customFormat="1" hidden="1">
      <c r="A54" s="887">
        <v>50</v>
      </c>
      <c r="B54" s="917" t="s">
        <v>1529</v>
      </c>
      <c r="C54" s="918" t="s">
        <v>717</v>
      </c>
      <c r="D54" s="919" t="s">
        <v>1530</v>
      </c>
      <c r="E54" s="920" t="s">
        <v>68</v>
      </c>
      <c r="F54" s="921" t="s">
        <v>65</v>
      </c>
      <c r="G54" s="902" t="s">
        <v>213</v>
      </c>
      <c r="H54" s="922"/>
      <c r="I54" s="923"/>
      <c r="J54" s="920" t="s">
        <v>24</v>
      </c>
      <c r="K54" s="924" t="s">
        <v>24</v>
      </c>
      <c r="L54" s="890"/>
      <c r="M54" s="891"/>
    </row>
    <row r="55" spans="1:15" s="1" customFormat="1" hidden="1">
      <c r="A55" s="359"/>
      <c r="C55" s="803"/>
      <c r="D55" s="3692" t="s">
        <v>1531</v>
      </c>
      <c r="E55" s="3693"/>
      <c r="F55" s="3694"/>
      <c r="G55" s="3694"/>
      <c r="H55" s="3694"/>
      <c r="I55" s="3695"/>
      <c r="M55" s="766">
        <f t="shared" ref="M55:M60" si="3">C55</f>
        <v>0</v>
      </c>
      <c r="N55" s="3"/>
      <c r="O55" s="3"/>
    </row>
    <row r="56" spans="1:15" s="1" customFormat="1" hidden="1">
      <c r="A56" s="359"/>
      <c r="C56" s="803"/>
      <c r="D56" s="3696"/>
      <c r="E56" s="3694"/>
      <c r="F56" s="3694"/>
      <c r="G56" s="3694"/>
      <c r="H56" s="3694"/>
      <c r="I56" s="3697"/>
      <c r="M56" s="766">
        <f t="shared" si="3"/>
        <v>0</v>
      </c>
      <c r="N56" s="3"/>
      <c r="O56" s="3"/>
    </row>
    <row r="57" spans="1:15" s="1" customFormat="1" hidden="1">
      <c r="A57" s="359"/>
      <c r="C57" s="803"/>
      <c r="D57" s="3696"/>
      <c r="E57" s="3694"/>
      <c r="F57" s="3694"/>
      <c r="G57" s="3694"/>
      <c r="H57" s="3694"/>
      <c r="I57" s="3697"/>
      <c r="M57" s="766">
        <f t="shared" si="3"/>
        <v>0</v>
      </c>
      <c r="N57" s="3"/>
      <c r="O57" s="3"/>
    </row>
    <row r="58" spans="1:15" s="1" customFormat="1" hidden="1">
      <c r="A58" s="359"/>
      <c r="C58" s="803"/>
      <c r="D58" s="3698"/>
      <c r="E58" s="3699"/>
      <c r="F58" s="3699"/>
      <c r="G58" s="3699"/>
      <c r="H58" s="3699"/>
      <c r="I58" s="3700"/>
      <c r="M58" s="766">
        <f t="shared" si="3"/>
        <v>0</v>
      </c>
      <c r="N58" s="3"/>
      <c r="O58" s="3"/>
    </row>
    <row r="59" spans="1:15" s="1" customFormat="1" hidden="1">
      <c r="A59" s="359"/>
      <c r="C59" s="803"/>
      <c r="D59" s="271"/>
      <c r="E59" s="271"/>
      <c r="H59" s="9"/>
      <c r="I59" s="9"/>
      <c r="M59" s="766">
        <f t="shared" si="3"/>
        <v>0</v>
      </c>
      <c r="N59" s="3"/>
      <c r="O59" s="3"/>
    </row>
    <row r="60" spans="1:15" s="1" customFormat="1" ht="42.8" hidden="1" customHeight="1">
      <c r="A60" s="359"/>
      <c r="C60" s="803"/>
      <c r="D60" s="271"/>
      <c r="E60" s="271"/>
      <c r="H60" s="696" t="s">
        <v>1532</v>
      </c>
      <c r="I60" s="477"/>
      <c r="M60" s="766">
        <f t="shared" si="3"/>
        <v>0</v>
      </c>
      <c r="N60" s="3"/>
      <c r="O60" s="3"/>
    </row>
    <row r="61" spans="1:15" s="835" customFormat="1" hidden="1">
      <c r="A61" s="879"/>
      <c r="B61" s="880" t="s">
        <v>1533</v>
      </c>
      <c r="C61" s="881" t="s">
        <v>716</v>
      </c>
      <c r="D61" s="882">
        <v>44611</v>
      </c>
      <c r="E61" s="883" t="s">
        <v>716</v>
      </c>
      <c r="F61" s="880" t="s">
        <v>65</v>
      </c>
      <c r="G61" s="884"/>
      <c r="H61" s="894" t="s">
        <v>1534</v>
      </c>
      <c r="I61" s="898"/>
      <c r="J61" s="883" t="s">
        <v>24</v>
      </c>
      <c r="K61" s="880" t="s">
        <v>24</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3" priority="591"/>
  </conditionalFormatting>
  <conditionalFormatting sqref="A4">
    <cfRule type="duplicateValues" dxfId="762" priority="44"/>
  </conditionalFormatting>
  <conditionalFormatting sqref="A6">
    <cfRule type="duplicateValues" dxfId="761" priority="30"/>
  </conditionalFormatting>
  <conditionalFormatting sqref="A7 A12 A14:A17 A23:A24">
    <cfRule type="duplicateValues" dxfId="760" priority="625"/>
  </conditionalFormatting>
  <conditionalFormatting sqref="A8:A9">
    <cfRule type="duplicateValues" dxfId="759" priority="28"/>
  </conditionalFormatting>
  <conditionalFormatting sqref="A10">
    <cfRule type="duplicateValues" dxfId="758" priority="26"/>
  </conditionalFormatting>
  <conditionalFormatting sqref="A11">
    <cfRule type="duplicateValues" dxfId="757" priority="29"/>
  </conditionalFormatting>
  <conditionalFormatting sqref="A13">
    <cfRule type="duplicateValues" dxfId="756" priority="27"/>
  </conditionalFormatting>
  <conditionalFormatting sqref="A18">
    <cfRule type="duplicateValues" dxfId="755" priority="23"/>
  </conditionalFormatting>
  <conditionalFormatting sqref="A19:A20">
    <cfRule type="duplicateValues" dxfId="754" priority="558"/>
  </conditionalFormatting>
  <conditionalFormatting sqref="A21">
    <cfRule type="duplicateValues" dxfId="753" priority="549"/>
  </conditionalFormatting>
  <conditionalFormatting sqref="A22">
    <cfRule type="duplicateValues" dxfId="752" priority="22"/>
  </conditionalFormatting>
  <conditionalFormatting sqref="A29">
    <cfRule type="duplicateValues" dxfId="751" priority="19"/>
  </conditionalFormatting>
  <conditionalFormatting sqref="A30">
    <cfRule type="duplicateValues" dxfId="750" priority="17"/>
  </conditionalFormatting>
  <conditionalFormatting sqref="A31">
    <cfRule type="duplicateValues" dxfId="749" priority="18"/>
  </conditionalFormatting>
  <conditionalFormatting sqref="A33">
    <cfRule type="duplicateValues" dxfId="748" priority="15"/>
  </conditionalFormatting>
  <conditionalFormatting sqref="A34">
    <cfRule type="duplicateValues" dxfId="747" priority="11"/>
  </conditionalFormatting>
  <conditionalFormatting sqref="A35">
    <cfRule type="duplicateValues" dxfId="746" priority="14"/>
  </conditionalFormatting>
  <conditionalFormatting sqref="A37">
    <cfRule type="duplicateValues" dxfId="745" priority="8"/>
  </conditionalFormatting>
  <conditionalFormatting sqref="A38">
    <cfRule type="duplicateValues" dxfId="744" priority="7"/>
  </conditionalFormatting>
  <conditionalFormatting sqref="A39 A48:A49 A51:A52">
    <cfRule type="duplicateValues" dxfId="743" priority="603"/>
  </conditionalFormatting>
  <conditionalFormatting sqref="A40">
    <cfRule type="duplicateValues" dxfId="742" priority="9"/>
  </conditionalFormatting>
  <conditionalFormatting sqref="A42 A45">
    <cfRule type="duplicateValues" dxfId="741" priority="616"/>
  </conditionalFormatting>
  <conditionalFormatting sqref="A43">
    <cfRule type="duplicateValues" dxfId="740" priority="10"/>
  </conditionalFormatting>
  <conditionalFormatting sqref="A44">
    <cfRule type="duplicateValues" dxfId="739" priority="13"/>
  </conditionalFormatting>
  <conditionalFormatting sqref="A46">
    <cfRule type="duplicateValues" dxfId="738" priority="3"/>
  </conditionalFormatting>
  <conditionalFormatting sqref="A47">
    <cfRule type="duplicateValues" dxfId="737" priority="5"/>
  </conditionalFormatting>
  <conditionalFormatting sqref="A53">
    <cfRule type="duplicateValues" dxfId="736" priority="1"/>
  </conditionalFormatting>
  <conditionalFormatting sqref="A54">
    <cfRule type="duplicateValues" dxfId="735" priority="4"/>
  </conditionalFormatting>
  <conditionalFormatting sqref="B3">
    <cfRule type="duplicateValues" dxfId="734" priority="45"/>
    <cfRule type="duplicateValues" dxfId="733" priority="46"/>
    <cfRule type="duplicateValues" dxfId="732" priority="47"/>
  </conditionalFormatting>
  <conditionalFormatting sqref="B4">
    <cfRule type="duplicateValues" dxfId="731" priority="41"/>
    <cfRule type="duplicateValues" dxfId="730" priority="42"/>
    <cfRule type="duplicateValues" dxfId="729"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topRight"/>
      <selection pane="bottomLeft"/>
      <selection pane="bottomRight"/>
    </sheetView>
  </sheetViews>
  <sheetFormatPr defaultColWidth="25.625" defaultRowHeight="18.350000000000001"/>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37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375" style="3" customWidth="1"/>
    <col min="16" max="16" width="34.625" style="3" customWidth="1"/>
    <col min="17" max="16384" width="25.625" style="3"/>
  </cols>
  <sheetData>
    <row r="1" spans="1:16" ht="17.350000000000001" hidden="1" customHeight="1">
      <c r="B1" s="10"/>
      <c r="C1" s="3704"/>
      <c r="D1" s="3704"/>
      <c r="E1" s="3704"/>
      <c r="F1" s="3704"/>
      <c r="G1" s="3704"/>
      <c r="H1" s="3704"/>
      <c r="I1" s="3704"/>
    </row>
    <row r="2" spans="1:16" ht="39.75" customHeight="1">
      <c r="A2" s="3684" t="s">
        <v>1535</v>
      </c>
      <c r="B2" s="3684"/>
      <c r="C2" s="3684"/>
      <c r="D2" s="3684"/>
      <c r="E2" s="3684"/>
      <c r="F2" s="3684"/>
      <c r="G2" s="3684"/>
      <c r="H2" s="3684"/>
      <c r="I2" s="3684"/>
      <c r="J2" s="194"/>
      <c r="K2" s="194"/>
      <c r="L2" s="195"/>
      <c r="M2" s="293"/>
      <c r="N2" s="196"/>
      <c r="O2" s="197"/>
    </row>
    <row r="3" spans="1:16" ht="23.95" customHeight="1">
      <c r="A3" s="360"/>
      <c r="B3" s="385"/>
      <c r="C3" s="200">
        <f>SUBTOTAL(9,C5:C203)</f>
        <v>190157</v>
      </c>
      <c r="D3" s="378"/>
      <c r="E3" s="378"/>
      <c r="F3" s="201"/>
      <c r="G3" s="199"/>
      <c r="H3" s="202"/>
      <c r="I3" s="3705">
        <f ca="1">TODAY()</f>
        <v>45988</v>
      </c>
      <c r="J3" s="3705"/>
      <c r="K3" s="203"/>
      <c r="L3" s="203"/>
      <c r="M3" s="294"/>
      <c r="N3" s="197"/>
      <c r="O3" s="197"/>
    </row>
    <row r="4" spans="1:16" s="7" customFormat="1" ht="34">
      <c r="A4" s="361" t="s">
        <v>48</v>
      </c>
      <c r="B4" s="204" t="s">
        <v>1425</v>
      </c>
      <c r="C4" s="205" t="s">
        <v>50</v>
      </c>
      <c r="D4" s="204" t="s">
        <v>51</v>
      </c>
      <c r="E4" s="204" t="s">
        <v>53</v>
      </c>
      <c r="F4" s="204" t="s">
        <v>55</v>
      </c>
      <c r="G4" s="204" t="s">
        <v>56</v>
      </c>
      <c r="H4" s="206" t="s">
        <v>57</v>
      </c>
      <c r="I4" s="204" t="s">
        <v>58</v>
      </c>
      <c r="J4" s="204" t="s">
        <v>52</v>
      </c>
      <c r="K4" s="204" t="s">
        <v>1094</v>
      </c>
      <c r="L4" s="204" t="s">
        <v>1256</v>
      </c>
      <c r="M4" s="295" t="s">
        <v>381</v>
      </c>
      <c r="N4" s="325" t="s">
        <v>382</v>
      </c>
      <c r="O4" s="207">
        <f>SUM(O5:O9)</f>
        <v>180057</v>
      </c>
    </row>
    <row r="5" spans="1:16" s="139" customFormat="1" ht="30.75" customHeight="1">
      <c r="A5" s="435" cm="1">
        <f t="array" ref="A5:A44">_xlfn.SEQUENCE(40,1,1,)</f>
        <v>1</v>
      </c>
      <c r="B5" s="436" t="s">
        <v>1536</v>
      </c>
      <c r="C5" s="437">
        <v>2950</v>
      </c>
      <c r="D5" s="438" t="s">
        <v>267</v>
      </c>
      <c r="E5" s="438" t="s">
        <v>1537</v>
      </c>
      <c r="F5" s="439" t="s">
        <v>65</v>
      </c>
      <c r="G5" s="439" t="s">
        <v>213</v>
      </c>
      <c r="H5" s="440" t="s">
        <v>1538</v>
      </c>
      <c r="I5" s="441"/>
      <c r="J5" s="439" t="s">
        <v>22</v>
      </c>
      <c r="K5" s="442" t="s">
        <v>22</v>
      </c>
      <c r="L5" s="443" t="s">
        <v>458</v>
      </c>
      <c r="M5" s="346">
        <f t="shared" ref="M5:M11" si="0">C5</f>
        <v>2950</v>
      </c>
      <c r="N5" s="444" t="s">
        <v>22</v>
      </c>
      <c r="O5" s="445">
        <f t="shared" ref="O5:O10" si="1">SUMIF($J:$J,N5,M:M)</f>
        <v>36970</v>
      </c>
      <c r="P5" s="446"/>
    </row>
    <row r="6" spans="1:16" s="139" customFormat="1" ht="60.8" customHeight="1">
      <c r="A6" s="435">
        <v>2</v>
      </c>
      <c r="B6" s="436" t="s">
        <v>630</v>
      </c>
      <c r="C6" s="437">
        <v>3900</v>
      </c>
      <c r="D6" s="438" t="s">
        <v>267</v>
      </c>
      <c r="E6" s="438" t="s">
        <v>1539</v>
      </c>
      <c r="F6" s="439" t="s">
        <v>65</v>
      </c>
      <c r="G6" s="439" t="s">
        <v>213</v>
      </c>
      <c r="H6" s="440" t="s">
        <v>1540</v>
      </c>
      <c r="I6" s="441" t="s">
        <v>1541</v>
      </c>
      <c r="J6" s="439" t="s">
        <v>88</v>
      </c>
      <c r="K6" s="442" t="s">
        <v>524</v>
      </c>
      <c r="L6" s="443"/>
      <c r="M6" s="346">
        <f t="shared" si="0"/>
        <v>3900</v>
      </c>
      <c r="N6" s="444" t="s">
        <v>18</v>
      </c>
      <c r="O6" s="445">
        <f t="shared" si="1"/>
        <v>44950</v>
      </c>
      <c r="P6" s="446"/>
    </row>
    <row r="7" spans="1:16" s="432" customFormat="1" ht="60.8" customHeight="1">
      <c r="A7" s="419">
        <v>3</v>
      </c>
      <c r="B7" s="420" t="s">
        <v>125</v>
      </c>
      <c r="C7" s="421">
        <v>4000</v>
      </c>
      <c r="D7" s="422" t="s">
        <v>267</v>
      </c>
      <c r="E7" s="422" t="s">
        <v>1542</v>
      </c>
      <c r="F7" s="423" t="s">
        <v>65</v>
      </c>
      <c r="G7" s="423" t="s">
        <v>1543</v>
      </c>
      <c r="H7" s="424" t="s">
        <v>1544</v>
      </c>
      <c r="I7" s="425" t="s">
        <v>1545</v>
      </c>
      <c r="J7" s="423" t="s">
        <v>22</v>
      </c>
      <c r="K7" s="426" t="s">
        <v>22</v>
      </c>
      <c r="L7" s="427" t="s">
        <v>1546</v>
      </c>
      <c r="M7" s="428">
        <f t="shared" si="0"/>
        <v>4000</v>
      </c>
      <c r="N7" s="429" t="s">
        <v>24</v>
      </c>
      <c r="O7" s="430">
        <f t="shared" si="1"/>
        <v>13900</v>
      </c>
      <c r="P7" s="431"/>
    </row>
    <row r="8" spans="1:16" s="458" customFormat="1" ht="45.7" customHeight="1">
      <c r="A8" s="447">
        <v>4</v>
      </c>
      <c r="B8" s="448" t="s">
        <v>1547</v>
      </c>
      <c r="C8" s="449">
        <v>4400</v>
      </c>
      <c r="D8" s="438" t="s">
        <v>267</v>
      </c>
      <c r="E8" s="450" t="s">
        <v>1548</v>
      </c>
      <c r="F8" s="451" t="s">
        <v>65</v>
      </c>
      <c r="G8" s="451" t="s">
        <v>213</v>
      </c>
      <c r="H8" s="452" t="s">
        <v>1549</v>
      </c>
      <c r="I8" s="453" t="s">
        <v>1550</v>
      </c>
      <c r="J8" s="454" t="s">
        <v>24</v>
      </c>
      <c r="K8" s="451" t="s">
        <v>24</v>
      </c>
      <c r="L8" s="455" t="s">
        <v>1551</v>
      </c>
      <c r="M8" s="456">
        <f t="shared" si="0"/>
        <v>4400</v>
      </c>
      <c r="N8" s="451" t="s">
        <v>555</v>
      </c>
      <c r="O8" s="457">
        <f t="shared" si="1"/>
        <v>2787</v>
      </c>
    </row>
    <row r="9" spans="1:16" s="458" customFormat="1" ht="59.95" customHeight="1">
      <c r="A9" s="447">
        <v>5</v>
      </c>
      <c r="B9" s="448" t="s">
        <v>1552</v>
      </c>
      <c r="C9" s="449">
        <v>2950</v>
      </c>
      <c r="D9" s="438" t="s">
        <v>267</v>
      </c>
      <c r="E9" s="450" t="s">
        <v>1553</v>
      </c>
      <c r="F9" s="451" t="s">
        <v>65</v>
      </c>
      <c r="G9" s="451" t="s">
        <v>1543</v>
      </c>
      <c r="H9" s="452" t="s">
        <v>1554</v>
      </c>
      <c r="I9" s="453"/>
      <c r="J9" s="454" t="s">
        <v>18</v>
      </c>
      <c r="K9" s="451" t="s">
        <v>18</v>
      </c>
      <c r="L9" s="455"/>
      <c r="M9" s="456">
        <f t="shared" si="0"/>
        <v>2950</v>
      </c>
      <c r="N9" s="451" t="s">
        <v>88</v>
      </c>
      <c r="O9" s="457">
        <f t="shared" si="1"/>
        <v>81450</v>
      </c>
    </row>
    <row r="10" spans="1:16" s="463" customFormat="1" ht="59.95" customHeight="1">
      <c r="A10" s="447">
        <v>6</v>
      </c>
      <c r="B10" s="448" t="s">
        <v>572</v>
      </c>
      <c r="C10" s="449">
        <v>2787</v>
      </c>
      <c r="D10" s="459" t="s">
        <v>267</v>
      </c>
      <c r="E10" s="450" t="s">
        <v>1555</v>
      </c>
      <c r="F10" s="451" t="s">
        <v>65</v>
      </c>
      <c r="G10" s="451" t="s">
        <v>294</v>
      </c>
      <c r="H10" s="452" t="s">
        <v>1556</v>
      </c>
      <c r="I10" s="453"/>
      <c r="J10" s="451" t="s">
        <v>555</v>
      </c>
      <c r="K10" s="460" t="s">
        <v>24</v>
      </c>
      <c r="L10" s="450" t="s">
        <v>458</v>
      </c>
      <c r="M10" s="456">
        <f t="shared" si="0"/>
        <v>2787</v>
      </c>
      <c r="N10" s="461" t="s">
        <v>26</v>
      </c>
      <c r="O10" s="462">
        <f t="shared" si="1"/>
        <v>10100</v>
      </c>
    </row>
    <row r="11" spans="1:16" s="463" customFormat="1" ht="59.95" customHeight="1">
      <c r="A11" s="447">
        <v>7</v>
      </c>
      <c r="B11" s="448" t="s">
        <v>1557</v>
      </c>
      <c r="C11" s="449">
        <v>2950</v>
      </c>
      <c r="D11" s="459" t="s">
        <v>267</v>
      </c>
      <c r="E11" s="450" t="s">
        <v>1558</v>
      </c>
      <c r="F11" s="451" t="s">
        <v>65</v>
      </c>
      <c r="G11" s="451" t="s">
        <v>1543</v>
      </c>
      <c r="H11" s="452" t="s">
        <v>1559</v>
      </c>
      <c r="I11" s="453" t="s">
        <v>1560</v>
      </c>
      <c r="J11" s="451" t="s">
        <v>24</v>
      </c>
      <c r="K11" s="460" t="s">
        <v>24</v>
      </c>
      <c r="L11" s="450" t="s">
        <v>458</v>
      </c>
      <c r="M11" s="456">
        <f t="shared" si="0"/>
        <v>2950</v>
      </c>
      <c r="N11" s="461"/>
      <c r="O11" s="462"/>
    </row>
    <row r="12" spans="1:16" s="463" customFormat="1" ht="59.95" customHeight="1">
      <c r="A12" s="447">
        <v>8</v>
      </c>
      <c r="B12" s="448" t="s">
        <v>567</v>
      </c>
      <c r="C12" s="449">
        <v>3400</v>
      </c>
      <c r="D12" s="459" t="s">
        <v>267</v>
      </c>
      <c r="E12" s="450" t="s">
        <v>1561</v>
      </c>
      <c r="F12" s="451" t="s">
        <v>65</v>
      </c>
      <c r="G12" s="451" t="s">
        <v>213</v>
      </c>
      <c r="H12" s="452" t="s">
        <v>1562</v>
      </c>
      <c r="I12" s="453" t="s">
        <v>1563</v>
      </c>
      <c r="J12" s="451" t="s">
        <v>88</v>
      </c>
      <c r="K12" s="460" t="s">
        <v>524</v>
      </c>
      <c r="L12" s="450" t="s">
        <v>1564</v>
      </c>
      <c r="M12" s="456">
        <f t="shared" ref="M12" si="2">C12</f>
        <v>3400</v>
      </c>
      <c r="N12" s="461"/>
      <c r="O12" s="462"/>
    </row>
    <row r="13" spans="1:16" s="139" customFormat="1" ht="33.799999999999997" customHeight="1">
      <c r="A13" s="448">
        <v>9</v>
      </c>
      <c r="B13" s="448" t="s">
        <v>1565</v>
      </c>
      <c r="C13" s="448">
        <v>2550</v>
      </c>
      <c r="D13" s="459" t="s">
        <v>267</v>
      </c>
      <c r="E13" s="448" t="s">
        <v>1566</v>
      </c>
      <c r="F13" s="448" t="s">
        <v>65</v>
      </c>
      <c r="G13" s="448" t="s">
        <v>294</v>
      </c>
      <c r="H13" s="466" t="s">
        <v>1556</v>
      </c>
      <c r="I13" s="448"/>
      <c r="J13" s="448" t="s">
        <v>88</v>
      </c>
      <c r="K13" s="448" t="s">
        <v>18</v>
      </c>
      <c r="L13" s="448"/>
      <c r="M13" s="448">
        <f t="shared" ref="M13:M31" si="3">C13</f>
        <v>2550</v>
      </c>
      <c r="N13" s="467"/>
      <c r="O13" s="468"/>
    </row>
    <row r="14" spans="1:16" s="463" customFormat="1" ht="68.3" customHeight="1">
      <c r="A14" s="435">
        <v>10</v>
      </c>
      <c r="B14" s="436" t="s">
        <v>581</v>
      </c>
      <c r="C14" s="437">
        <v>3500</v>
      </c>
      <c r="D14" s="459" t="s">
        <v>267</v>
      </c>
      <c r="E14" s="443" t="s">
        <v>1567</v>
      </c>
      <c r="F14" s="439" t="s">
        <v>65</v>
      </c>
      <c r="G14" s="439" t="s">
        <v>66</v>
      </c>
      <c r="H14" s="440" t="s">
        <v>1568</v>
      </c>
      <c r="I14" s="469"/>
      <c r="J14" s="439" t="s">
        <v>88</v>
      </c>
      <c r="K14" s="442" t="s">
        <v>524</v>
      </c>
      <c r="L14" s="439" t="s">
        <v>1569</v>
      </c>
      <c r="M14" s="346">
        <f t="shared" si="3"/>
        <v>3500</v>
      </c>
      <c r="N14" s="139"/>
      <c r="O14" s="139"/>
    </row>
    <row r="15" spans="1:16" s="465" customFormat="1" ht="27" customHeight="1">
      <c r="A15" s="363">
        <v>11</v>
      </c>
      <c r="B15" s="352" t="s">
        <v>1570</v>
      </c>
      <c r="C15" s="353" t="s">
        <v>716</v>
      </c>
      <c r="D15" s="381" t="s">
        <v>1571</v>
      </c>
      <c r="E15" s="381" t="s">
        <v>1572</v>
      </c>
      <c r="F15" s="354" t="s">
        <v>65</v>
      </c>
      <c r="G15" s="354" t="s">
        <v>66</v>
      </c>
      <c r="H15" s="355"/>
      <c r="I15" s="464" t="s">
        <v>1573</v>
      </c>
      <c r="J15" s="354" t="s">
        <v>22</v>
      </c>
      <c r="K15" s="386" t="s">
        <v>22</v>
      </c>
      <c r="L15" s="354" t="s">
        <v>1574</v>
      </c>
      <c r="M15" s="357" t="str">
        <f t="shared" si="3"/>
        <v>HỦY</v>
      </c>
      <c r="N15" s="358"/>
      <c r="O15" s="358"/>
    </row>
    <row r="16" spans="1:16" s="434" customFormat="1" ht="83.25" customHeight="1">
      <c r="A16" s="472">
        <v>12</v>
      </c>
      <c r="B16" s="471" t="s">
        <v>578</v>
      </c>
      <c r="C16" s="471">
        <v>4350</v>
      </c>
      <c r="D16" s="515" t="s">
        <v>267</v>
      </c>
      <c r="E16" s="471" t="s">
        <v>1575</v>
      </c>
      <c r="F16" s="471" t="s">
        <v>65</v>
      </c>
      <c r="G16" s="471" t="s">
        <v>462</v>
      </c>
      <c r="H16" s="471" t="s">
        <v>1576</v>
      </c>
      <c r="I16" s="471" t="s">
        <v>1577</v>
      </c>
      <c r="J16" s="471" t="s">
        <v>18</v>
      </c>
      <c r="K16" s="471" t="s">
        <v>18</v>
      </c>
      <c r="L16" s="471" t="s">
        <v>1578</v>
      </c>
      <c r="M16" s="471">
        <f t="shared" si="3"/>
        <v>4350</v>
      </c>
      <c r="N16" s="3"/>
      <c r="O16" s="3"/>
    </row>
    <row r="17" spans="1:15" s="470" customFormat="1" ht="84.1" customHeight="1">
      <c r="A17" s="516">
        <v>13</v>
      </c>
      <c r="B17" s="517" t="s">
        <v>1579</v>
      </c>
      <c r="C17" s="518">
        <v>3050</v>
      </c>
      <c r="D17" s="515" t="s">
        <v>267</v>
      </c>
      <c r="E17" s="519" t="s">
        <v>1580</v>
      </c>
      <c r="F17" s="520" t="s">
        <v>65</v>
      </c>
      <c r="G17" s="520" t="s">
        <v>1581</v>
      </c>
      <c r="H17" s="521" t="s">
        <v>1582</v>
      </c>
      <c r="I17" s="522" t="s">
        <v>1583</v>
      </c>
      <c r="J17" s="523" t="s">
        <v>24</v>
      </c>
      <c r="K17" s="520" t="s">
        <v>24</v>
      </c>
      <c r="L17" s="517" t="s">
        <v>1564</v>
      </c>
      <c r="M17" s="524">
        <f t="shared" si="3"/>
        <v>3050</v>
      </c>
      <c r="N17" s="525"/>
      <c r="O17" s="525"/>
    </row>
    <row r="18" spans="1:15" s="139" customFormat="1" ht="194.95" customHeight="1">
      <c r="A18" s="435">
        <v>14</v>
      </c>
      <c r="B18" s="436" t="s">
        <v>1584</v>
      </c>
      <c r="C18" s="437">
        <v>24800</v>
      </c>
      <c r="D18" s="443" t="s">
        <v>292</v>
      </c>
      <c r="E18" s="443" t="s">
        <v>1585</v>
      </c>
      <c r="F18" s="439" t="s">
        <v>65</v>
      </c>
      <c r="G18" s="439" t="s">
        <v>213</v>
      </c>
      <c r="H18" s="440" t="s">
        <v>1586</v>
      </c>
      <c r="I18" s="453"/>
      <c r="J18" s="439" t="s">
        <v>88</v>
      </c>
      <c r="K18" s="442" t="s">
        <v>24</v>
      </c>
      <c r="L18" s="439" t="s">
        <v>458</v>
      </c>
      <c r="M18" s="346">
        <f t="shared" si="3"/>
        <v>24800</v>
      </c>
      <c r="N18" s="467"/>
      <c r="O18" s="468"/>
    </row>
    <row r="19" spans="1:15" s="139" customFormat="1" ht="78.8" customHeight="1">
      <c r="A19" s="526">
        <v>15</v>
      </c>
      <c r="B19" s="527" t="s">
        <v>1587</v>
      </c>
      <c r="C19" s="437">
        <v>3000</v>
      </c>
      <c r="D19" s="527" t="s">
        <v>267</v>
      </c>
      <c r="E19" s="527" t="s">
        <v>1588</v>
      </c>
      <c r="F19" s="527" t="s">
        <v>65</v>
      </c>
      <c r="G19" s="527" t="s">
        <v>213</v>
      </c>
      <c r="H19" s="528" t="s">
        <v>1589</v>
      </c>
      <c r="I19" s="527" t="s">
        <v>1590</v>
      </c>
      <c r="J19" s="527" t="s">
        <v>26</v>
      </c>
      <c r="K19" s="527" t="s">
        <v>524</v>
      </c>
      <c r="L19" s="527" t="s">
        <v>458</v>
      </c>
      <c r="M19" s="527">
        <f t="shared" si="3"/>
        <v>3000</v>
      </c>
      <c r="N19" s="473"/>
      <c r="O19" s="473"/>
    </row>
    <row r="20" spans="1:15" s="139" customFormat="1" ht="98.35" customHeight="1">
      <c r="A20" s="443">
        <v>16</v>
      </c>
      <c r="B20" s="443" t="s">
        <v>1591</v>
      </c>
      <c r="C20" s="443">
        <v>2500</v>
      </c>
      <c r="D20" s="443" t="s">
        <v>267</v>
      </c>
      <c r="E20" s="443">
        <v>8.11</v>
      </c>
      <c r="F20" s="443" t="s">
        <v>65</v>
      </c>
      <c r="G20" s="443" t="s">
        <v>1581</v>
      </c>
      <c r="H20" s="440" t="s">
        <v>1592</v>
      </c>
      <c r="I20" s="474" t="s">
        <v>1593</v>
      </c>
      <c r="J20" s="443" t="s">
        <v>18</v>
      </c>
      <c r="K20" s="443" t="s">
        <v>18</v>
      </c>
      <c r="L20" s="443" t="s">
        <v>1594</v>
      </c>
      <c r="M20" s="443">
        <f t="shared" si="3"/>
        <v>2500</v>
      </c>
      <c r="N20" s="473"/>
      <c r="O20" s="473"/>
    </row>
    <row r="21" spans="1:15" s="139" customFormat="1" ht="50.95" customHeight="1">
      <c r="A21" s="443">
        <v>17</v>
      </c>
      <c r="B21" s="443" t="s">
        <v>1595</v>
      </c>
      <c r="C21" s="476">
        <v>4050</v>
      </c>
      <c r="D21" s="443" t="s">
        <v>267</v>
      </c>
      <c r="E21" s="443" t="s">
        <v>1596</v>
      </c>
      <c r="F21" s="443" t="s">
        <v>65</v>
      </c>
      <c r="G21" s="443" t="s">
        <v>66</v>
      </c>
      <c r="H21" s="440" t="s">
        <v>1597</v>
      </c>
      <c r="I21" s="443" t="s">
        <v>1598</v>
      </c>
      <c r="J21" s="443" t="s">
        <v>22</v>
      </c>
      <c r="K21" s="443" t="s">
        <v>22</v>
      </c>
      <c r="L21" s="443"/>
      <c r="M21" s="443">
        <f t="shared" si="3"/>
        <v>4050</v>
      </c>
      <c r="N21" s="473"/>
      <c r="O21" s="473"/>
    </row>
    <row r="22" spans="1:15" s="139" customFormat="1" ht="111.75" customHeight="1">
      <c r="A22" s="478">
        <v>18</v>
      </c>
      <c r="B22" s="479" t="s">
        <v>1599</v>
      </c>
      <c r="C22" s="480">
        <v>3500</v>
      </c>
      <c r="D22" s="443" t="s">
        <v>267</v>
      </c>
      <c r="E22" s="481" t="s">
        <v>1153</v>
      </c>
      <c r="F22" s="482" t="s">
        <v>65</v>
      </c>
      <c r="G22" s="482" t="s">
        <v>213</v>
      </c>
      <c r="H22" s="483" t="s">
        <v>1600</v>
      </c>
      <c r="I22" s="453" t="s">
        <v>1601</v>
      </c>
      <c r="J22" s="137" t="s">
        <v>22</v>
      </c>
      <c r="K22" s="439" t="s">
        <v>22</v>
      </c>
      <c r="L22" s="479"/>
      <c r="M22" s="346">
        <f t="shared" si="3"/>
        <v>3500</v>
      </c>
      <c r="N22" s="473"/>
      <c r="O22" s="473"/>
    </row>
    <row r="23" spans="1:15" s="139" customFormat="1" ht="106.5" customHeight="1">
      <c r="A23" s="478">
        <v>19</v>
      </c>
      <c r="B23" s="479" t="s">
        <v>1602</v>
      </c>
      <c r="C23" s="480">
        <v>7500</v>
      </c>
      <c r="D23" s="443" t="s">
        <v>267</v>
      </c>
      <c r="E23" s="481" t="s">
        <v>1603</v>
      </c>
      <c r="F23" s="482" t="s">
        <v>65</v>
      </c>
      <c r="G23" s="482" t="s">
        <v>462</v>
      </c>
      <c r="H23" s="483" t="s">
        <v>1604</v>
      </c>
      <c r="I23" s="453" t="s">
        <v>1605</v>
      </c>
      <c r="J23" s="137" t="s">
        <v>18</v>
      </c>
      <c r="K23" s="439" t="s">
        <v>18</v>
      </c>
      <c r="L23" s="479" t="s">
        <v>1564</v>
      </c>
      <c r="M23" s="346">
        <f t="shared" si="3"/>
        <v>7500</v>
      </c>
      <c r="N23" s="473"/>
      <c r="O23" s="473"/>
    </row>
    <row r="24" spans="1:15" s="139" customFormat="1" ht="118.55" customHeight="1">
      <c r="A24" s="478">
        <v>20</v>
      </c>
      <c r="B24" s="479" t="s">
        <v>1606</v>
      </c>
      <c r="C24" s="480">
        <v>3050</v>
      </c>
      <c r="D24" s="443" t="s">
        <v>267</v>
      </c>
      <c r="E24" s="481" t="s">
        <v>1607</v>
      </c>
      <c r="F24" s="482" t="s">
        <v>65</v>
      </c>
      <c r="G24" s="482" t="s">
        <v>1445</v>
      </c>
      <c r="H24" s="483" t="s">
        <v>1608</v>
      </c>
      <c r="I24" s="453" t="s">
        <v>1609</v>
      </c>
      <c r="J24" s="137" t="s">
        <v>26</v>
      </c>
      <c r="K24" s="439" t="s">
        <v>24</v>
      </c>
      <c r="L24" s="479" t="s">
        <v>1578</v>
      </c>
      <c r="M24" s="346">
        <f t="shared" si="3"/>
        <v>3050</v>
      </c>
      <c r="N24" s="473"/>
      <c r="O24" s="473"/>
    </row>
    <row r="25" spans="1:15" s="139" customFormat="1" ht="64.55" customHeight="1">
      <c r="A25" s="478">
        <v>21</v>
      </c>
      <c r="B25" s="479" t="s">
        <v>1610</v>
      </c>
      <c r="C25" s="480">
        <v>2200</v>
      </c>
      <c r="D25" s="443" t="s">
        <v>267</v>
      </c>
      <c r="E25" s="481" t="s">
        <v>1611</v>
      </c>
      <c r="F25" s="482" t="s">
        <v>65</v>
      </c>
      <c r="G25" s="482" t="s">
        <v>213</v>
      </c>
      <c r="H25" s="483" t="s">
        <v>1612</v>
      </c>
      <c r="I25" s="453" t="s">
        <v>1613</v>
      </c>
      <c r="J25" s="137" t="s">
        <v>26</v>
      </c>
      <c r="K25" s="484" t="s">
        <v>24</v>
      </c>
      <c r="L25" s="439" t="s">
        <v>458</v>
      </c>
      <c r="M25" s="485">
        <f t="shared" si="3"/>
        <v>2200</v>
      </c>
      <c r="N25" s="473"/>
      <c r="O25" s="473"/>
    </row>
    <row r="26" spans="1:15" s="139" customFormat="1" ht="93.1" customHeight="1">
      <c r="A26" s="491">
        <v>22</v>
      </c>
      <c r="B26" s="489" t="s">
        <v>630</v>
      </c>
      <c r="C26" s="480">
        <v>3900</v>
      </c>
      <c r="D26" s="488" t="s">
        <v>267</v>
      </c>
      <c r="E26" s="481" t="s">
        <v>1614</v>
      </c>
      <c r="F26" s="482" t="s">
        <v>65</v>
      </c>
      <c r="G26" s="137" t="s">
        <v>213</v>
      </c>
      <c r="H26" s="483" t="s">
        <v>1615</v>
      </c>
      <c r="I26" s="487"/>
      <c r="J26" s="482" t="s">
        <v>88</v>
      </c>
      <c r="K26" s="492" t="s">
        <v>24</v>
      </c>
      <c r="L26" s="482"/>
      <c r="M26" s="493">
        <f t="shared" si="3"/>
        <v>3900</v>
      </c>
      <c r="N26" s="473"/>
      <c r="O26" s="473"/>
    </row>
    <row r="27" spans="1:15" s="139" customFormat="1" ht="186.8" customHeight="1">
      <c r="A27" s="486">
        <v>23</v>
      </c>
      <c r="B27" s="439" t="s">
        <v>1616</v>
      </c>
      <c r="C27" s="437">
        <v>20000</v>
      </c>
      <c r="D27" s="443" t="s">
        <v>267</v>
      </c>
      <c r="E27" s="443" t="s">
        <v>1617</v>
      </c>
      <c r="F27" s="439" t="s">
        <v>65</v>
      </c>
      <c r="G27" s="439" t="s">
        <v>213</v>
      </c>
      <c r="H27" s="440" t="s">
        <v>1618</v>
      </c>
      <c r="I27" s="453" t="s">
        <v>1619</v>
      </c>
      <c r="J27" s="439" t="s">
        <v>88</v>
      </c>
      <c r="K27" s="439" t="s">
        <v>524</v>
      </c>
      <c r="L27" s="439"/>
      <c r="M27" s="490">
        <f t="shared" si="3"/>
        <v>20000</v>
      </c>
      <c r="N27" s="473"/>
      <c r="O27" s="473"/>
    </row>
    <row r="28" spans="1:15" s="139" customFormat="1" ht="93.1" customHeight="1">
      <c r="A28" s="486">
        <v>24</v>
      </c>
      <c r="B28" s="439" t="s">
        <v>334</v>
      </c>
      <c r="C28" s="437">
        <v>4700</v>
      </c>
      <c r="D28" s="443" t="s">
        <v>267</v>
      </c>
      <c r="E28" s="443" t="s">
        <v>1620</v>
      </c>
      <c r="F28" s="439" t="s">
        <v>65</v>
      </c>
      <c r="G28" s="439" t="s">
        <v>1621</v>
      </c>
      <c r="H28" s="440" t="s">
        <v>1622</v>
      </c>
      <c r="I28" s="453" t="s">
        <v>1623</v>
      </c>
      <c r="J28" s="439" t="s">
        <v>22</v>
      </c>
      <c r="K28" s="439" t="s">
        <v>22</v>
      </c>
      <c r="L28" s="439" t="s">
        <v>458</v>
      </c>
      <c r="M28" s="490">
        <f t="shared" si="3"/>
        <v>4700</v>
      </c>
      <c r="N28" s="473"/>
      <c r="O28" s="473"/>
    </row>
    <row r="29" spans="1:15" s="139" customFormat="1" ht="60.8" customHeight="1">
      <c r="A29" s="486">
        <v>25</v>
      </c>
      <c r="B29" s="439" t="s">
        <v>1624</v>
      </c>
      <c r="C29" s="437">
        <v>2450</v>
      </c>
      <c r="D29" s="443" t="s">
        <v>267</v>
      </c>
      <c r="E29" s="443" t="s">
        <v>1625</v>
      </c>
      <c r="F29" s="439" t="s">
        <v>65</v>
      </c>
      <c r="G29" s="439" t="s">
        <v>213</v>
      </c>
      <c r="H29" s="440" t="s">
        <v>1626</v>
      </c>
      <c r="I29" s="453" t="s">
        <v>292</v>
      </c>
      <c r="J29" s="439" t="s">
        <v>88</v>
      </c>
      <c r="K29" s="439" t="s">
        <v>18</v>
      </c>
      <c r="L29" s="439" t="s">
        <v>458</v>
      </c>
      <c r="M29" s="490">
        <f t="shared" si="3"/>
        <v>2450</v>
      </c>
      <c r="N29" s="473"/>
      <c r="O29" s="473"/>
    </row>
    <row r="30" spans="1:15" s="139" customFormat="1" ht="69.8" customHeight="1">
      <c r="A30" s="486">
        <v>26</v>
      </c>
      <c r="B30" s="439" t="s">
        <v>1627</v>
      </c>
      <c r="C30" s="437">
        <v>4950</v>
      </c>
      <c r="D30" s="443" t="s">
        <v>267</v>
      </c>
      <c r="E30" s="443" t="s">
        <v>1628</v>
      </c>
      <c r="F30" s="439" t="s">
        <v>65</v>
      </c>
      <c r="G30" s="443" t="s">
        <v>1305</v>
      </c>
      <c r="H30" s="483" t="s">
        <v>1629</v>
      </c>
      <c r="I30" s="453" t="s">
        <v>1630</v>
      </c>
      <c r="J30" s="439" t="s">
        <v>88</v>
      </c>
      <c r="K30" s="439" t="s">
        <v>524</v>
      </c>
      <c r="L30" s="439" t="s">
        <v>1564</v>
      </c>
      <c r="M30" s="490">
        <f t="shared" si="3"/>
        <v>4950</v>
      </c>
      <c r="N30" s="473"/>
      <c r="O30" s="473"/>
    </row>
    <row r="31" spans="1:15" s="139" customFormat="1" ht="135" customHeight="1">
      <c r="A31" s="486">
        <v>27</v>
      </c>
      <c r="B31" s="439" t="s">
        <v>1631</v>
      </c>
      <c r="C31" s="437">
        <v>7300</v>
      </c>
      <c r="D31" s="443" t="s">
        <v>267</v>
      </c>
      <c r="E31" s="443" t="s">
        <v>1632</v>
      </c>
      <c r="F31" s="439" t="s">
        <v>65</v>
      </c>
      <c r="G31" s="494" t="s">
        <v>462</v>
      </c>
      <c r="H31" s="440" t="s">
        <v>1633</v>
      </c>
      <c r="I31" s="495" t="s">
        <v>1634</v>
      </c>
      <c r="J31" s="439" t="s">
        <v>18</v>
      </c>
      <c r="K31" s="439" t="s">
        <v>18</v>
      </c>
      <c r="L31" s="482"/>
      <c r="M31" s="490">
        <f t="shared" si="3"/>
        <v>7300</v>
      </c>
      <c r="N31" s="473"/>
      <c r="O31" s="473"/>
    </row>
    <row r="32" spans="1:15" s="139" customFormat="1" ht="123.8" customHeight="1">
      <c r="A32" s="486">
        <v>28</v>
      </c>
      <c r="B32" s="439" t="s">
        <v>1635</v>
      </c>
      <c r="C32" s="437">
        <v>2600</v>
      </c>
      <c r="D32" s="443" t="s">
        <v>267</v>
      </c>
      <c r="E32" s="443" t="s">
        <v>1636</v>
      </c>
      <c r="F32" s="439" t="s">
        <v>65</v>
      </c>
      <c r="G32" s="494" t="s">
        <v>1543</v>
      </c>
      <c r="H32" s="440" t="s">
        <v>1637</v>
      </c>
      <c r="I32" s="495"/>
      <c r="J32" s="439" t="s">
        <v>18</v>
      </c>
      <c r="K32" s="439" t="s">
        <v>18</v>
      </c>
      <c r="L32" s="482" t="s">
        <v>1638</v>
      </c>
      <c r="M32" s="490">
        <f t="shared" ref="M32:M44" si="4">C32</f>
        <v>2600</v>
      </c>
      <c r="N32" s="473"/>
      <c r="O32" s="473"/>
    </row>
    <row r="33" spans="1:15" s="139" customFormat="1" ht="62.35" customHeight="1">
      <c r="A33" s="491">
        <v>29</v>
      </c>
      <c r="B33" s="482" t="s">
        <v>1639</v>
      </c>
      <c r="C33" s="480">
        <v>4020</v>
      </c>
      <c r="D33" s="481" t="s">
        <v>1640</v>
      </c>
      <c r="E33" s="481" t="s">
        <v>1641</v>
      </c>
      <c r="F33" s="439" t="s">
        <v>65</v>
      </c>
      <c r="G33" s="497" t="s">
        <v>213</v>
      </c>
      <c r="H33" s="529" t="s">
        <v>1642</v>
      </c>
      <c r="I33" s="498"/>
      <c r="J33" s="482" t="s">
        <v>22</v>
      </c>
      <c r="K33" s="137" t="s">
        <v>22</v>
      </c>
      <c r="L33" s="439" t="s">
        <v>458</v>
      </c>
      <c r="M33" s="499">
        <f t="shared" si="4"/>
        <v>4020</v>
      </c>
      <c r="N33" s="473"/>
      <c r="O33" s="473"/>
    </row>
    <row r="34" spans="1:15" s="139" customFormat="1" ht="81" customHeight="1">
      <c r="A34" s="491">
        <v>30</v>
      </c>
      <c r="B34" s="482" t="s">
        <v>1643</v>
      </c>
      <c r="C34" s="480">
        <v>3350</v>
      </c>
      <c r="D34" s="481" t="s">
        <v>1640</v>
      </c>
      <c r="E34" s="481" t="s">
        <v>1644</v>
      </c>
      <c r="F34" s="439" t="s">
        <v>65</v>
      </c>
      <c r="G34" s="497" t="s">
        <v>213</v>
      </c>
      <c r="H34" s="452" t="s">
        <v>1645</v>
      </c>
      <c r="I34" s="498"/>
      <c r="J34" s="482" t="s">
        <v>22</v>
      </c>
      <c r="K34" s="137" t="s">
        <v>22</v>
      </c>
      <c r="L34" s="439" t="s">
        <v>458</v>
      </c>
      <c r="M34" s="499">
        <f t="shared" si="4"/>
        <v>3350</v>
      </c>
      <c r="N34" s="473"/>
      <c r="O34" s="473"/>
    </row>
    <row r="35" spans="1:15" s="139" customFormat="1" ht="81" customHeight="1">
      <c r="A35" s="491">
        <v>31</v>
      </c>
      <c r="B35" s="482" t="s">
        <v>1077</v>
      </c>
      <c r="C35" s="480">
        <v>3200</v>
      </c>
      <c r="D35" s="481" t="s">
        <v>1640</v>
      </c>
      <c r="E35" s="481" t="s">
        <v>1646</v>
      </c>
      <c r="F35" s="439" t="s">
        <v>65</v>
      </c>
      <c r="G35" s="497" t="s">
        <v>213</v>
      </c>
      <c r="H35" s="452" t="s">
        <v>1647</v>
      </c>
      <c r="I35" s="498"/>
      <c r="J35" s="482" t="s">
        <v>88</v>
      </c>
      <c r="K35" s="137" t="s">
        <v>24</v>
      </c>
      <c r="L35" s="439" t="s">
        <v>1564</v>
      </c>
      <c r="M35" s="499">
        <f t="shared" si="4"/>
        <v>3200</v>
      </c>
      <c r="N35" s="473"/>
      <c r="O35" s="473"/>
    </row>
    <row r="36" spans="1:15" s="139" customFormat="1" ht="91.7">
      <c r="A36" s="486">
        <v>32</v>
      </c>
      <c r="B36" s="439" t="s">
        <v>826</v>
      </c>
      <c r="C36" s="437">
        <v>1850</v>
      </c>
      <c r="D36" s="443" t="s">
        <v>1640</v>
      </c>
      <c r="E36" s="443" t="s">
        <v>1648</v>
      </c>
      <c r="F36" s="439" t="s">
        <v>65</v>
      </c>
      <c r="G36" s="443" t="s">
        <v>164</v>
      </c>
      <c r="H36" s="500" t="s">
        <v>1649</v>
      </c>
      <c r="I36" s="441" t="s">
        <v>1650</v>
      </c>
      <c r="J36" s="439" t="s">
        <v>26</v>
      </c>
      <c r="K36" s="439" t="s">
        <v>524</v>
      </c>
      <c r="L36" s="443" t="s">
        <v>1564</v>
      </c>
      <c r="M36" s="490">
        <f t="shared" si="4"/>
        <v>1850</v>
      </c>
      <c r="N36" s="473"/>
      <c r="O36" s="473"/>
    </row>
    <row r="37" spans="1:15" s="139" customFormat="1" ht="111.75" customHeight="1">
      <c r="A37" s="486">
        <v>33</v>
      </c>
      <c r="B37" s="439" t="s">
        <v>1651</v>
      </c>
      <c r="C37" s="437">
        <v>3250</v>
      </c>
      <c r="D37" s="443" t="s">
        <v>267</v>
      </c>
      <c r="E37" s="443" t="s">
        <v>1652</v>
      </c>
      <c r="F37" s="439" t="s">
        <v>1653</v>
      </c>
      <c r="G37" s="443" t="s">
        <v>164</v>
      </c>
      <c r="H37" s="483" t="s">
        <v>1654</v>
      </c>
      <c r="I37" s="453" t="s">
        <v>1655</v>
      </c>
      <c r="J37" s="439" t="s">
        <v>18</v>
      </c>
      <c r="K37" s="439" t="s">
        <v>1653</v>
      </c>
      <c r="L37" s="443" t="s">
        <v>1564</v>
      </c>
      <c r="M37" s="490">
        <f t="shared" si="4"/>
        <v>3250</v>
      </c>
      <c r="N37" s="473"/>
      <c r="O37" s="473"/>
    </row>
    <row r="38" spans="1:15" s="139" customFormat="1" ht="65.25" customHeight="1">
      <c r="A38" s="486">
        <v>34</v>
      </c>
      <c r="B38" s="439" t="s">
        <v>1656</v>
      </c>
      <c r="C38" s="437">
        <v>3500</v>
      </c>
      <c r="D38" s="443" t="s">
        <v>267</v>
      </c>
      <c r="E38" s="443" t="s">
        <v>1657</v>
      </c>
      <c r="F38" s="439" t="s">
        <v>65</v>
      </c>
      <c r="G38" s="494" t="s">
        <v>1179</v>
      </c>
      <c r="H38" s="501" t="s">
        <v>1658</v>
      </c>
      <c r="I38" s="495" t="s">
        <v>1659</v>
      </c>
      <c r="J38" s="439" t="s">
        <v>24</v>
      </c>
      <c r="K38" s="439" t="s">
        <v>24</v>
      </c>
      <c r="L38" s="439"/>
      <c r="M38" s="490">
        <f t="shared" si="4"/>
        <v>3500</v>
      </c>
      <c r="N38" s="473"/>
      <c r="O38" s="473"/>
    </row>
    <row r="39" spans="1:15" s="139" customFormat="1" ht="112.6" customHeight="1">
      <c r="A39" s="486">
        <v>35</v>
      </c>
      <c r="B39" s="439" t="s">
        <v>1660</v>
      </c>
      <c r="C39" s="437">
        <v>6600</v>
      </c>
      <c r="D39" s="443" t="s">
        <v>267</v>
      </c>
      <c r="E39" s="443" t="s">
        <v>1661</v>
      </c>
      <c r="F39" s="439" t="s">
        <v>65</v>
      </c>
      <c r="G39" s="494" t="s">
        <v>1484</v>
      </c>
      <c r="H39" s="440" t="s">
        <v>1662</v>
      </c>
      <c r="I39" s="502"/>
      <c r="J39" s="439" t="s">
        <v>22</v>
      </c>
      <c r="K39" s="439" t="s">
        <v>22</v>
      </c>
      <c r="L39" s="439" t="s">
        <v>458</v>
      </c>
      <c r="M39" s="490">
        <f t="shared" si="4"/>
        <v>6600</v>
      </c>
      <c r="N39" s="473"/>
      <c r="O39" s="473"/>
    </row>
    <row r="40" spans="1:15" s="139" customFormat="1" ht="111.75" customHeight="1">
      <c r="A40" s="486">
        <v>36</v>
      </c>
      <c r="B40" s="439" t="s">
        <v>1663</v>
      </c>
      <c r="C40" s="437">
        <v>8800</v>
      </c>
      <c r="D40" s="443" t="s">
        <v>267</v>
      </c>
      <c r="E40" s="443" t="s">
        <v>1664</v>
      </c>
      <c r="F40" s="439" t="s">
        <v>65</v>
      </c>
      <c r="G40" s="443" t="s">
        <v>1621</v>
      </c>
      <c r="H40" s="500" t="s">
        <v>1665</v>
      </c>
      <c r="I40" s="441"/>
      <c r="J40" s="439" t="s">
        <v>1666</v>
      </c>
      <c r="K40" s="439" t="s">
        <v>524</v>
      </c>
      <c r="L40" s="443"/>
      <c r="M40" s="490">
        <f t="shared" si="4"/>
        <v>8800</v>
      </c>
      <c r="N40" s="473"/>
      <c r="O40" s="473"/>
    </row>
    <row r="41" spans="1:15" s="139" customFormat="1" ht="48.1" hidden="1" customHeight="1">
      <c r="A41" s="486">
        <v>37</v>
      </c>
      <c r="B41" s="439" t="s">
        <v>630</v>
      </c>
      <c r="C41" s="437" t="s">
        <v>716</v>
      </c>
      <c r="D41" s="443" t="s">
        <v>1667</v>
      </c>
      <c r="E41" s="443" t="s">
        <v>1668</v>
      </c>
      <c r="F41" s="439" t="s">
        <v>65</v>
      </c>
      <c r="G41" s="443" t="s">
        <v>1669</v>
      </c>
      <c r="H41" s="503" t="s">
        <v>1670</v>
      </c>
      <c r="I41" s="441" t="s">
        <v>1671</v>
      </c>
      <c r="J41" s="439" t="s">
        <v>88</v>
      </c>
      <c r="K41" s="439" t="s">
        <v>524</v>
      </c>
      <c r="L41" s="443"/>
      <c r="M41" s="490" t="str">
        <f t="shared" si="4"/>
        <v>HỦY</v>
      </c>
      <c r="N41" s="473"/>
      <c r="O41" s="473"/>
    </row>
    <row r="42" spans="1:15" s="139" customFormat="1" ht="72.7" customHeight="1">
      <c r="A42" s="486">
        <v>38</v>
      </c>
      <c r="B42" s="439" t="s">
        <v>1672</v>
      </c>
      <c r="C42" s="437">
        <v>4000</v>
      </c>
      <c r="D42" s="443" t="s">
        <v>267</v>
      </c>
      <c r="E42" s="443" t="s">
        <v>1673</v>
      </c>
      <c r="F42" s="439" t="s">
        <v>65</v>
      </c>
      <c r="G42" s="443" t="s">
        <v>164</v>
      </c>
      <c r="H42" s="483" t="s">
        <v>1674</v>
      </c>
      <c r="I42" s="453"/>
      <c r="J42" s="439" t="s">
        <v>18</v>
      </c>
      <c r="K42" s="439" t="s">
        <v>18</v>
      </c>
      <c r="L42" s="443"/>
      <c r="M42" s="490">
        <f t="shared" si="4"/>
        <v>4000</v>
      </c>
      <c r="N42" s="473"/>
      <c r="O42" s="473"/>
    </row>
    <row r="43" spans="1:15" s="139" customFormat="1" ht="133.5" customHeight="1">
      <c r="A43" s="486">
        <v>39</v>
      </c>
      <c r="B43" s="439" t="s">
        <v>1675</v>
      </c>
      <c r="C43" s="437">
        <v>10500</v>
      </c>
      <c r="D43" s="443" t="s">
        <v>267</v>
      </c>
      <c r="E43" s="443" t="s">
        <v>1676</v>
      </c>
      <c r="F43" s="439" t="s">
        <v>65</v>
      </c>
      <c r="G43" s="443" t="s">
        <v>462</v>
      </c>
      <c r="H43" s="483" t="s">
        <v>1677</v>
      </c>
      <c r="I43" s="453"/>
      <c r="J43" s="439" t="s">
        <v>18</v>
      </c>
      <c r="K43" s="439" t="s">
        <v>18</v>
      </c>
      <c r="L43" s="443"/>
      <c r="M43" s="490">
        <f t="shared" si="4"/>
        <v>10500</v>
      </c>
      <c r="N43" s="473"/>
      <c r="O43" s="473"/>
    </row>
    <row r="44" spans="1:15" s="139" customFormat="1" ht="86.95" customHeight="1">
      <c r="A44" s="486">
        <v>40</v>
      </c>
      <c r="B44" s="439" t="s">
        <v>679</v>
      </c>
      <c r="C44" s="437">
        <v>3800</v>
      </c>
      <c r="D44" s="443" t="s">
        <v>267</v>
      </c>
      <c r="E44" s="443" t="s">
        <v>1678</v>
      </c>
      <c r="F44" s="439" t="s">
        <v>65</v>
      </c>
      <c r="G44" s="443" t="s">
        <v>1179</v>
      </c>
      <c r="H44" s="483" t="s">
        <v>1679</v>
      </c>
      <c r="I44" s="453"/>
      <c r="J44" s="439" t="s">
        <v>22</v>
      </c>
      <c r="K44" s="439" t="s">
        <v>1325</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706" t="s">
        <v>1531</v>
      </c>
      <c r="E46" s="3707"/>
      <c r="F46" s="3708"/>
      <c r="G46" s="3708"/>
      <c r="H46" s="3708"/>
      <c r="I46" s="3709"/>
      <c r="M46" s="292"/>
      <c r="N46" s="3"/>
      <c r="O46" s="3"/>
    </row>
    <row r="47" spans="1:15" s="1" customFormat="1">
      <c r="A47" s="359"/>
      <c r="C47" s="2"/>
      <c r="D47" s="3710"/>
      <c r="E47" s="3711"/>
      <c r="F47" s="3711"/>
      <c r="G47" s="3711"/>
      <c r="H47" s="3711"/>
      <c r="I47" s="3712"/>
      <c r="M47" s="292"/>
      <c r="N47" s="3"/>
      <c r="O47" s="3"/>
    </row>
    <row r="48" spans="1:15" s="1" customFormat="1">
      <c r="A48" s="359"/>
      <c r="C48" s="2"/>
      <c r="D48" s="3710"/>
      <c r="E48" s="3711"/>
      <c r="F48" s="3711"/>
      <c r="G48" s="3711"/>
      <c r="H48" s="3711"/>
      <c r="I48" s="3712"/>
      <c r="M48" s="292"/>
      <c r="N48" s="3"/>
      <c r="O48" s="3"/>
    </row>
    <row r="49" spans="4:9" s="1" customFormat="1">
      <c r="D49" s="3713"/>
      <c r="E49" s="3714"/>
      <c r="F49" s="3714"/>
      <c r="G49" s="3714"/>
      <c r="H49" s="3714"/>
      <c r="I49" s="3715"/>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8" priority="443"/>
  </conditionalFormatting>
  <conditionalFormatting sqref="A4">
    <cfRule type="duplicateValues" dxfId="727" priority="9"/>
  </conditionalFormatting>
  <conditionalFormatting sqref="A6">
    <cfRule type="duplicateValues" dxfId="726" priority="28"/>
  </conditionalFormatting>
  <conditionalFormatting sqref="A7">
    <cfRule type="duplicateValues" dxfId="725" priority="27"/>
  </conditionalFormatting>
  <conditionalFormatting sqref="A9">
    <cfRule type="duplicateValues" dxfId="724" priority="26"/>
  </conditionalFormatting>
  <conditionalFormatting sqref="A11">
    <cfRule type="duplicateValues" dxfId="723" priority="23"/>
  </conditionalFormatting>
  <conditionalFormatting sqref="A12">
    <cfRule type="duplicateValues" dxfId="722" priority="21"/>
  </conditionalFormatting>
  <conditionalFormatting sqref="A17">
    <cfRule type="duplicateValues" dxfId="721" priority="18"/>
  </conditionalFormatting>
  <conditionalFormatting sqref="A23">
    <cfRule type="duplicateValues" dxfId="720" priority="14"/>
  </conditionalFormatting>
  <conditionalFormatting sqref="A24">
    <cfRule type="duplicateValues" dxfId="719" priority="15"/>
  </conditionalFormatting>
  <conditionalFormatting sqref="A25">
    <cfRule type="duplicateValues" dxfId="718" priority="13"/>
  </conditionalFormatting>
  <conditionalFormatting sqref="A28">
    <cfRule type="duplicateValues" dxfId="717" priority="11"/>
  </conditionalFormatting>
  <conditionalFormatting sqref="A29">
    <cfRule type="duplicateValues" dxfId="716" priority="10"/>
  </conditionalFormatting>
  <conditionalFormatting sqref="A32">
    <cfRule type="duplicateValues" dxfId="715" priority="5"/>
  </conditionalFormatting>
  <conditionalFormatting sqref="A34">
    <cfRule type="duplicateValues" dxfId="714" priority="4"/>
  </conditionalFormatting>
  <conditionalFormatting sqref="A35">
    <cfRule type="duplicateValues" dxfId="713" priority="3"/>
  </conditionalFormatting>
  <conditionalFormatting sqref="A43">
    <cfRule type="duplicateValues" dxfId="712" priority="2"/>
  </conditionalFormatting>
  <conditionalFormatting sqref="A44">
    <cfRule type="duplicateValues" dxfId="711" priority="1"/>
  </conditionalFormatting>
  <conditionalFormatting sqref="B3">
    <cfRule type="duplicateValues" dxfId="710" priority="46"/>
    <cfRule type="duplicateValues" dxfId="709" priority="47"/>
    <cfRule type="duplicateValues" dxfId="708" priority="48"/>
  </conditionalFormatting>
  <conditionalFormatting sqref="B4">
    <cfRule type="duplicateValues" dxfId="707" priority="6"/>
    <cfRule type="duplicateValues" dxfId="706" priority="7"/>
    <cfRule type="duplicateValues" dxfId="705"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37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375" style="3" customWidth="1"/>
    <col min="16" max="16" width="34.625" style="3" customWidth="1"/>
    <col min="17" max="16384" width="25.625" style="3"/>
  </cols>
  <sheetData>
    <row r="1" spans="1:16" ht="17.350000000000001" hidden="1" customHeight="1">
      <c r="B1" s="10"/>
      <c r="C1" s="3704"/>
      <c r="D1" s="3704"/>
      <c r="E1" s="3704"/>
      <c r="F1" s="3704"/>
      <c r="G1" s="3704"/>
      <c r="H1" s="3704"/>
      <c r="I1" s="3704"/>
    </row>
    <row r="2" spans="1:16" ht="39.75" customHeight="1">
      <c r="A2" s="3684" t="s">
        <v>1680</v>
      </c>
      <c r="B2" s="3684"/>
      <c r="C2" s="3684"/>
      <c r="D2" s="3684"/>
      <c r="E2" s="3684"/>
      <c r="F2" s="3684"/>
      <c r="G2" s="3684"/>
      <c r="H2" s="3684"/>
      <c r="I2" s="3684"/>
      <c r="J2" s="194"/>
      <c r="K2" s="194"/>
      <c r="L2" s="195"/>
      <c r="M2" s="293"/>
      <c r="N2" s="196"/>
      <c r="O2" s="197"/>
    </row>
    <row r="3" spans="1:16" ht="23.95" customHeight="1">
      <c r="A3" s="360"/>
      <c r="B3" s="385"/>
      <c r="C3" s="200">
        <f>SUBTOTAL(9,C5:C62)</f>
        <v>194437</v>
      </c>
      <c r="D3" s="378"/>
      <c r="E3" s="378"/>
      <c r="F3" s="201"/>
      <c r="G3" s="199"/>
      <c r="H3" s="202"/>
      <c r="I3" s="3705">
        <f ca="1">TODAY()</f>
        <v>45988</v>
      </c>
      <c r="J3" s="3705"/>
      <c r="K3" s="203"/>
      <c r="L3" s="203"/>
      <c r="M3" s="294"/>
      <c r="N3" s="197"/>
      <c r="O3" s="197"/>
    </row>
    <row r="4" spans="1:16" s="7" customFormat="1" ht="34">
      <c r="A4" s="496" t="s">
        <v>1681</v>
      </c>
      <c r="B4" s="204" t="s">
        <v>1425</v>
      </c>
      <c r="C4" s="205" t="s">
        <v>50</v>
      </c>
      <c r="D4" s="204" t="s">
        <v>51</v>
      </c>
      <c r="E4" s="204" t="s">
        <v>53</v>
      </c>
      <c r="F4" s="204" t="s">
        <v>55</v>
      </c>
      <c r="G4" s="204" t="s">
        <v>56</v>
      </c>
      <c r="H4" s="206" t="s">
        <v>57</v>
      </c>
      <c r="I4" s="204" t="s">
        <v>58</v>
      </c>
      <c r="J4" s="204" t="s">
        <v>52</v>
      </c>
      <c r="K4" s="204" t="s">
        <v>1094</v>
      </c>
      <c r="L4" s="204" t="s">
        <v>1256</v>
      </c>
      <c r="M4" s="295" t="s">
        <v>381</v>
      </c>
      <c r="N4" s="325" t="s">
        <v>382</v>
      </c>
      <c r="O4" s="207">
        <f>SUM(O5:O9)</f>
        <v>191650</v>
      </c>
    </row>
    <row r="5" spans="1:16" ht="30.1" customHeight="1">
      <c r="A5" s="362" cm="1">
        <f t="array" ref="A5:A69">_xlfn.SEQUENCE(65,1,1,1)</f>
        <v>1</v>
      </c>
      <c r="B5" s="154" t="s">
        <v>1682</v>
      </c>
      <c r="C5" s="120">
        <v>1900</v>
      </c>
      <c r="D5" s="379" t="s">
        <v>267</v>
      </c>
      <c r="E5" s="379"/>
      <c r="F5" s="221" t="s">
        <v>65</v>
      </c>
      <c r="G5" s="91" t="s">
        <v>294</v>
      </c>
      <c r="H5" s="324" t="s">
        <v>1683</v>
      </c>
      <c r="I5" s="317"/>
      <c r="J5" s="154" t="s">
        <v>22</v>
      </c>
      <c r="K5" s="91" t="s">
        <v>22</v>
      </c>
      <c r="L5" s="115" t="s">
        <v>1569</v>
      </c>
      <c r="M5" s="318">
        <f>C5</f>
        <v>1900</v>
      </c>
      <c r="N5" s="198" t="s">
        <v>22</v>
      </c>
      <c r="O5" s="216">
        <f t="shared" ref="O5:O10" si="0">SUMIF($J:$J,N5,M:M)</f>
        <v>46180</v>
      </c>
      <c r="P5" s="4"/>
    </row>
    <row r="6" spans="1:16" ht="85.6" customHeight="1">
      <c r="A6" s="362">
        <v>2</v>
      </c>
      <c r="B6" s="154" t="s">
        <v>125</v>
      </c>
      <c r="C6" s="120">
        <v>4000</v>
      </c>
      <c r="D6" s="379" t="s">
        <v>267</v>
      </c>
      <c r="E6" s="379"/>
      <c r="F6" s="91" t="s">
        <v>65</v>
      </c>
      <c r="G6" s="91" t="s">
        <v>164</v>
      </c>
      <c r="H6" s="119" t="s">
        <v>1684</v>
      </c>
      <c r="I6" s="317" t="s">
        <v>1685</v>
      </c>
      <c r="J6" s="91" t="s">
        <v>22</v>
      </c>
      <c r="K6" s="91" t="s">
        <v>22</v>
      </c>
      <c r="L6" s="91" t="s">
        <v>458</v>
      </c>
      <c r="M6" s="318">
        <f t="shared" ref="M6:M33" si="1">C6</f>
        <v>4000</v>
      </c>
      <c r="N6" s="198" t="s">
        <v>24</v>
      </c>
      <c r="O6" s="216">
        <f t="shared" si="0"/>
        <v>39860</v>
      </c>
    </row>
    <row r="7" spans="1:16" s="1" customFormat="1" ht="45" customHeight="1">
      <c r="A7" s="362">
        <v>3</v>
      </c>
      <c r="B7" s="154" t="s">
        <v>1686</v>
      </c>
      <c r="C7" s="120">
        <v>3000</v>
      </c>
      <c r="D7" s="379" t="s">
        <v>267</v>
      </c>
      <c r="E7" s="379"/>
      <c r="F7" s="91" t="s">
        <v>65</v>
      </c>
      <c r="G7" s="91" t="s">
        <v>164</v>
      </c>
      <c r="H7" s="184" t="s">
        <v>1687</v>
      </c>
      <c r="I7" s="184" t="s">
        <v>1688</v>
      </c>
      <c r="J7" s="91" t="s">
        <v>26</v>
      </c>
      <c r="K7" s="91" t="s">
        <v>524</v>
      </c>
      <c r="L7" s="91" t="s">
        <v>1564</v>
      </c>
      <c r="M7" s="318">
        <f t="shared" si="1"/>
        <v>3000</v>
      </c>
      <c r="N7" s="223" t="s">
        <v>26</v>
      </c>
      <c r="O7" s="224">
        <f t="shared" si="0"/>
        <v>18200</v>
      </c>
    </row>
    <row r="8" spans="1:16" s="1" customFormat="1" ht="73.400000000000006">
      <c r="A8" s="362">
        <v>4</v>
      </c>
      <c r="B8" s="154" t="s">
        <v>1265</v>
      </c>
      <c r="C8" s="120">
        <v>2200</v>
      </c>
      <c r="D8" s="380" t="s">
        <v>267</v>
      </c>
      <c r="E8" s="380"/>
      <c r="F8" s="91" t="s">
        <v>65</v>
      </c>
      <c r="G8" s="91" t="s">
        <v>1000</v>
      </c>
      <c r="H8" s="184" t="s">
        <v>1689</v>
      </c>
      <c r="I8" s="317" t="s">
        <v>1690</v>
      </c>
      <c r="J8" s="91" t="s">
        <v>26</v>
      </c>
      <c r="K8" s="91" t="s">
        <v>524</v>
      </c>
      <c r="L8" s="91" t="s">
        <v>1638</v>
      </c>
      <c r="M8" s="318">
        <f t="shared" si="1"/>
        <v>2200</v>
      </c>
      <c r="N8" s="322" t="s">
        <v>88</v>
      </c>
      <c r="O8" s="224">
        <f t="shared" si="0"/>
        <v>47480</v>
      </c>
    </row>
    <row r="9" spans="1:16" ht="183.4">
      <c r="A9" s="362">
        <v>5</v>
      </c>
      <c r="B9" s="154" t="s">
        <v>1691</v>
      </c>
      <c r="C9" s="120">
        <v>2200</v>
      </c>
      <c r="D9" s="380" t="s">
        <v>267</v>
      </c>
      <c r="E9" s="380"/>
      <c r="F9" s="91" t="s">
        <v>65</v>
      </c>
      <c r="G9" s="91" t="s">
        <v>66</v>
      </c>
      <c r="H9" s="184" t="s">
        <v>1692</v>
      </c>
      <c r="I9" s="317" t="s">
        <v>1693</v>
      </c>
      <c r="J9" s="91" t="s">
        <v>24</v>
      </c>
      <c r="K9" s="91" t="s">
        <v>24</v>
      </c>
      <c r="L9" s="91" t="s">
        <v>1638</v>
      </c>
      <c r="M9" s="321">
        <f t="shared" si="1"/>
        <v>2200</v>
      </c>
      <c r="N9" s="144" t="s">
        <v>18</v>
      </c>
      <c r="O9" s="328">
        <f t="shared" si="0"/>
        <v>39930</v>
      </c>
    </row>
    <row r="10" spans="1:16" ht="60.8" customHeight="1">
      <c r="A10" s="362">
        <v>6</v>
      </c>
      <c r="B10" s="154" t="s">
        <v>567</v>
      </c>
      <c r="C10" s="120">
        <v>3400</v>
      </c>
      <c r="D10" s="380" t="s">
        <v>267</v>
      </c>
      <c r="E10" s="380"/>
      <c r="F10" s="91" t="s">
        <v>65</v>
      </c>
      <c r="G10" s="91" t="s">
        <v>1694</v>
      </c>
      <c r="H10" s="122" t="s">
        <v>1695</v>
      </c>
      <c r="I10" s="317" t="s">
        <v>1696</v>
      </c>
      <c r="J10" s="91" t="s">
        <v>88</v>
      </c>
      <c r="K10" s="91" t="s">
        <v>18</v>
      </c>
      <c r="L10" s="91"/>
      <c r="M10" s="321">
        <f t="shared" si="1"/>
        <v>3400</v>
      </c>
      <c r="N10" s="102" t="s">
        <v>555</v>
      </c>
      <c r="O10" s="327">
        <f t="shared" si="0"/>
        <v>2787</v>
      </c>
    </row>
    <row r="11" spans="1:16" ht="48.75" customHeight="1">
      <c r="A11" s="362">
        <v>7</v>
      </c>
      <c r="B11" s="154" t="s">
        <v>1697</v>
      </c>
      <c r="C11" s="120">
        <v>2850</v>
      </c>
      <c r="D11" s="380" t="s">
        <v>267</v>
      </c>
      <c r="E11" s="380"/>
      <c r="F11" s="91" t="s">
        <v>65</v>
      </c>
      <c r="G11" s="91" t="s">
        <v>1698</v>
      </c>
      <c r="H11" s="184" t="s">
        <v>1699</v>
      </c>
      <c r="I11" s="317"/>
      <c r="J11" s="91" t="s">
        <v>18</v>
      </c>
      <c r="K11" s="91" t="s">
        <v>18</v>
      </c>
      <c r="L11" s="91" t="s">
        <v>1564</v>
      </c>
      <c r="M11" s="318">
        <f t="shared" si="1"/>
        <v>2850</v>
      </c>
    </row>
    <row r="12" spans="1:16" ht="48.75" customHeight="1">
      <c r="A12" s="362">
        <v>8</v>
      </c>
      <c r="B12" s="154" t="s">
        <v>1700</v>
      </c>
      <c r="C12" s="120">
        <v>3380</v>
      </c>
      <c r="D12" s="380" t="s">
        <v>267</v>
      </c>
      <c r="E12" s="380"/>
      <c r="F12" s="91" t="s">
        <v>65</v>
      </c>
      <c r="G12" s="91" t="s">
        <v>1698</v>
      </c>
      <c r="H12" s="184" t="s">
        <v>1701</v>
      </c>
      <c r="I12" s="317" t="s">
        <v>1702</v>
      </c>
      <c r="J12" s="91" t="s">
        <v>18</v>
      </c>
      <c r="K12" s="91" t="s">
        <v>18</v>
      </c>
      <c r="L12" s="91" t="s">
        <v>1638</v>
      </c>
      <c r="M12" s="318">
        <f t="shared" si="1"/>
        <v>3380</v>
      </c>
    </row>
    <row r="13" spans="1:16" ht="48.75" customHeight="1">
      <c r="A13" s="362">
        <v>9</v>
      </c>
      <c r="B13" s="154" t="s">
        <v>677</v>
      </c>
      <c r="C13" s="120">
        <v>2950</v>
      </c>
      <c r="D13" s="380" t="s">
        <v>267</v>
      </c>
      <c r="E13" s="380"/>
      <c r="F13" s="91" t="s">
        <v>65</v>
      </c>
      <c r="G13" s="91" t="s">
        <v>1694</v>
      </c>
      <c r="H13" s="184" t="s">
        <v>1703</v>
      </c>
      <c r="I13" s="286" t="s">
        <v>1704</v>
      </c>
      <c r="J13" s="91" t="s">
        <v>22</v>
      </c>
      <c r="K13" s="91" t="s">
        <v>22</v>
      </c>
      <c r="L13" s="91" t="s">
        <v>458</v>
      </c>
      <c r="M13" s="318">
        <f t="shared" si="1"/>
        <v>2950</v>
      </c>
    </row>
    <row r="14" spans="1:16" ht="48.75" customHeight="1">
      <c r="A14" s="362">
        <v>10</v>
      </c>
      <c r="B14" s="154" t="s">
        <v>1061</v>
      </c>
      <c r="C14" s="120">
        <v>3000</v>
      </c>
      <c r="D14" s="380" t="s">
        <v>267</v>
      </c>
      <c r="E14" s="380"/>
      <c r="F14" s="91" t="s">
        <v>65</v>
      </c>
      <c r="G14" s="91" t="s">
        <v>1621</v>
      </c>
      <c r="H14" s="184" t="s">
        <v>1703</v>
      </c>
      <c r="I14" s="286"/>
      <c r="J14" s="91" t="s">
        <v>18</v>
      </c>
      <c r="K14" s="91" t="s">
        <v>18</v>
      </c>
      <c r="L14" s="91" t="s">
        <v>458</v>
      </c>
      <c r="M14" s="318">
        <f>C14</f>
        <v>3000</v>
      </c>
    </row>
    <row r="15" spans="1:16" ht="42.8" customHeight="1">
      <c r="A15" s="362">
        <v>11</v>
      </c>
      <c r="B15" s="154" t="s">
        <v>1705</v>
      </c>
      <c r="C15" s="120">
        <v>2550</v>
      </c>
      <c r="D15" s="380" t="s">
        <v>267</v>
      </c>
      <c r="E15" s="380"/>
      <c r="F15" s="91" t="s">
        <v>65</v>
      </c>
      <c r="G15" s="91" t="s">
        <v>1000</v>
      </c>
      <c r="H15" s="331" t="s">
        <v>1706</v>
      </c>
      <c r="I15" s="286"/>
      <c r="J15" s="91" t="s">
        <v>88</v>
      </c>
      <c r="K15" s="91" t="s">
        <v>524</v>
      </c>
      <c r="L15" s="91" t="s">
        <v>458</v>
      </c>
      <c r="M15" s="318">
        <f>C15</f>
        <v>2550</v>
      </c>
    </row>
    <row r="16" spans="1:16" ht="48.75" customHeight="1">
      <c r="A16" s="362">
        <v>12</v>
      </c>
      <c r="B16" s="154" t="s">
        <v>1707</v>
      </c>
      <c r="C16" s="120">
        <v>4030</v>
      </c>
      <c r="D16" s="380" t="s">
        <v>267</v>
      </c>
      <c r="E16" s="380"/>
      <c r="F16" s="91" t="s">
        <v>65</v>
      </c>
      <c r="G16" s="91" t="s">
        <v>1698</v>
      </c>
      <c r="H16" s="184" t="s">
        <v>1708</v>
      </c>
      <c r="I16" s="286" t="s">
        <v>1709</v>
      </c>
      <c r="J16" s="91" t="s">
        <v>22</v>
      </c>
      <c r="K16" s="91" t="s">
        <v>22</v>
      </c>
      <c r="L16" s="91" t="s">
        <v>458</v>
      </c>
      <c r="M16" s="318">
        <f t="shared" si="1"/>
        <v>4030</v>
      </c>
    </row>
    <row r="17" spans="1:15" ht="53.35" customHeight="1">
      <c r="A17" s="362">
        <v>13</v>
      </c>
      <c r="B17" s="154" t="s">
        <v>1710</v>
      </c>
      <c r="C17" s="120">
        <v>4200</v>
      </c>
      <c r="D17" s="380" t="s">
        <v>267</v>
      </c>
      <c r="E17" s="380"/>
      <c r="F17" s="91" t="s">
        <v>65</v>
      </c>
      <c r="G17" s="91" t="s">
        <v>240</v>
      </c>
      <c r="H17" s="184" t="s">
        <v>1711</v>
      </c>
      <c r="I17" s="286" t="s">
        <v>1712</v>
      </c>
      <c r="J17" s="91" t="s">
        <v>18</v>
      </c>
      <c r="K17" s="91" t="s">
        <v>18</v>
      </c>
      <c r="L17" s="91" t="s">
        <v>1564</v>
      </c>
      <c r="M17" s="318">
        <f t="shared" ref="M17:M24" si="2">C17</f>
        <v>4200</v>
      </c>
    </row>
    <row r="18" spans="1:15" ht="42.8" customHeight="1">
      <c r="A18" s="362">
        <v>14</v>
      </c>
      <c r="B18" s="154" t="s">
        <v>581</v>
      </c>
      <c r="C18" s="120">
        <v>3500</v>
      </c>
      <c r="D18" s="380" t="s">
        <v>267</v>
      </c>
      <c r="E18" s="380"/>
      <c r="F18" s="91" t="s">
        <v>65</v>
      </c>
      <c r="G18" s="91" t="s">
        <v>213</v>
      </c>
      <c r="H18" s="184" t="s">
        <v>1713</v>
      </c>
      <c r="I18" s="286" t="s">
        <v>1714</v>
      </c>
      <c r="J18" s="91" t="s">
        <v>88</v>
      </c>
      <c r="K18" s="91" t="s">
        <v>24</v>
      </c>
      <c r="L18" s="91" t="s">
        <v>458</v>
      </c>
      <c r="M18" s="318">
        <f t="shared" si="2"/>
        <v>3500</v>
      </c>
    </row>
    <row r="19" spans="1:15" s="1" customFormat="1" ht="42.8" customHeight="1">
      <c r="A19" s="362">
        <v>15</v>
      </c>
      <c r="B19" s="348" t="s">
        <v>1624</v>
      </c>
      <c r="C19" s="120">
        <v>2450</v>
      </c>
      <c r="D19" s="380" t="s">
        <v>267</v>
      </c>
      <c r="E19" s="380"/>
      <c r="F19" s="91" t="s">
        <v>65</v>
      </c>
      <c r="G19" s="91" t="s">
        <v>213</v>
      </c>
      <c r="H19" s="184" t="s">
        <v>1703</v>
      </c>
      <c r="I19" s="122" t="s">
        <v>1715</v>
      </c>
      <c r="J19" s="91" t="s">
        <v>88</v>
      </c>
      <c r="K19" s="91" t="s">
        <v>24</v>
      </c>
      <c r="L19" s="91" t="s">
        <v>458</v>
      </c>
      <c r="M19" s="318">
        <f t="shared" si="2"/>
        <v>2450</v>
      </c>
      <c r="N19" s="287"/>
      <c r="O19" s="320"/>
    </row>
    <row r="20" spans="1:15" ht="48.75" customHeight="1">
      <c r="A20" s="362">
        <v>16</v>
      </c>
      <c r="B20" s="154" t="s">
        <v>1716</v>
      </c>
      <c r="C20" s="120">
        <v>2950</v>
      </c>
      <c r="D20" s="380" t="s">
        <v>267</v>
      </c>
      <c r="E20" s="380"/>
      <c r="F20" s="91" t="s">
        <v>65</v>
      </c>
      <c r="G20" s="91" t="s">
        <v>213</v>
      </c>
      <c r="H20" s="184" t="s">
        <v>1703</v>
      </c>
      <c r="I20" s="286" t="s">
        <v>1715</v>
      </c>
      <c r="J20" s="91" t="s">
        <v>24</v>
      </c>
      <c r="K20" s="91" t="s">
        <v>24</v>
      </c>
      <c r="L20" s="91" t="s">
        <v>458</v>
      </c>
      <c r="M20" s="318">
        <f t="shared" si="2"/>
        <v>2950</v>
      </c>
    </row>
    <row r="21" spans="1:15" s="1" customFormat="1" ht="93.1" customHeight="1">
      <c r="A21" s="362">
        <v>17</v>
      </c>
      <c r="B21" s="348" t="s">
        <v>1717</v>
      </c>
      <c r="C21" s="120">
        <v>5400</v>
      </c>
      <c r="D21" s="380" t="s">
        <v>267</v>
      </c>
      <c r="E21" s="380"/>
      <c r="F21" s="91" t="s">
        <v>65</v>
      </c>
      <c r="G21" s="87" t="s">
        <v>213</v>
      </c>
      <c r="H21" s="184" t="s">
        <v>1718</v>
      </c>
      <c r="I21" s="286" t="s">
        <v>1719</v>
      </c>
      <c r="J21" s="91" t="s">
        <v>18</v>
      </c>
      <c r="K21" s="91" t="s">
        <v>18</v>
      </c>
      <c r="L21" s="91" t="s">
        <v>1720</v>
      </c>
      <c r="M21" s="318">
        <f t="shared" si="2"/>
        <v>5400</v>
      </c>
      <c r="N21" s="9" t="s">
        <v>1721</v>
      </c>
      <c r="O21" s="3"/>
    </row>
    <row r="22" spans="1:15" s="1" customFormat="1" ht="131.30000000000001" customHeight="1">
      <c r="A22" s="362">
        <v>18</v>
      </c>
      <c r="B22" s="348" t="s">
        <v>1722</v>
      </c>
      <c r="C22" s="120">
        <v>3000</v>
      </c>
      <c r="D22" s="380" t="s">
        <v>267</v>
      </c>
      <c r="E22" s="380"/>
      <c r="F22" s="91" t="s">
        <v>65</v>
      </c>
      <c r="G22" s="91" t="s">
        <v>462</v>
      </c>
      <c r="H22" s="184" t="s">
        <v>1723</v>
      </c>
      <c r="I22" s="184" t="s">
        <v>1724</v>
      </c>
      <c r="J22" s="91" t="s">
        <v>22</v>
      </c>
      <c r="K22" s="91" t="s">
        <v>22</v>
      </c>
      <c r="L22" s="91" t="s">
        <v>1725</v>
      </c>
      <c r="M22" s="318">
        <f t="shared" si="2"/>
        <v>3000</v>
      </c>
      <c r="N22" s="287" t="s">
        <v>1726</v>
      </c>
      <c r="O22" s="320"/>
    </row>
    <row r="23" spans="1:15" ht="70.5" customHeight="1">
      <c r="A23" s="362">
        <v>19</v>
      </c>
      <c r="B23" s="349" t="s">
        <v>1727</v>
      </c>
      <c r="C23" s="94">
        <v>3100</v>
      </c>
      <c r="D23" s="380" t="s">
        <v>267</v>
      </c>
      <c r="E23" s="380"/>
      <c r="F23" s="91" t="s">
        <v>65</v>
      </c>
      <c r="G23" s="89" t="s">
        <v>213</v>
      </c>
      <c r="H23" s="188" t="s">
        <v>1728</v>
      </c>
      <c r="I23" s="326"/>
      <c r="J23" s="87" t="s">
        <v>18</v>
      </c>
      <c r="K23" s="87" t="s">
        <v>18</v>
      </c>
      <c r="L23" s="87" t="s">
        <v>1569</v>
      </c>
      <c r="M23" s="318">
        <f t="shared" si="2"/>
        <v>3100</v>
      </c>
      <c r="N23" s="3" t="s">
        <v>1729</v>
      </c>
    </row>
    <row r="24" spans="1:15" s="1" customFormat="1" ht="42.8" customHeight="1">
      <c r="A24" s="362">
        <v>20</v>
      </c>
      <c r="B24" s="348" t="s">
        <v>816</v>
      </c>
      <c r="C24" s="120">
        <v>2500</v>
      </c>
      <c r="D24" s="380" t="s">
        <v>267</v>
      </c>
      <c r="E24" s="380"/>
      <c r="F24" s="91" t="s">
        <v>65</v>
      </c>
      <c r="G24" s="91" t="s">
        <v>294</v>
      </c>
      <c r="H24" s="184" t="s">
        <v>1730</v>
      </c>
      <c r="I24" s="317" t="s">
        <v>1731</v>
      </c>
      <c r="J24" s="91" t="s">
        <v>26</v>
      </c>
      <c r="K24" s="91" t="s">
        <v>524</v>
      </c>
      <c r="L24" s="91" t="s">
        <v>1569</v>
      </c>
      <c r="M24" s="332">
        <f t="shared" si="2"/>
        <v>2500</v>
      </c>
      <c r="N24" s="287"/>
      <c r="O24" s="320"/>
    </row>
    <row r="25" spans="1:15" s="336" customFormat="1" ht="80.349999999999994" customHeight="1">
      <c r="A25" s="362">
        <v>21</v>
      </c>
      <c r="B25" s="349" t="s">
        <v>1732</v>
      </c>
      <c r="C25" s="94">
        <v>2787</v>
      </c>
      <c r="D25" s="334" t="s">
        <v>267</v>
      </c>
      <c r="E25" s="334"/>
      <c r="F25" s="87" t="s">
        <v>65</v>
      </c>
      <c r="G25" s="87" t="s">
        <v>213</v>
      </c>
      <c r="H25" s="155" t="s">
        <v>1733</v>
      </c>
      <c r="I25" s="155" t="s">
        <v>1734</v>
      </c>
      <c r="J25" s="87" t="s">
        <v>555</v>
      </c>
      <c r="K25" s="87" t="s">
        <v>524</v>
      </c>
      <c r="L25" s="87" t="s">
        <v>458</v>
      </c>
      <c r="M25" s="335">
        <f t="shared" si="1"/>
        <v>2787</v>
      </c>
    </row>
    <row r="26" spans="1:15" s="139" customFormat="1" ht="42.8" customHeight="1">
      <c r="A26" s="362">
        <v>22</v>
      </c>
      <c r="B26" s="350" t="s">
        <v>1735</v>
      </c>
      <c r="C26" s="114">
        <v>2950</v>
      </c>
      <c r="D26" s="380" t="s">
        <v>267</v>
      </c>
      <c r="E26" s="383"/>
      <c r="F26" s="130" t="s">
        <v>65</v>
      </c>
      <c r="G26" s="113" t="s">
        <v>213</v>
      </c>
      <c r="H26" s="512" t="s">
        <v>1736</v>
      </c>
      <c r="I26" s="329"/>
      <c r="J26" s="113" t="s">
        <v>22</v>
      </c>
      <c r="K26" s="113" t="s">
        <v>22</v>
      </c>
      <c r="L26" s="113" t="s">
        <v>458</v>
      </c>
      <c r="M26" s="330">
        <f t="shared" si="1"/>
        <v>2950</v>
      </c>
    </row>
    <row r="27" spans="1:15" s="139" customFormat="1" ht="73.400000000000006">
      <c r="A27" s="362">
        <v>23</v>
      </c>
      <c r="B27" s="129" t="s">
        <v>636</v>
      </c>
      <c r="C27" s="88">
        <v>3750</v>
      </c>
      <c r="D27" s="133" t="s">
        <v>267</v>
      </c>
      <c r="E27" s="349"/>
      <c r="F27" s="129" t="s">
        <v>65</v>
      </c>
      <c r="G27" s="129" t="s">
        <v>1737</v>
      </c>
      <c r="H27" s="93" t="s">
        <v>1738</v>
      </c>
      <c r="I27" s="142" t="s">
        <v>1739</v>
      </c>
      <c r="J27" s="87" t="s">
        <v>18</v>
      </c>
      <c r="K27" s="87" t="s">
        <v>18</v>
      </c>
      <c r="L27" s="133" t="s">
        <v>1740</v>
      </c>
      <c r="M27" s="330">
        <f t="shared" si="1"/>
        <v>3750</v>
      </c>
    </row>
    <row r="28" spans="1:15" s="336" customFormat="1" ht="56.25" customHeight="1">
      <c r="A28" s="362">
        <v>24</v>
      </c>
      <c r="B28" s="125" t="s">
        <v>311</v>
      </c>
      <c r="C28" s="114">
        <v>3950</v>
      </c>
      <c r="D28" s="133" t="s">
        <v>267</v>
      </c>
      <c r="E28" s="133"/>
      <c r="F28" s="87" t="s">
        <v>65</v>
      </c>
      <c r="G28" s="339" t="s">
        <v>462</v>
      </c>
      <c r="H28" s="340" t="s">
        <v>1741</v>
      </c>
      <c r="I28" s="341"/>
      <c r="J28" s="113" t="s">
        <v>22</v>
      </c>
      <c r="K28" s="113" t="s">
        <v>22</v>
      </c>
      <c r="L28" s="133" t="s">
        <v>1742</v>
      </c>
      <c r="M28" s="330">
        <f t="shared" si="1"/>
        <v>3950</v>
      </c>
    </row>
    <row r="29" spans="1:15" s="336" customFormat="1" ht="56.25" customHeight="1">
      <c r="A29" s="362">
        <v>25</v>
      </c>
      <c r="B29" s="125" t="s">
        <v>1743</v>
      </c>
      <c r="C29" s="114">
        <v>3050</v>
      </c>
      <c r="D29" s="133" t="s">
        <v>267</v>
      </c>
      <c r="E29" s="133"/>
      <c r="F29" s="87" t="s">
        <v>65</v>
      </c>
      <c r="G29" s="339" t="s">
        <v>213</v>
      </c>
      <c r="H29" s="340" t="s">
        <v>1744</v>
      </c>
      <c r="I29" s="341" t="s">
        <v>1745</v>
      </c>
      <c r="J29" s="113" t="s">
        <v>22</v>
      </c>
      <c r="K29" s="113" t="s">
        <v>22</v>
      </c>
      <c r="L29" s="133" t="s">
        <v>1569</v>
      </c>
      <c r="M29" s="330">
        <f>C29</f>
        <v>3050</v>
      </c>
    </row>
    <row r="30" spans="1:15" s="336" customFormat="1" ht="41.95" customHeight="1">
      <c r="A30" s="362">
        <v>26</v>
      </c>
      <c r="B30" s="351" t="s">
        <v>1254</v>
      </c>
      <c r="C30" s="337">
        <v>4400</v>
      </c>
      <c r="D30" s="133" t="s">
        <v>267</v>
      </c>
      <c r="E30" s="383"/>
      <c r="F30" s="130" t="s">
        <v>65</v>
      </c>
      <c r="G30" s="343" t="s">
        <v>213</v>
      </c>
      <c r="H30" s="513" t="s">
        <v>1746</v>
      </c>
      <c r="I30" s="344"/>
      <c r="J30" s="130" t="s">
        <v>24</v>
      </c>
      <c r="K30" s="130" t="s">
        <v>24</v>
      </c>
      <c r="L30" s="343" t="s">
        <v>1569</v>
      </c>
      <c r="M30" s="338">
        <f>C30</f>
        <v>4400</v>
      </c>
    </row>
    <row r="31" spans="1:15" s="333" customFormat="1" ht="67.599999999999994" customHeight="1">
      <c r="A31" s="362">
        <v>27</v>
      </c>
      <c r="B31" s="349" t="s">
        <v>1259</v>
      </c>
      <c r="C31" s="94">
        <v>2650</v>
      </c>
      <c r="D31" s="133" t="s">
        <v>267</v>
      </c>
      <c r="E31" s="133"/>
      <c r="F31" s="87" t="s">
        <v>65</v>
      </c>
      <c r="G31" s="87" t="s">
        <v>213</v>
      </c>
      <c r="H31" s="188" t="s">
        <v>1747</v>
      </c>
      <c r="I31" s="345"/>
      <c r="J31" s="87" t="s">
        <v>26</v>
      </c>
      <c r="K31" s="87" t="s">
        <v>24</v>
      </c>
      <c r="L31" s="133" t="s">
        <v>1551</v>
      </c>
      <c r="M31" s="335">
        <f>C31</f>
        <v>2650</v>
      </c>
    </row>
    <row r="32" spans="1:15" s="333" customFormat="1" ht="67.599999999999994" customHeight="1">
      <c r="A32" s="362">
        <v>28</v>
      </c>
      <c r="B32" s="349" t="s">
        <v>1748</v>
      </c>
      <c r="C32" s="94">
        <v>4700</v>
      </c>
      <c r="D32" s="133" t="s">
        <v>267</v>
      </c>
      <c r="E32" s="133"/>
      <c r="F32" s="87" t="s">
        <v>65</v>
      </c>
      <c r="G32" s="87" t="s">
        <v>66</v>
      </c>
      <c r="H32" s="188" t="s">
        <v>1749</v>
      </c>
      <c r="I32" s="345" t="s">
        <v>1750</v>
      </c>
      <c r="J32" s="87" t="s">
        <v>24</v>
      </c>
      <c r="K32" s="87" t="s">
        <v>24</v>
      </c>
      <c r="L32" s="133" t="s">
        <v>1569</v>
      </c>
      <c r="M32" s="335">
        <f t="shared" si="1"/>
        <v>4700</v>
      </c>
    </row>
    <row r="33" spans="1:15" s="333" customFormat="1" ht="183.1" customHeight="1">
      <c r="A33" s="362">
        <v>29</v>
      </c>
      <c r="B33" s="349" t="s">
        <v>1751</v>
      </c>
      <c r="C33" s="94">
        <v>2900</v>
      </c>
      <c r="D33" s="133" t="s">
        <v>267</v>
      </c>
      <c r="E33" s="133"/>
      <c r="F33" s="87" t="s">
        <v>65</v>
      </c>
      <c r="G33" s="87" t="s">
        <v>1737</v>
      </c>
      <c r="H33" s="188" t="s">
        <v>1752</v>
      </c>
      <c r="I33" s="345" t="s">
        <v>1753</v>
      </c>
      <c r="J33" s="87" t="s">
        <v>24</v>
      </c>
      <c r="K33" s="87" t="s">
        <v>24</v>
      </c>
      <c r="L33" s="133" t="s">
        <v>1754</v>
      </c>
      <c r="M33" s="335">
        <f t="shared" si="1"/>
        <v>2900</v>
      </c>
    </row>
    <row r="34" spans="1:15" s="139" customFormat="1" ht="63" customHeight="1">
      <c r="A34" s="362">
        <v>30</v>
      </c>
      <c r="B34" s="125" t="s">
        <v>1755</v>
      </c>
      <c r="C34" s="114">
        <v>3800</v>
      </c>
      <c r="D34" s="133" t="s">
        <v>267</v>
      </c>
      <c r="E34" s="384"/>
      <c r="F34" s="113" t="s">
        <v>65</v>
      </c>
      <c r="G34" s="113" t="s">
        <v>508</v>
      </c>
      <c r="H34" s="340" t="s">
        <v>1756</v>
      </c>
      <c r="I34" s="347" t="s">
        <v>1757</v>
      </c>
      <c r="J34" s="113" t="s">
        <v>24</v>
      </c>
      <c r="K34" s="113" t="s">
        <v>24</v>
      </c>
      <c r="L34" s="113" t="s">
        <v>1564</v>
      </c>
      <c r="M34" s="346">
        <f t="shared" ref="M34:M47" si="3">C34</f>
        <v>3800</v>
      </c>
    </row>
    <row r="35" spans="1:15" s="367" customFormat="1" ht="42.8" customHeight="1">
      <c r="A35" s="362">
        <v>31</v>
      </c>
      <c r="B35" s="349" t="s">
        <v>816</v>
      </c>
      <c r="C35" s="94">
        <v>2500</v>
      </c>
      <c r="D35" s="133" t="s">
        <v>267</v>
      </c>
      <c r="E35" s="133"/>
      <c r="F35" s="87" t="s">
        <v>65</v>
      </c>
      <c r="G35" s="87" t="s">
        <v>294</v>
      </c>
      <c r="H35" s="188" t="s">
        <v>1758</v>
      </c>
      <c r="I35" s="364" t="s">
        <v>1759</v>
      </c>
      <c r="J35" s="87" t="s">
        <v>26</v>
      </c>
      <c r="K35" s="87" t="s">
        <v>524</v>
      </c>
      <c r="L35" s="87" t="s">
        <v>1569</v>
      </c>
      <c r="M35" s="335">
        <f t="shared" si="3"/>
        <v>2500</v>
      </c>
      <c r="N35" s="365"/>
      <c r="O35" s="366"/>
    </row>
    <row r="36" spans="1:15" s="333" customFormat="1" ht="67.599999999999994" customHeight="1">
      <c r="A36" s="362">
        <v>32</v>
      </c>
      <c r="B36" s="349" t="s">
        <v>1230</v>
      </c>
      <c r="C36" s="94">
        <v>1850</v>
      </c>
      <c r="D36" s="133" t="s">
        <v>1760</v>
      </c>
      <c r="E36" s="133"/>
      <c r="F36" s="87" t="s">
        <v>65</v>
      </c>
      <c r="G36" s="87" t="s">
        <v>213</v>
      </c>
      <c r="H36" s="188" t="s">
        <v>1761</v>
      </c>
      <c r="I36" s="345"/>
      <c r="J36" s="87" t="s">
        <v>18</v>
      </c>
      <c r="K36" s="87" t="s">
        <v>18</v>
      </c>
      <c r="L36" s="133" t="s">
        <v>458</v>
      </c>
      <c r="M36" s="335">
        <f t="shared" si="3"/>
        <v>1850</v>
      </c>
    </row>
    <row r="37" spans="1:15" s="336" customFormat="1" ht="108" customHeight="1">
      <c r="A37" s="362">
        <v>33</v>
      </c>
      <c r="B37" s="129" t="s">
        <v>1188</v>
      </c>
      <c r="C37" s="94">
        <v>5250</v>
      </c>
      <c r="D37" s="133" t="s">
        <v>1760</v>
      </c>
      <c r="E37" s="133"/>
      <c r="F37" s="87" t="s">
        <v>65</v>
      </c>
      <c r="G37" s="87" t="s">
        <v>213</v>
      </c>
      <c r="H37" s="93" t="s">
        <v>1762</v>
      </c>
      <c r="I37" s="364" t="s">
        <v>1763</v>
      </c>
      <c r="J37" s="87" t="s">
        <v>18</v>
      </c>
      <c r="K37" s="91" t="s">
        <v>18</v>
      </c>
      <c r="L37" s="133" t="s">
        <v>1764</v>
      </c>
      <c r="M37" s="377">
        <f t="shared" si="3"/>
        <v>5250</v>
      </c>
    </row>
    <row r="38" spans="1:15" s="336" customFormat="1" ht="73.55" customHeight="1">
      <c r="A38" s="362">
        <v>34</v>
      </c>
      <c r="B38" s="129" t="s">
        <v>1606</v>
      </c>
      <c r="C38" s="94">
        <v>3050</v>
      </c>
      <c r="D38" s="133" t="s">
        <v>267</v>
      </c>
      <c r="E38" s="133"/>
      <c r="F38" s="87" t="s">
        <v>65</v>
      </c>
      <c r="G38" s="87" t="s">
        <v>213</v>
      </c>
      <c r="H38" s="93" t="s">
        <v>1765</v>
      </c>
      <c r="I38" s="364"/>
      <c r="J38" s="89" t="s">
        <v>26</v>
      </c>
      <c r="K38" s="91" t="s">
        <v>524</v>
      </c>
      <c r="L38" s="349" t="s">
        <v>1766</v>
      </c>
      <c r="M38" s="377">
        <f t="shared" si="3"/>
        <v>3050</v>
      </c>
    </row>
    <row r="39" spans="1:15" s="358" customFormat="1" ht="19.55" customHeight="1">
      <c r="A39" s="363">
        <v>35</v>
      </c>
      <c r="B39" s="352" t="s">
        <v>1767</v>
      </c>
      <c r="C39" s="353" t="s">
        <v>716</v>
      </c>
      <c r="D39" s="381" t="s">
        <v>1768</v>
      </c>
      <c r="E39" s="381"/>
      <c r="F39" s="354" t="s">
        <v>65</v>
      </c>
      <c r="G39" s="354" t="s">
        <v>558</v>
      </c>
      <c r="H39" s="355"/>
      <c r="I39" s="356"/>
      <c r="J39" s="354"/>
      <c r="K39" s="354" t="s">
        <v>24</v>
      </c>
      <c r="L39" s="354"/>
      <c r="M39" s="357" t="str">
        <f>C39</f>
        <v>HỦY</v>
      </c>
    </row>
    <row r="40" spans="1:15" s="336" customFormat="1" ht="57.75" customHeight="1">
      <c r="A40" s="362">
        <v>36</v>
      </c>
      <c r="B40" s="129" t="s">
        <v>1769</v>
      </c>
      <c r="C40" s="94">
        <v>2900</v>
      </c>
      <c r="D40" s="133" t="s">
        <v>267</v>
      </c>
      <c r="E40" s="133"/>
      <c r="F40" s="87" t="s">
        <v>65</v>
      </c>
      <c r="G40" s="87" t="s">
        <v>1543</v>
      </c>
      <c r="H40" s="93" t="s">
        <v>1770</v>
      </c>
      <c r="I40" s="364" t="s">
        <v>1771</v>
      </c>
      <c r="J40" s="89" t="s">
        <v>22</v>
      </c>
      <c r="K40" s="91" t="s">
        <v>22</v>
      </c>
      <c r="L40" s="349" t="s">
        <v>458</v>
      </c>
      <c r="M40" s="377">
        <f>C40</f>
        <v>2900</v>
      </c>
    </row>
    <row r="41" spans="1:15" s="376" customFormat="1" ht="21.1" customHeight="1">
      <c r="A41" s="368">
        <v>37</v>
      </c>
      <c r="B41" s="369" t="s">
        <v>1772</v>
      </c>
      <c r="C41" s="370" t="s">
        <v>716</v>
      </c>
      <c r="D41" s="371"/>
      <c r="E41" s="371"/>
      <c r="F41" s="372"/>
      <c r="G41" s="372"/>
      <c r="H41" s="373" t="s">
        <v>1773</v>
      </c>
      <c r="I41" s="374"/>
      <c r="J41" s="372"/>
      <c r="K41" s="372" t="s">
        <v>24</v>
      </c>
      <c r="L41" s="372" t="s">
        <v>458</v>
      </c>
      <c r="M41" s="375" t="str">
        <f>C41</f>
        <v>HỦY</v>
      </c>
    </row>
    <row r="42" spans="1:15" s="336" customFormat="1" ht="68.95" customHeight="1">
      <c r="A42" s="362">
        <v>38</v>
      </c>
      <c r="B42" s="129" t="s">
        <v>125</v>
      </c>
      <c r="C42" s="94">
        <v>4000</v>
      </c>
      <c r="D42" s="133" t="s">
        <v>267</v>
      </c>
      <c r="E42" s="133"/>
      <c r="F42" s="87" t="s">
        <v>65</v>
      </c>
      <c r="G42" s="87" t="s">
        <v>462</v>
      </c>
      <c r="H42" s="93" t="s">
        <v>1774</v>
      </c>
      <c r="I42" s="364"/>
      <c r="J42" s="89" t="s">
        <v>22</v>
      </c>
      <c r="K42" s="91" t="s">
        <v>22</v>
      </c>
      <c r="L42" s="349" t="s">
        <v>1775</v>
      </c>
      <c r="M42" s="377">
        <f t="shared" si="3"/>
        <v>4000</v>
      </c>
    </row>
    <row r="43" spans="1:15" s="150" customFormat="1" ht="51.8" customHeight="1">
      <c r="A43" s="387">
        <v>39</v>
      </c>
      <c r="B43" s="181" t="s">
        <v>1776</v>
      </c>
      <c r="C43" s="186">
        <v>4460</v>
      </c>
      <c r="D43" s="133" t="s">
        <v>267</v>
      </c>
      <c r="E43" s="388"/>
      <c r="F43" s="177" t="s">
        <v>65</v>
      </c>
      <c r="G43" s="177" t="s">
        <v>213</v>
      </c>
      <c r="H43" s="188" t="s">
        <v>1777</v>
      </c>
      <c r="I43" s="364"/>
      <c r="J43" s="389" t="s">
        <v>24</v>
      </c>
      <c r="K43" s="180" t="s">
        <v>24</v>
      </c>
      <c r="L43" s="390" t="s">
        <v>1778</v>
      </c>
      <c r="M43" s="391">
        <f>C43</f>
        <v>4460</v>
      </c>
    </row>
    <row r="44" spans="1:15" s="336" customFormat="1" ht="55.55" customHeight="1">
      <c r="A44" s="362">
        <v>40</v>
      </c>
      <c r="B44" s="181" t="s">
        <v>1779</v>
      </c>
      <c r="C44" s="94">
        <v>2900</v>
      </c>
      <c r="D44" s="133" t="s">
        <v>267</v>
      </c>
      <c r="E44" s="392" t="s">
        <v>1780</v>
      </c>
      <c r="F44" s="87" t="s">
        <v>65</v>
      </c>
      <c r="G44" s="87" t="s">
        <v>213</v>
      </c>
      <c r="H44" s="93" t="s">
        <v>1781</v>
      </c>
      <c r="I44" s="345" t="s">
        <v>1782</v>
      </c>
      <c r="J44" s="89" t="s">
        <v>22</v>
      </c>
      <c r="K44" s="91" t="s">
        <v>22</v>
      </c>
      <c r="L44" s="349" t="s">
        <v>1783</v>
      </c>
      <c r="M44" s="377">
        <f>C44</f>
        <v>2900</v>
      </c>
    </row>
    <row r="45" spans="1:15" s="336" customFormat="1" ht="54" customHeight="1">
      <c r="A45" s="362">
        <v>41</v>
      </c>
      <c r="B45" s="181" t="s">
        <v>1627</v>
      </c>
      <c r="C45" s="94">
        <v>4950</v>
      </c>
      <c r="D45" s="133" t="s">
        <v>267</v>
      </c>
      <c r="E45" s="393" t="s">
        <v>1784</v>
      </c>
      <c r="F45" s="87" t="s">
        <v>65</v>
      </c>
      <c r="G45" s="87" t="s">
        <v>462</v>
      </c>
      <c r="H45" s="93" t="s">
        <v>1785</v>
      </c>
      <c r="I45" s="364" t="s">
        <v>1786</v>
      </c>
      <c r="J45" s="89" t="s">
        <v>88</v>
      </c>
      <c r="K45" s="177" t="s">
        <v>524</v>
      </c>
      <c r="L45" s="129"/>
      <c r="M45" s="377">
        <f>C45</f>
        <v>4950</v>
      </c>
    </row>
    <row r="46" spans="1:15" s="336" customFormat="1" ht="104.3" customHeight="1">
      <c r="A46" s="362">
        <v>42</v>
      </c>
      <c r="B46" s="181" t="s">
        <v>816</v>
      </c>
      <c r="C46" s="94">
        <v>2300</v>
      </c>
      <c r="D46" s="133" t="s">
        <v>267</v>
      </c>
      <c r="E46" s="393" t="s">
        <v>1787</v>
      </c>
      <c r="F46" s="87" t="s">
        <v>65</v>
      </c>
      <c r="G46" s="87" t="s">
        <v>164</v>
      </c>
      <c r="H46" s="93" t="s">
        <v>1788</v>
      </c>
      <c r="I46" s="364"/>
      <c r="J46" s="89" t="s">
        <v>26</v>
      </c>
      <c r="K46" s="177" t="s">
        <v>22</v>
      </c>
      <c r="L46" s="129" t="s">
        <v>1789</v>
      </c>
      <c r="M46" s="377">
        <f t="shared" si="3"/>
        <v>2300</v>
      </c>
    </row>
    <row r="47" spans="1:15" s="358" customFormat="1" ht="24.8" customHeight="1">
      <c r="A47" s="363">
        <v>43</v>
      </c>
      <c r="B47" s="352" t="s">
        <v>1686</v>
      </c>
      <c r="C47" s="382" t="s">
        <v>716</v>
      </c>
      <c r="D47" s="381" t="s">
        <v>716</v>
      </c>
      <c r="E47" s="381"/>
      <c r="F47" s="354" t="s">
        <v>65</v>
      </c>
      <c r="G47" s="354" t="s">
        <v>213</v>
      </c>
      <c r="H47" s="355"/>
      <c r="I47" s="356"/>
      <c r="J47" s="354" t="s">
        <v>26</v>
      </c>
      <c r="K47" s="354" t="s">
        <v>524</v>
      </c>
      <c r="L47" s="354"/>
      <c r="M47" s="357" t="str">
        <f t="shared" si="3"/>
        <v>HỦY</v>
      </c>
    </row>
    <row r="48" spans="1:15" s="336" customFormat="1" ht="73.55" customHeight="1">
      <c r="A48" s="362">
        <v>44</v>
      </c>
      <c r="B48" s="129" t="s">
        <v>1591</v>
      </c>
      <c r="C48" s="94">
        <v>2500</v>
      </c>
      <c r="D48" s="133" t="s">
        <v>267</v>
      </c>
      <c r="E48" s="393" t="s">
        <v>1790</v>
      </c>
      <c r="F48" s="87" t="s">
        <v>65</v>
      </c>
      <c r="G48" s="87" t="s">
        <v>213</v>
      </c>
      <c r="H48" s="93" t="s">
        <v>1791</v>
      </c>
      <c r="I48" s="364"/>
      <c r="J48" s="113" t="s">
        <v>18</v>
      </c>
      <c r="K48" s="113" t="s">
        <v>18</v>
      </c>
      <c r="L48" s="133" t="s">
        <v>1792</v>
      </c>
      <c r="M48" s="377">
        <f t="shared" ref="M48:M62" si="4">C48</f>
        <v>2500</v>
      </c>
    </row>
    <row r="49" spans="1:13" s="336" customFormat="1" ht="57.75" customHeight="1">
      <c r="A49" s="362">
        <v>45</v>
      </c>
      <c r="B49" s="129" t="s">
        <v>1793</v>
      </c>
      <c r="C49" s="94">
        <v>2000</v>
      </c>
      <c r="D49" s="133" t="s">
        <v>267</v>
      </c>
      <c r="E49" s="133" t="s">
        <v>1794</v>
      </c>
      <c r="F49" s="87" t="s">
        <v>65</v>
      </c>
      <c r="G49" s="87" t="s">
        <v>240</v>
      </c>
      <c r="H49" s="93" t="s">
        <v>1795</v>
      </c>
      <c r="I49" s="364" t="s">
        <v>1796</v>
      </c>
      <c r="J49" s="87" t="s">
        <v>24</v>
      </c>
      <c r="K49" s="113" t="s">
        <v>24</v>
      </c>
      <c r="L49" s="133" t="s">
        <v>1797</v>
      </c>
      <c r="M49" s="377">
        <f t="shared" si="4"/>
        <v>2000</v>
      </c>
    </row>
    <row r="50" spans="1:13" s="336" customFormat="1" ht="57.75" customHeight="1">
      <c r="A50" s="362">
        <v>46</v>
      </c>
      <c r="B50" s="129" t="s">
        <v>1798</v>
      </c>
      <c r="C50" s="94">
        <v>4250</v>
      </c>
      <c r="D50" s="133" t="s">
        <v>267</v>
      </c>
      <c r="E50" s="133" t="s">
        <v>1794</v>
      </c>
      <c r="F50" s="87" t="s">
        <v>65</v>
      </c>
      <c r="G50" s="87" t="s">
        <v>213</v>
      </c>
      <c r="H50" s="93" t="s">
        <v>1799</v>
      </c>
      <c r="I50" s="364" t="s">
        <v>1800</v>
      </c>
      <c r="J50" s="87" t="s">
        <v>24</v>
      </c>
      <c r="K50" s="113" t="s">
        <v>24</v>
      </c>
      <c r="L50" s="133"/>
      <c r="M50" s="377">
        <f t="shared" si="4"/>
        <v>4250</v>
      </c>
    </row>
    <row r="51" spans="1:13" s="336" customFormat="1" ht="57.75" customHeight="1">
      <c r="A51" s="362">
        <v>47</v>
      </c>
      <c r="B51" s="129" t="s">
        <v>955</v>
      </c>
      <c r="C51" s="94">
        <v>3500</v>
      </c>
      <c r="D51" s="133" t="s">
        <v>267</v>
      </c>
      <c r="E51" s="133" t="s">
        <v>1801</v>
      </c>
      <c r="F51" s="87" t="s">
        <v>65</v>
      </c>
      <c r="G51" s="87" t="s">
        <v>213</v>
      </c>
      <c r="H51" s="93" t="s">
        <v>1802</v>
      </c>
      <c r="I51" s="364"/>
      <c r="J51" s="87" t="s">
        <v>24</v>
      </c>
      <c r="K51" s="113" t="s">
        <v>24</v>
      </c>
      <c r="L51" s="133"/>
      <c r="M51" s="377">
        <f t="shared" si="4"/>
        <v>3500</v>
      </c>
    </row>
    <row r="52" spans="1:13" s="336" customFormat="1" ht="57.75" customHeight="1">
      <c r="A52" s="362">
        <v>48</v>
      </c>
      <c r="B52" s="129" t="s">
        <v>1697</v>
      </c>
      <c r="C52" s="94">
        <v>2850</v>
      </c>
      <c r="D52" s="133" t="s">
        <v>267</v>
      </c>
      <c r="E52" s="133" t="s">
        <v>1803</v>
      </c>
      <c r="F52" s="87" t="s">
        <v>65</v>
      </c>
      <c r="G52" s="87" t="s">
        <v>213</v>
      </c>
      <c r="H52" s="93" t="s">
        <v>1804</v>
      </c>
      <c r="I52" s="364" t="s">
        <v>1805</v>
      </c>
      <c r="J52" s="87" t="s">
        <v>18</v>
      </c>
      <c r="K52" s="113" t="s">
        <v>18</v>
      </c>
      <c r="L52" s="133" t="s">
        <v>1551</v>
      </c>
      <c r="M52" s="377">
        <f t="shared" si="4"/>
        <v>2850</v>
      </c>
    </row>
    <row r="53" spans="1:13" s="336" customFormat="1" ht="61.5" customHeight="1">
      <c r="A53" s="362">
        <v>49</v>
      </c>
      <c r="B53" s="129" t="s">
        <v>1042</v>
      </c>
      <c r="C53" s="94">
        <v>3400</v>
      </c>
      <c r="D53" s="133" t="s">
        <v>267</v>
      </c>
      <c r="E53" s="133" t="s">
        <v>1806</v>
      </c>
      <c r="F53" s="87" t="s">
        <v>65</v>
      </c>
      <c r="G53" s="87" t="s">
        <v>213</v>
      </c>
      <c r="H53" s="93" t="s">
        <v>1807</v>
      </c>
      <c r="I53" s="364"/>
      <c r="J53" s="87" t="s">
        <v>22</v>
      </c>
      <c r="K53" s="87" t="s">
        <v>22</v>
      </c>
      <c r="L53" s="87" t="s">
        <v>458</v>
      </c>
      <c r="M53" s="377">
        <f t="shared" si="4"/>
        <v>3400</v>
      </c>
    </row>
    <row r="54" spans="1:13" s="336" customFormat="1" ht="152.35" customHeight="1">
      <c r="A54" s="514">
        <v>50</v>
      </c>
      <c r="B54" s="394" t="s">
        <v>422</v>
      </c>
      <c r="C54" s="395">
        <v>20000</v>
      </c>
      <c r="D54" s="396" t="s">
        <v>267</v>
      </c>
      <c r="E54" s="396"/>
      <c r="F54" s="397" t="s">
        <v>65</v>
      </c>
      <c r="G54" s="397" t="s">
        <v>213</v>
      </c>
      <c r="H54" s="142" t="s">
        <v>1808</v>
      </c>
      <c r="I54" s="364" t="s">
        <v>1809</v>
      </c>
      <c r="J54" s="397" t="s">
        <v>88</v>
      </c>
      <c r="K54" s="398" t="s">
        <v>18</v>
      </c>
      <c r="L54" s="396" t="s">
        <v>1810</v>
      </c>
      <c r="M54" s="399">
        <f t="shared" si="4"/>
        <v>20000</v>
      </c>
    </row>
    <row r="55" spans="1:13" s="358" customFormat="1" ht="23.3" customHeight="1">
      <c r="A55" s="363">
        <v>51</v>
      </c>
      <c r="B55" s="352" t="s">
        <v>1811</v>
      </c>
      <c r="C55" s="353" t="s">
        <v>717</v>
      </c>
      <c r="D55" s="381" t="s">
        <v>1812</v>
      </c>
      <c r="E55" s="381" t="s">
        <v>1813</v>
      </c>
      <c r="F55" s="354" t="s">
        <v>65</v>
      </c>
      <c r="G55" s="354" t="s">
        <v>213</v>
      </c>
      <c r="H55" s="353" t="s">
        <v>1814</v>
      </c>
      <c r="I55" s="353" t="s">
        <v>1814</v>
      </c>
      <c r="J55" s="354" t="s">
        <v>24</v>
      </c>
      <c r="K55" s="386" t="s">
        <v>24</v>
      </c>
      <c r="L55" s="354"/>
      <c r="M55" s="357" t="str">
        <f t="shared" si="4"/>
        <v>Hủy</v>
      </c>
    </row>
    <row r="56" spans="1:13" s="336" customFormat="1" ht="32.950000000000003" customHeight="1">
      <c r="A56" s="514">
        <v>52</v>
      </c>
      <c r="B56" s="394" t="s">
        <v>1815</v>
      </c>
      <c r="C56" s="395">
        <v>2630</v>
      </c>
      <c r="D56" s="396" t="s">
        <v>267</v>
      </c>
      <c r="E56" s="396" t="s">
        <v>1816</v>
      </c>
      <c r="F56" s="397" t="s">
        <v>65</v>
      </c>
      <c r="G56" s="397" t="s">
        <v>213</v>
      </c>
      <c r="H56" s="142" t="s">
        <v>1817</v>
      </c>
      <c r="I56" s="364"/>
      <c r="J56" s="397" t="s">
        <v>88</v>
      </c>
      <c r="K56" s="398" t="s">
        <v>524</v>
      </c>
      <c r="L56" s="396"/>
      <c r="M56" s="399">
        <f t="shared" si="4"/>
        <v>2630</v>
      </c>
    </row>
    <row r="57" spans="1:13" s="407" customFormat="1" ht="65.25" customHeight="1">
      <c r="A57" s="400">
        <v>53</v>
      </c>
      <c r="B57" s="401" t="s">
        <v>1818</v>
      </c>
      <c r="C57" s="402">
        <v>1800</v>
      </c>
      <c r="D57" s="403" t="s">
        <v>267</v>
      </c>
      <c r="E57" s="403" t="s">
        <v>1816</v>
      </c>
      <c r="F57" s="404" t="s">
        <v>65</v>
      </c>
      <c r="G57" s="404" t="s">
        <v>508</v>
      </c>
      <c r="H57" s="345" t="s">
        <v>1819</v>
      </c>
      <c r="I57" s="345" t="s">
        <v>1820</v>
      </c>
      <c r="J57" s="404" t="s">
        <v>18</v>
      </c>
      <c r="K57" s="405" t="s">
        <v>18</v>
      </c>
      <c r="L57" s="403" t="s">
        <v>1742</v>
      </c>
      <c r="M57" s="406">
        <f t="shared" si="4"/>
        <v>1800</v>
      </c>
    </row>
    <row r="58" spans="1:13" s="336" customFormat="1" ht="97.5" customHeight="1">
      <c r="A58" s="514">
        <v>54</v>
      </c>
      <c r="B58" s="394" t="s">
        <v>962</v>
      </c>
      <c r="C58" s="395">
        <v>4700</v>
      </c>
      <c r="D58" s="396" t="s">
        <v>267</v>
      </c>
      <c r="E58" s="396" t="s">
        <v>267</v>
      </c>
      <c r="F58" s="397" t="s">
        <v>65</v>
      </c>
      <c r="G58" s="397" t="s">
        <v>508</v>
      </c>
      <c r="H58" s="142" t="s">
        <v>1821</v>
      </c>
      <c r="I58" s="364" t="s">
        <v>1822</v>
      </c>
      <c r="J58" s="397" t="s">
        <v>22</v>
      </c>
      <c r="K58" s="398" t="s">
        <v>22</v>
      </c>
      <c r="L58" s="396" t="s">
        <v>1569</v>
      </c>
      <c r="M58" s="399">
        <f t="shared" si="4"/>
        <v>4700</v>
      </c>
    </row>
    <row r="59" spans="1:13" s="150" customFormat="1" ht="77.95" customHeight="1">
      <c r="A59" s="387">
        <v>55</v>
      </c>
      <c r="B59" s="181" t="s">
        <v>1128</v>
      </c>
      <c r="C59" s="186">
        <v>4800</v>
      </c>
      <c r="D59" s="388" t="s">
        <v>267</v>
      </c>
      <c r="E59" s="388" t="s">
        <v>1823</v>
      </c>
      <c r="F59" s="177" t="s">
        <v>65</v>
      </c>
      <c r="G59" s="177" t="s">
        <v>213</v>
      </c>
      <c r="H59" s="188" t="s">
        <v>1824</v>
      </c>
      <c r="I59" s="364"/>
      <c r="J59" s="177" t="s">
        <v>88</v>
      </c>
      <c r="K59" s="182" t="s">
        <v>524</v>
      </c>
      <c r="L59" s="177"/>
      <c r="M59" s="391">
        <f t="shared" si="4"/>
        <v>4800</v>
      </c>
    </row>
    <row r="60" spans="1:13" s="336" customFormat="1" ht="73.55" customHeight="1">
      <c r="A60" s="362">
        <v>56</v>
      </c>
      <c r="B60" s="181" t="s">
        <v>1767</v>
      </c>
      <c r="C60" s="186">
        <v>4700</v>
      </c>
      <c r="D60" s="133" t="s">
        <v>267</v>
      </c>
      <c r="E60" s="393" t="s">
        <v>1825</v>
      </c>
      <c r="F60" s="87" t="s">
        <v>65</v>
      </c>
      <c r="G60" s="87" t="s">
        <v>508</v>
      </c>
      <c r="H60" s="93" t="s">
        <v>1821</v>
      </c>
      <c r="I60" s="345" t="s">
        <v>1826</v>
      </c>
      <c r="J60" s="87" t="s">
        <v>24</v>
      </c>
      <c r="K60" s="113" t="s">
        <v>24</v>
      </c>
      <c r="L60" s="87" t="s">
        <v>1569</v>
      </c>
      <c r="M60" s="377">
        <f t="shared" si="4"/>
        <v>4700</v>
      </c>
    </row>
    <row r="61" spans="1:13" s="336" customFormat="1" ht="71.349999999999994" customHeight="1">
      <c r="A61" s="362">
        <v>57</v>
      </c>
      <c r="B61" s="181" t="s">
        <v>1827</v>
      </c>
      <c r="C61" s="186">
        <v>3200</v>
      </c>
      <c r="D61" s="133" t="s">
        <v>267</v>
      </c>
      <c r="E61" s="408" t="s">
        <v>1828</v>
      </c>
      <c r="F61" s="87" t="s">
        <v>65</v>
      </c>
      <c r="G61" s="87" t="s">
        <v>213</v>
      </c>
      <c r="H61" s="93" t="s">
        <v>1829</v>
      </c>
      <c r="I61" s="364"/>
      <c r="J61" s="87" t="s">
        <v>88</v>
      </c>
      <c r="K61" s="113" t="s">
        <v>524</v>
      </c>
      <c r="L61" s="87"/>
      <c r="M61" s="377">
        <f t="shared" si="4"/>
        <v>3200</v>
      </c>
    </row>
    <row r="62" spans="1:13" s="418" customFormat="1" ht="90.7" customHeight="1">
      <c r="A62" s="409">
        <v>58</v>
      </c>
      <c r="B62" s="410" t="s">
        <v>1830</v>
      </c>
      <c r="C62" s="411">
        <v>2450</v>
      </c>
      <c r="D62" s="412" t="s">
        <v>267</v>
      </c>
      <c r="E62" s="412" t="s">
        <v>1831</v>
      </c>
      <c r="F62" s="413" t="s">
        <v>65</v>
      </c>
      <c r="G62" s="413" t="s">
        <v>164</v>
      </c>
      <c r="H62" s="414" t="s">
        <v>1832</v>
      </c>
      <c r="I62" s="415" t="s">
        <v>1833</v>
      </c>
      <c r="J62" s="413" t="s">
        <v>22</v>
      </c>
      <c r="K62" s="416" t="s">
        <v>22</v>
      </c>
      <c r="L62" s="412" t="s">
        <v>1834</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4" priority="394"/>
  </conditionalFormatting>
  <conditionalFormatting sqref="A15">
    <cfRule type="duplicateValues" dxfId="703" priority="19"/>
  </conditionalFormatting>
  <conditionalFormatting sqref="A17">
    <cfRule type="duplicateValues" dxfId="702" priority="17"/>
  </conditionalFormatting>
  <conditionalFormatting sqref="A18">
    <cfRule type="duplicateValues" dxfId="701" priority="18"/>
  </conditionalFormatting>
  <conditionalFormatting sqref="A19 A21:A22 A24 A35">
    <cfRule type="duplicateValues" dxfId="700" priority="388"/>
  </conditionalFormatting>
  <conditionalFormatting sqref="A20">
    <cfRule type="duplicateValues" dxfId="699" priority="16"/>
  </conditionalFormatting>
  <conditionalFormatting sqref="A32">
    <cfRule type="duplicateValues" dxfId="698" priority="15"/>
  </conditionalFormatting>
  <conditionalFormatting sqref="A33">
    <cfRule type="duplicateValues" dxfId="697" priority="12"/>
  </conditionalFormatting>
  <conditionalFormatting sqref="A36">
    <cfRule type="duplicateValues" dxfId="696" priority="11"/>
  </conditionalFormatting>
  <conditionalFormatting sqref="A42">
    <cfRule type="duplicateValues" dxfId="695" priority="8"/>
  </conditionalFormatting>
  <conditionalFormatting sqref="A46">
    <cfRule type="duplicateValues" dxfId="694" priority="7"/>
  </conditionalFormatting>
  <conditionalFormatting sqref="A47">
    <cfRule type="duplicateValues" dxfId="693" priority="10"/>
  </conditionalFormatting>
  <conditionalFormatting sqref="A48:A49">
    <cfRule type="duplicateValues" dxfId="692" priority="9"/>
  </conditionalFormatting>
  <conditionalFormatting sqref="A50">
    <cfRule type="duplicateValues" dxfId="691" priority="6"/>
  </conditionalFormatting>
  <conditionalFormatting sqref="A51">
    <cfRule type="duplicateValues" dxfId="690" priority="5"/>
  </conditionalFormatting>
  <conditionalFormatting sqref="A52">
    <cfRule type="duplicateValues" dxfId="689" priority="4"/>
  </conditionalFormatting>
  <conditionalFormatting sqref="A56">
    <cfRule type="duplicateValues" dxfId="688" priority="2"/>
  </conditionalFormatting>
  <conditionalFormatting sqref="A57">
    <cfRule type="duplicateValues" dxfId="687" priority="1"/>
  </conditionalFormatting>
  <conditionalFormatting sqref="A58">
    <cfRule type="duplicateValues" dxfId="686" priority="3"/>
  </conditionalFormatting>
  <conditionalFormatting sqref="B3:B4">
    <cfRule type="duplicateValues" dxfId="685" priority="26"/>
    <cfRule type="duplicateValues" dxfId="684" priority="27"/>
    <cfRule type="duplicateValues" dxfId="683"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3.25" style="1" customWidth="1"/>
    <col min="3" max="3" width="18.375" style="2" customWidth="1"/>
    <col min="4" max="4" width="26.37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704"/>
      <c r="D1" s="3704"/>
      <c r="E1" s="3704"/>
      <c r="F1" s="3704"/>
      <c r="G1" s="3704"/>
      <c r="H1" s="3704"/>
    </row>
    <row r="2" spans="1:15" ht="30.1" customHeight="1">
      <c r="A2" s="3716" t="s">
        <v>1835</v>
      </c>
      <c r="B2" s="3717"/>
      <c r="C2" s="3717"/>
      <c r="D2" s="3717"/>
      <c r="E2" s="3717"/>
      <c r="F2" s="3717"/>
      <c r="G2" s="3717"/>
      <c r="H2" s="3718"/>
      <c r="I2" s="194"/>
      <c r="J2" s="194"/>
      <c r="K2" s="195"/>
      <c r="L2" s="293"/>
      <c r="M2" s="196"/>
      <c r="N2" s="197"/>
    </row>
    <row r="3" spans="1:15" ht="23.95" customHeight="1">
      <c r="A3" s="198"/>
      <c r="B3" s="199"/>
      <c r="C3" s="200">
        <f>SUBTOTAL(9,C5:C9958)</f>
        <v>167518</v>
      </c>
      <c r="D3" s="201"/>
      <c r="E3" s="201"/>
      <c r="F3" s="199"/>
      <c r="G3" s="202"/>
      <c r="H3" s="3705">
        <f ca="1">TODAY()</f>
        <v>45988</v>
      </c>
      <c r="I3" s="3705"/>
      <c r="J3" s="203"/>
      <c r="K3" s="203"/>
      <c r="L3" s="294"/>
      <c r="M3" s="197"/>
      <c r="N3" s="197"/>
    </row>
    <row r="4" spans="1:15" s="7" customFormat="1" ht="34">
      <c r="A4" s="204" t="s">
        <v>48</v>
      </c>
      <c r="B4" s="204" t="s">
        <v>1425</v>
      </c>
      <c r="C4" s="205" t="s">
        <v>50</v>
      </c>
      <c r="D4" s="204" t="s">
        <v>51</v>
      </c>
      <c r="E4" s="204" t="s">
        <v>55</v>
      </c>
      <c r="F4" s="204" t="s">
        <v>56</v>
      </c>
      <c r="G4" s="206" t="s">
        <v>57</v>
      </c>
      <c r="H4" s="204" t="s">
        <v>58</v>
      </c>
      <c r="I4" s="204" t="s">
        <v>52</v>
      </c>
      <c r="J4" s="204" t="s">
        <v>1094</v>
      </c>
      <c r="K4" s="204" t="s">
        <v>1256</v>
      </c>
      <c r="L4" s="295" t="s">
        <v>381</v>
      </c>
      <c r="M4" s="204" t="s">
        <v>382</v>
      </c>
      <c r="N4" s="207">
        <f>SUM(N5:N10)</f>
        <v>167518</v>
      </c>
    </row>
    <row r="5" spans="1:15" ht="50.95">
      <c r="A5" s="208" cm="1">
        <f t="array" ref="A5:A74">_xlfn.SEQUENCE(70,1,1,1)</f>
        <v>1</v>
      </c>
      <c r="B5" s="209" t="s">
        <v>674</v>
      </c>
      <c r="C5" s="210">
        <v>4800</v>
      </c>
      <c r="D5" s="211" t="s">
        <v>267</v>
      </c>
      <c r="E5" s="212" t="s">
        <v>65</v>
      </c>
      <c r="F5" s="212" t="s">
        <v>1836</v>
      </c>
      <c r="G5" s="213" t="s">
        <v>1837</v>
      </c>
      <c r="H5" s="214" t="s">
        <v>1838</v>
      </c>
      <c r="I5" s="212" t="s">
        <v>18</v>
      </c>
      <c r="J5" s="212" t="s">
        <v>18</v>
      </c>
      <c r="K5" s="215" t="s">
        <v>458</v>
      </c>
      <c r="L5" s="296">
        <f>C5</f>
        <v>4800</v>
      </c>
      <c r="M5" s="198" t="s">
        <v>22</v>
      </c>
      <c r="N5" s="216">
        <f t="shared" ref="N5:N10" si="0">SUMIF($I:$I,M5,L:L)</f>
        <v>52350</v>
      </c>
      <c r="O5" s="4"/>
    </row>
    <row r="6" spans="1:15" ht="29.05" customHeight="1">
      <c r="A6" s="208">
        <v>2</v>
      </c>
      <c r="B6" s="209" t="s">
        <v>653</v>
      </c>
      <c r="C6" s="210">
        <v>2700</v>
      </c>
      <c r="D6" s="217" t="s">
        <v>267</v>
      </c>
      <c r="E6" s="212" t="s">
        <v>65</v>
      </c>
      <c r="F6" s="212" t="s">
        <v>117</v>
      </c>
      <c r="G6" s="213" t="s">
        <v>1839</v>
      </c>
      <c r="H6" s="214" t="s">
        <v>1840</v>
      </c>
      <c r="I6" s="212" t="s">
        <v>24</v>
      </c>
      <c r="J6" s="212" t="s">
        <v>24</v>
      </c>
      <c r="K6" s="218" t="s">
        <v>1564</v>
      </c>
      <c r="L6" s="296">
        <f t="shared" ref="L6:L14" si="1">C6</f>
        <v>2700</v>
      </c>
      <c r="M6" s="198" t="s">
        <v>24</v>
      </c>
      <c r="N6" s="216">
        <f t="shared" si="0"/>
        <v>42050</v>
      </c>
    </row>
    <row r="7" spans="1:15" s="1" customFormat="1" ht="30.6" customHeight="1">
      <c r="A7" s="208">
        <v>3</v>
      </c>
      <c r="B7" s="219" t="s">
        <v>1841</v>
      </c>
      <c r="C7" s="220">
        <v>2950</v>
      </c>
      <c r="D7" s="217" t="s">
        <v>267</v>
      </c>
      <c r="E7" s="221" t="s">
        <v>65</v>
      </c>
      <c r="F7" s="221" t="s">
        <v>106</v>
      </c>
      <c r="G7" s="222" t="s">
        <v>1842</v>
      </c>
      <c r="H7" s="214"/>
      <c r="I7" s="212" t="s">
        <v>26</v>
      </c>
      <c r="J7" s="212" t="s">
        <v>524</v>
      </c>
      <c r="K7" s="218" t="s">
        <v>1564</v>
      </c>
      <c r="L7" s="296">
        <f t="shared" si="1"/>
        <v>2950</v>
      </c>
      <c r="M7" s="223" t="s">
        <v>26</v>
      </c>
      <c r="N7" s="224">
        <f t="shared" si="0"/>
        <v>13990</v>
      </c>
    </row>
    <row r="8" spans="1:15" s="1" customFormat="1" ht="27" customHeight="1">
      <c r="A8" s="208">
        <v>4</v>
      </c>
      <c r="B8" s="219" t="s">
        <v>315</v>
      </c>
      <c r="C8" s="220">
        <v>4000</v>
      </c>
      <c r="D8" s="217" t="s">
        <v>267</v>
      </c>
      <c r="E8" s="221" t="s">
        <v>65</v>
      </c>
      <c r="F8" s="221" t="s">
        <v>106</v>
      </c>
      <c r="G8" s="222" t="s">
        <v>1843</v>
      </c>
      <c r="H8" s="225" t="s">
        <v>1844</v>
      </c>
      <c r="I8" s="221" t="s">
        <v>22</v>
      </c>
      <c r="J8" s="221" t="s">
        <v>22</v>
      </c>
      <c r="K8" s="215" t="s">
        <v>1845</v>
      </c>
      <c r="L8" s="296">
        <f t="shared" si="1"/>
        <v>4000</v>
      </c>
      <c r="M8" s="198" t="s">
        <v>18</v>
      </c>
      <c r="N8" s="224">
        <f t="shared" si="0"/>
        <v>34450</v>
      </c>
    </row>
    <row r="9" spans="1:15" s="1" customFormat="1" ht="33.65" customHeight="1">
      <c r="A9" s="208">
        <v>5</v>
      </c>
      <c r="B9" s="226" t="s">
        <v>1846</v>
      </c>
      <c r="C9" s="227">
        <v>4150</v>
      </c>
      <c r="D9" s="217" t="s">
        <v>267</v>
      </c>
      <c r="E9" s="228" t="s">
        <v>65</v>
      </c>
      <c r="F9" s="228" t="s">
        <v>106</v>
      </c>
      <c r="G9" s="229" t="s">
        <v>1847</v>
      </c>
      <c r="H9" s="230"/>
      <c r="I9" s="228" t="s">
        <v>24</v>
      </c>
      <c r="J9" s="228" t="s">
        <v>24</v>
      </c>
      <c r="K9" s="198" t="s">
        <v>1564</v>
      </c>
      <c r="L9" s="297">
        <f t="shared" si="1"/>
        <v>4150</v>
      </c>
      <c r="M9" s="223" t="s">
        <v>88</v>
      </c>
      <c r="N9" s="224">
        <f t="shared" si="0"/>
        <v>21800</v>
      </c>
    </row>
    <row r="10" spans="1:15" ht="39.1" customHeight="1">
      <c r="A10" s="208">
        <v>6</v>
      </c>
      <c r="B10" s="231" t="s">
        <v>1336</v>
      </c>
      <c r="C10" s="232">
        <v>3350</v>
      </c>
      <c r="D10" s="233" t="s">
        <v>267</v>
      </c>
      <c r="E10" s="228" t="s">
        <v>65</v>
      </c>
      <c r="F10" s="233" t="s">
        <v>1698</v>
      </c>
      <c r="G10" s="234" t="s">
        <v>1848</v>
      </c>
      <c r="H10" s="234"/>
      <c r="I10" s="233" t="s">
        <v>22</v>
      </c>
      <c r="J10" s="233" t="s">
        <v>22</v>
      </c>
      <c r="K10" s="198" t="s">
        <v>458</v>
      </c>
      <c r="L10" s="297">
        <f t="shared" si="1"/>
        <v>3350</v>
      </c>
      <c r="M10" s="198" t="s">
        <v>555</v>
      </c>
      <c r="N10" s="316">
        <f t="shared" si="0"/>
        <v>2878</v>
      </c>
    </row>
    <row r="11" spans="1:15" ht="39.1" customHeight="1">
      <c r="A11" s="208">
        <v>7</v>
      </c>
      <c r="B11" s="231" t="s">
        <v>1259</v>
      </c>
      <c r="C11" s="232">
        <v>2660</v>
      </c>
      <c r="D11" s="233" t="s">
        <v>267</v>
      </c>
      <c r="E11" s="228" t="s">
        <v>65</v>
      </c>
      <c r="F11" s="233" t="s">
        <v>1849</v>
      </c>
      <c r="G11" s="234" t="s">
        <v>1850</v>
      </c>
      <c r="H11" s="234" t="s">
        <v>277</v>
      </c>
      <c r="I11" s="233" t="s">
        <v>26</v>
      </c>
      <c r="J11" s="233" t="s">
        <v>18</v>
      </c>
      <c r="K11" s="198" t="s">
        <v>458</v>
      </c>
      <c r="L11" s="297">
        <f t="shared" si="1"/>
        <v>2660</v>
      </c>
      <c r="M11" s="197"/>
      <c r="N11" s="197"/>
    </row>
    <row r="12" spans="1:15" ht="76.599999999999994" customHeight="1">
      <c r="A12" s="208">
        <v>8</v>
      </c>
      <c r="B12" s="235" t="s">
        <v>607</v>
      </c>
      <c r="C12" s="236">
        <v>3400</v>
      </c>
      <c r="D12" s="233" t="s">
        <v>267</v>
      </c>
      <c r="E12" s="237" t="s">
        <v>65</v>
      </c>
      <c r="F12" s="238" t="s">
        <v>1694</v>
      </c>
      <c r="G12" s="229" t="s">
        <v>1851</v>
      </c>
      <c r="H12" s="239" t="s">
        <v>1852</v>
      </c>
      <c r="I12" s="238" t="s">
        <v>22</v>
      </c>
      <c r="J12" s="238" t="s">
        <v>22</v>
      </c>
      <c r="K12" s="240" t="s">
        <v>458</v>
      </c>
      <c r="L12" s="298">
        <f t="shared" si="1"/>
        <v>3400</v>
      </c>
      <c r="M12" s="197"/>
      <c r="N12" s="197"/>
    </row>
    <row r="13" spans="1:15" ht="33.799999999999997" customHeight="1">
      <c r="A13" s="208">
        <v>9</v>
      </c>
      <c r="B13" s="241" t="s">
        <v>1077</v>
      </c>
      <c r="C13" s="242">
        <v>3200</v>
      </c>
      <c r="D13" s="233" t="s">
        <v>267</v>
      </c>
      <c r="E13" s="237" t="s">
        <v>65</v>
      </c>
      <c r="F13" s="243" t="s">
        <v>1694</v>
      </c>
      <c r="G13" s="244" t="s">
        <v>1850</v>
      </c>
      <c r="H13" s="245" t="s">
        <v>277</v>
      </c>
      <c r="I13" s="243" t="s">
        <v>88</v>
      </c>
      <c r="J13" s="243" t="s">
        <v>24</v>
      </c>
      <c r="K13" s="240" t="s">
        <v>458</v>
      </c>
      <c r="L13" s="298">
        <f t="shared" si="1"/>
        <v>3200</v>
      </c>
      <c r="M13" s="197"/>
      <c r="N13" s="197"/>
    </row>
    <row r="14" spans="1:15" ht="45.7" customHeight="1">
      <c r="A14" s="208">
        <v>10</v>
      </c>
      <c r="B14" s="241" t="s">
        <v>1853</v>
      </c>
      <c r="C14" s="242">
        <v>3150</v>
      </c>
      <c r="D14" s="243" t="s">
        <v>267</v>
      </c>
      <c r="E14" s="243" t="s">
        <v>65</v>
      </c>
      <c r="F14" s="243" t="s">
        <v>1694</v>
      </c>
      <c r="G14" s="244" t="s">
        <v>1850</v>
      </c>
      <c r="H14" s="244" t="s">
        <v>277</v>
      </c>
      <c r="I14" s="243" t="s">
        <v>24</v>
      </c>
      <c r="J14" s="243" t="s">
        <v>24</v>
      </c>
      <c r="K14" s="218" t="s">
        <v>458</v>
      </c>
      <c r="L14" s="298">
        <f t="shared" si="1"/>
        <v>3150</v>
      </c>
      <c r="M14" s="197"/>
      <c r="N14" s="197"/>
    </row>
    <row r="15" spans="1:15" ht="39.1" customHeight="1">
      <c r="A15" s="208">
        <v>11</v>
      </c>
      <c r="B15" s="231" t="s">
        <v>630</v>
      </c>
      <c r="C15" s="232">
        <v>4050</v>
      </c>
      <c r="D15" s="243" t="s">
        <v>267</v>
      </c>
      <c r="E15" s="228" t="s">
        <v>65</v>
      </c>
      <c r="F15" s="233" t="s">
        <v>1698</v>
      </c>
      <c r="G15" s="246" t="s">
        <v>1850</v>
      </c>
      <c r="H15" s="234" t="s">
        <v>277</v>
      </c>
      <c r="I15" s="233" t="s">
        <v>88</v>
      </c>
      <c r="J15" s="233" t="s">
        <v>524</v>
      </c>
      <c r="K15" s="198" t="s">
        <v>458</v>
      </c>
      <c r="L15" s="297">
        <f>C15</f>
        <v>4050</v>
      </c>
      <c r="M15" s="197"/>
      <c r="N15" s="197"/>
    </row>
    <row r="16" spans="1:15" ht="41.3" customHeight="1">
      <c r="A16" s="208">
        <v>12</v>
      </c>
      <c r="B16" s="247" t="s">
        <v>572</v>
      </c>
      <c r="C16" s="248">
        <v>2800</v>
      </c>
      <c r="D16" s="243" t="s">
        <v>267</v>
      </c>
      <c r="E16" s="237" t="s">
        <v>65</v>
      </c>
      <c r="F16" s="249" t="s">
        <v>1854</v>
      </c>
      <c r="G16" s="250" t="s">
        <v>1855</v>
      </c>
      <c r="H16" s="251" t="s">
        <v>277</v>
      </c>
      <c r="I16" s="249" t="s">
        <v>24</v>
      </c>
      <c r="J16" s="249" t="s">
        <v>24</v>
      </c>
      <c r="K16" s="240" t="s">
        <v>458</v>
      </c>
      <c r="L16" s="298">
        <f>C16</f>
        <v>2800</v>
      </c>
      <c r="M16" s="197"/>
      <c r="N16" s="197"/>
    </row>
    <row r="17" spans="1:14" ht="62.35" customHeight="1">
      <c r="A17" s="208">
        <v>13</v>
      </c>
      <c r="B17" s="241" t="s">
        <v>1697</v>
      </c>
      <c r="C17" s="242">
        <v>2850</v>
      </c>
      <c r="D17" s="243" t="s">
        <v>267</v>
      </c>
      <c r="E17" s="237" t="s">
        <v>65</v>
      </c>
      <c r="F17" s="249" t="s">
        <v>1698</v>
      </c>
      <c r="G17" s="252" t="s">
        <v>1856</v>
      </c>
      <c r="H17" s="244"/>
      <c r="I17" s="243" t="s">
        <v>22</v>
      </c>
      <c r="J17" s="243" t="s">
        <v>22</v>
      </c>
      <c r="K17" s="240" t="s">
        <v>458</v>
      </c>
      <c r="L17" s="298">
        <f t="shared" ref="L17:L56" si="2">C17</f>
        <v>2850</v>
      </c>
      <c r="M17" s="197"/>
      <c r="N17" s="197"/>
    </row>
    <row r="18" spans="1:14" ht="41.3" customHeight="1">
      <c r="A18" s="208">
        <v>14</v>
      </c>
      <c r="B18" s="241" t="s">
        <v>567</v>
      </c>
      <c r="C18" s="242">
        <v>3400</v>
      </c>
      <c r="D18" s="243" t="s">
        <v>267</v>
      </c>
      <c r="E18" s="237" t="s">
        <v>65</v>
      </c>
      <c r="F18" s="249" t="s">
        <v>1698</v>
      </c>
      <c r="G18" s="253" t="s">
        <v>1857</v>
      </c>
      <c r="H18" s="244"/>
      <c r="I18" s="243" t="s">
        <v>88</v>
      </c>
      <c r="J18" s="243" t="s">
        <v>524</v>
      </c>
      <c r="K18" s="240" t="s">
        <v>458</v>
      </c>
      <c r="L18" s="298">
        <f t="shared" si="2"/>
        <v>3400</v>
      </c>
      <c r="M18" s="197"/>
      <c r="N18" s="197"/>
    </row>
    <row r="19" spans="1:14" ht="63.7" customHeight="1">
      <c r="A19" s="208">
        <v>15</v>
      </c>
      <c r="B19" s="241" t="s">
        <v>1858</v>
      </c>
      <c r="C19" s="242">
        <v>2500</v>
      </c>
      <c r="D19" s="243" t="s">
        <v>267</v>
      </c>
      <c r="E19" s="237" t="s">
        <v>65</v>
      </c>
      <c r="F19" s="243" t="s">
        <v>1849</v>
      </c>
      <c r="G19" s="252" t="s">
        <v>1859</v>
      </c>
      <c r="H19" s="244"/>
      <c r="I19" s="243" t="s">
        <v>22</v>
      </c>
      <c r="J19" s="243" t="s">
        <v>22</v>
      </c>
      <c r="K19" s="240" t="s">
        <v>458</v>
      </c>
      <c r="L19" s="298">
        <f t="shared" si="2"/>
        <v>2500</v>
      </c>
      <c r="M19" s="197"/>
      <c r="N19" s="197"/>
    </row>
    <row r="20" spans="1:14" ht="38.25" customHeight="1">
      <c r="A20" s="208">
        <v>16</v>
      </c>
      <c r="B20" s="247" t="s">
        <v>1860</v>
      </c>
      <c r="C20" s="248">
        <v>3100</v>
      </c>
      <c r="D20" s="249" t="s">
        <v>267</v>
      </c>
      <c r="E20" s="221" t="s">
        <v>65</v>
      </c>
      <c r="F20" s="247" t="s">
        <v>508</v>
      </c>
      <c r="G20" s="250" t="s">
        <v>1861</v>
      </c>
      <c r="H20" s="254" t="s">
        <v>1862</v>
      </c>
      <c r="I20" s="249" t="s">
        <v>24</v>
      </c>
      <c r="J20" s="249" t="s">
        <v>24</v>
      </c>
      <c r="K20" s="240" t="s">
        <v>458</v>
      </c>
      <c r="L20" s="298">
        <f>C20</f>
        <v>3100</v>
      </c>
      <c r="M20" s="197"/>
      <c r="N20" s="197"/>
    </row>
    <row r="21" spans="1:14" ht="34.5" customHeight="1">
      <c r="A21" s="208">
        <v>17</v>
      </c>
      <c r="B21" s="247" t="s">
        <v>605</v>
      </c>
      <c r="C21" s="248">
        <v>3000</v>
      </c>
      <c r="D21" s="249" t="s">
        <v>267</v>
      </c>
      <c r="E21" s="221" t="s">
        <v>65</v>
      </c>
      <c r="F21" s="249" t="s">
        <v>1849</v>
      </c>
      <c r="G21" s="254" t="s">
        <v>1863</v>
      </c>
      <c r="H21" s="254"/>
      <c r="I21" s="249" t="s">
        <v>24</v>
      </c>
      <c r="J21" s="249" t="s">
        <v>24</v>
      </c>
      <c r="K21" s="215" t="s">
        <v>458</v>
      </c>
      <c r="L21" s="298">
        <f>C21</f>
        <v>3000</v>
      </c>
      <c r="M21" s="197"/>
      <c r="N21" s="197"/>
    </row>
    <row r="22" spans="1:14" ht="86.95" customHeight="1">
      <c r="A22" s="233">
        <v>18</v>
      </c>
      <c r="B22" s="247" t="s">
        <v>1864</v>
      </c>
      <c r="C22" s="248">
        <v>3000</v>
      </c>
      <c r="D22" s="249" t="s">
        <v>267</v>
      </c>
      <c r="E22" s="221" t="s">
        <v>65</v>
      </c>
      <c r="F22" s="249" t="s">
        <v>1737</v>
      </c>
      <c r="G22" s="255" t="s">
        <v>1865</v>
      </c>
      <c r="H22" s="255" t="s">
        <v>1866</v>
      </c>
      <c r="I22" s="249" t="s">
        <v>24</v>
      </c>
      <c r="J22" s="249" t="s">
        <v>24</v>
      </c>
      <c r="K22" s="215" t="s">
        <v>1569</v>
      </c>
      <c r="L22" s="299">
        <f>C22</f>
        <v>3000</v>
      </c>
      <c r="M22" s="197"/>
      <c r="N22" s="197"/>
    </row>
    <row r="23" spans="1:14" ht="41.95" customHeight="1">
      <c r="A23" s="233">
        <v>19</v>
      </c>
      <c r="B23" s="241" t="s">
        <v>1722</v>
      </c>
      <c r="C23" s="242">
        <v>3000</v>
      </c>
      <c r="D23" s="243" t="s">
        <v>267</v>
      </c>
      <c r="E23" s="221" t="s">
        <v>65</v>
      </c>
      <c r="F23" s="243" t="s">
        <v>117</v>
      </c>
      <c r="G23" s="252" t="s">
        <v>1867</v>
      </c>
      <c r="H23" s="252" t="s">
        <v>1868</v>
      </c>
      <c r="I23" s="243" t="s">
        <v>22</v>
      </c>
      <c r="J23" s="243" t="s">
        <v>22</v>
      </c>
      <c r="K23" s="218" t="s">
        <v>1564</v>
      </c>
      <c r="L23" s="300">
        <f>C23</f>
        <v>3000</v>
      </c>
      <c r="M23" s="197"/>
      <c r="N23" s="197"/>
    </row>
    <row r="24" spans="1:14" ht="55.55" customHeight="1">
      <c r="A24" s="233">
        <v>20</v>
      </c>
      <c r="B24" s="241" t="s">
        <v>581</v>
      </c>
      <c r="C24" s="242">
        <v>3500</v>
      </c>
      <c r="D24" s="243" t="s">
        <v>267</v>
      </c>
      <c r="E24" s="237" t="s">
        <v>65</v>
      </c>
      <c r="F24" s="243" t="s">
        <v>1698</v>
      </c>
      <c r="G24" s="252" t="s">
        <v>1869</v>
      </c>
      <c r="H24" s="252" t="s">
        <v>1870</v>
      </c>
      <c r="I24" s="243" t="s">
        <v>88</v>
      </c>
      <c r="J24" s="243" t="s">
        <v>18</v>
      </c>
      <c r="K24" s="240" t="s">
        <v>458</v>
      </c>
      <c r="L24" s="301">
        <f t="shared" si="2"/>
        <v>3500</v>
      </c>
      <c r="M24" s="197"/>
      <c r="N24" s="197"/>
    </row>
    <row r="25" spans="1:14" ht="64.55" customHeight="1">
      <c r="A25" s="243">
        <v>21</v>
      </c>
      <c r="B25" s="243" t="s">
        <v>679</v>
      </c>
      <c r="C25" s="242">
        <v>3800</v>
      </c>
      <c r="D25" s="243" t="s">
        <v>267</v>
      </c>
      <c r="E25" s="212" t="s">
        <v>65</v>
      </c>
      <c r="F25" s="243" t="s">
        <v>1000</v>
      </c>
      <c r="G25" s="214" t="s">
        <v>1871</v>
      </c>
      <c r="H25" s="244" t="s">
        <v>1872</v>
      </c>
      <c r="I25" s="243" t="s">
        <v>22</v>
      </c>
      <c r="J25" s="243" t="s">
        <v>22</v>
      </c>
      <c r="K25" s="262" t="s">
        <v>1873</v>
      </c>
      <c r="L25" s="300">
        <f t="shared" ref="L25:L36" si="3">C25</f>
        <v>3800</v>
      </c>
      <c r="M25" s="197"/>
      <c r="N25" s="197"/>
    </row>
    <row r="26" spans="1:14" ht="43.5" customHeight="1">
      <c r="A26" s="256">
        <v>22</v>
      </c>
      <c r="B26" s="257" t="s">
        <v>1874</v>
      </c>
      <c r="C26" s="258">
        <v>2000</v>
      </c>
      <c r="D26" s="243" t="s">
        <v>267</v>
      </c>
      <c r="E26" s="259" t="s">
        <v>65</v>
      </c>
      <c r="F26" s="243" t="s">
        <v>1849</v>
      </c>
      <c r="G26" s="260" t="s">
        <v>1875</v>
      </c>
      <c r="H26" s="260" t="s">
        <v>1876</v>
      </c>
      <c r="I26" s="261" t="s">
        <v>24</v>
      </c>
      <c r="J26" s="261" t="s">
        <v>24</v>
      </c>
      <c r="K26" s="262" t="s">
        <v>458</v>
      </c>
      <c r="L26" s="300">
        <f t="shared" si="3"/>
        <v>2000</v>
      </c>
      <c r="M26" s="197"/>
      <c r="N26" s="197"/>
    </row>
    <row r="27" spans="1:14" ht="44.35" customHeight="1">
      <c r="A27" s="243">
        <v>23</v>
      </c>
      <c r="B27" s="243" t="s">
        <v>1606</v>
      </c>
      <c r="C27" s="242">
        <v>3050</v>
      </c>
      <c r="D27" s="243" t="s">
        <v>267</v>
      </c>
      <c r="E27" s="212" t="s">
        <v>65</v>
      </c>
      <c r="F27" s="243" t="s">
        <v>1854</v>
      </c>
      <c r="G27" s="274" t="s">
        <v>1877</v>
      </c>
      <c r="H27" s="244" t="s">
        <v>1878</v>
      </c>
      <c r="I27" s="243" t="s">
        <v>26</v>
      </c>
      <c r="J27" s="243" t="s">
        <v>524</v>
      </c>
      <c r="K27" s="218" t="s">
        <v>458</v>
      </c>
      <c r="L27" s="300">
        <f t="shared" si="3"/>
        <v>3050</v>
      </c>
      <c r="M27" s="197"/>
      <c r="N27" s="197"/>
    </row>
    <row r="28" spans="1:14" ht="41.3" customHeight="1">
      <c r="A28" s="243">
        <v>24</v>
      </c>
      <c r="B28" s="243" t="s">
        <v>1015</v>
      </c>
      <c r="C28" s="242">
        <v>2300</v>
      </c>
      <c r="D28" s="243" t="s">
        <v>267</v>
      </c>
      <c r="E28" s="212" t="s">
        <v>65</v>
      </c>
      <c r="F28" s="243" t="s">
        <v>164</v>
      </c>
      <c r="G28" s="214" t="s">
        <v>1879</v>
      </c>
      <c r="H28" s="244"/>
      <c r="I28" s="243" t="s">
        <v>18</v>
      </c>
      <c r="J28" s="243" t="s">
        <v>18</v>
      </c>
      <c r="K28" s="218" t="s">
        <v>1569</v>
      </c>
      <c r="L28" s="300">
        <f t="shared" si="3"/>
        <v>2300</v>
      </c>
      <c r="M28" s="197"/>
      <c r="N28" s="197"/>
    </row>
    <row r="29" spans="1:14" ht="44.35" customHeight="1">
      <c r="A29" s="249">
        <v>25</v>
      </c>
      <c r="B29" s="249" t="s">
        <v>1880</v>
      </c>
      <c r="C29" s="248">
        <v>2600</v>
      </c>
      <c r="D29" s="249" t="s">
        <v>267</v>
      </c>
      <c r="E29" s="221" t="s">
        <v>65</v>
      </c>
      <c r="F29" s="249" t="s">
        <v>1167</v>
      </c>
      <c r="G29" s="250" t="s">
        <v>1881</v>
      </c>
      <c r="H29" s="263" t="s">
        <v>1882</v>
      </c>
      <c r="I29" s="249" t="s">
        <v>18</v>
      </c>
      <c r="J29" s="249" t="s">
        <v>18</v>
      </c>
      <c r="K29" s="218" t="s">
        <v>458</v>
      </c>
      <c r="L29" s="300">
        <f t="shared" si="3"/>
        <v>2600</v>
      </c>
      <c r="M29" s="197"/>
      <c r="N29" s="197"/>
    </row>
    <row r="30" spans="1:14" ht="62.35" customHeight="1">
      <c r="A30" s="243">
        <v>26</v>
      </c>
      <c r="B30" s="243" t="s">
        <v>622</v>
      </c>
      <c r="C30" s="242">
        <v>3600</v>
      </c>
      <c r="D30" s="249" t="s">
        <v>267</v>
      </c>
      <c r="E30" s="212" t="s">
        <v>65</v>
      </c>
      <c r="F30" s="243" t="s">
        <v>1000</v>
      </c>
      <c r="G30" s="252" t="s">
        <v>1883</v>
      </c>
      <c r="H30" s="252"/>
      <c r="I30" s="243" t="s">
        <v>22</v>
      </c>
      <c r="J30" s="243" t="s">
        <v>22</v>
      </c>
      <c r="K30" s="241" t="s">
        <v>1564</v>
      </c>
      <c r="L30" s="300">
        <f t="shared" si="3"/>
        <v>3600</v>
      </c>
      <c r="M30" s="197"/>
      <c r="N30" s="197"/>
    </row>
    <row r="31" spans="1:14" ht="68.3" customHeight="1">
      <c r="A31" s="249">
        <v>27</v>
      </c>
      <c r="B31" s="249" t="s">
        <v>1707</v>
      </c>
      <c r="C31" s="248">
        <v>4000</v>
      </c>
      <c r="D31" s="249" t="s">
        <v>267</v>
      </c>
      <c r="E31" s="221" t="s">
        <v>65</v>
      </c>
      <c r="F31" s="249" t="s">
        <v>1000</v>
      </c>
      <c r="G31" s="250" t="s">
        <v>1884</v>
      </c>
      <c r="H31" s="254" t="s">
        <v>1885</v>
      </c>
      <c r="I31" s="249" t="s">
        <v>22</v>
      </c>
      <c r="J31" s="249" t="s">
        <v>22</v>
      </c>
      <c r="K31" s="247" t="s">
        <v>1886</v>
      </c>
      <c r="L31" s="299">
        <f t="shared" si="3"/>
        <v>4000</v>
      </c>
      <c r="M31" s="197"/>
      <c r="N31" s="197"/>
    </row>
    <row r="32" spans="1:14" ht="42.8" customHeight="1">
      <c r="A32" s="243">
        <v>28</v>
      </c>
      <c r="B32" s="243" t="s">
        <v>1123</v>
      </c>
      <c r="C32" s="242">
        <v>4600</v>
      </c>
      <c r="D32" s="249" t="s">
        <v>267</v>
      </c>
      <c r="E32" s="212" t="s">
        <v>65</v>
      </c>
      <c r="F32" s="264" t="s">
        <v>1167</v>
      </c>
      <c r="G32" s="245" t="s">
        <v>1887</v>
      </c>
      <c r="H32" s="265" t="s">
        <v>1888</v>
      </c>
      <c r="I32" s="243" t="s">
        <v>22</v>
      </c>
      <c r="J32" s="243" t="s">
        <v>22</v>
      </c>
      <c r="K32" s="243" t="s">
        <v>1720</v>
      </c>
      <c r="L32" s="302">
        <f t="shared" si="3"/>
        <v>4600</v>
      </c>
      <c r="M32" s="197"/>
      <c r="N32" s="197"/>
    </row>
    <row r="33" spans="1:14" ht="72" customHeight="1">
      <c r="A33" s="243">
        <v>29</v>
      </c>
      <c r="B33" s="243" t="s">
        <v>1336</v>
      </c>
      <c r="C33" s="242">
        <v>3350</v>
      </c>
      <c r="D33" s="249" t="s">
        <v>267</v>
      </c>
      <c r="E33" s="212" t="s">
        <v>65</v>
      </c>
      <c r="F33" s="243" t="s">
        <v>1694</v>
      </c>
      <c r="G33" s="252" t="s">
        <v>1889</v>
      </c>
      <c r="H33" s="244"/>
      <c r="I33" s="243" t="s">
        <v>22</v>
      </c>
      <c r="J33" s="243" t="s">
        <v>22</v>
      </c>
      <c r="K33" s="243" t="s">
        <v>1564</v>
      </c>
      <c r="L33" s="302">
        <f t="shared" si="3"/>
        <v>3350</v>
      </c>
      <c r="M33" s="197"/>
      <c r="N33" s="197"/>
    </row>
    <row r="34" spans="1:14" ht="37.549999999999997" customHeight="1">
      <c r="A34" s="261">
        <v>30</v>
      </c>
      <c r="B34" s="261" t="s">
        <v>1890</v>
      </c>
      <c r="C34" s="258">
        <v>3950</v>
      </c>
      <c r="D34" s="249" t="s">
        <v>267</v>
      </c>
      <c r="E34" s="212" t="s">
        <v>65</v>
      </c>
      <c r="F34" s="243" t="s">
        <v>1167</v>
      </c>
      <c r="G34" s="260" t="s">
        <v>1891</v>
      </c>
      <c r="H34" s="267"/>
      <c r="I34" s="243" t="s">
        <v>22</v>
      </c>
      <c r="J34" s="261" t="s">
        <v>22</v>
      </c>
      <c r="K34" s="243" t="s">
        <v>1720</v>
      </c>
      <c r="L34" s="302">
        <f t="shared" si="3"/>
        <v>3950</v>
      </c>
      <c r="M34" s="197"/>
      <c r="N34" s="197"/>
    </row>
    <row r="35" spans="1:14" ht="63" customHeight="1">
      <c r="A35" s="243">
        <v>31</v>
      </c>
      <c r="B35" s="243" t="s">
        <v>1892</v>
      </c>
      <c r="C35" s="242">
        <v>4500</v>
      </c>
      <c r="D35" s="249" t="s">
        <v>267</v>
      </c>
      <c r="E35" s="212" t="s">
        <v>65</v>
      </c>
      <c r="F35" s="243" t="s">
        <v>66</v>
      </c>
      <c r="G35" s="260" t="s">
        <v>1893</v>
      </c>
      <c r="H35" s="266" t="s">
        <v>1894</v>
      </c>
      <c r="I35" s="243" t="s">
        <v>24</v>
      </c>
      <c r="J35" s="243" t="s">
        <v>24</v>
      </c>
      <c r="K35" s="243" t="s">
        <v>458</v>
      </c>
      <c r="L35" s="300">
        <f t="shared" si="3"/>
        <v>4500</v>
      </c>
      <c r="M35" s="197"/>
      <c r="N35" s="197"/>
    </row>
    <row r="36" spans="1:14" ht="39.75" customHeight="1">
      <c r="A36" s="268">
        <v>32</v>
      </c>
      <c r="B36" s="268" t="s">
        <v>1061</v>
      </c>
      <c r="C36" s="269">
        <v>3200</v>
      </c>
      <c r="D36" s="249" t="s">
        <v>267</v>
      </c>
      <c r="E36" s="221" t="s">
        <v>65</v>
      </c>
      <c r="F36" s="268" t="s">
        <v>1698</v>
      </c>
      <c r="G36" s="279" t="s">
        <v>1895</v>
      </c>
      <c r="H36" s="270"/>
      <c r="I36" s="268" t="s">
        <v>18</v>
      </c>
      <c r="J36" s="268" t="s">
        <v>18</v>
      </c>
      <c r="K36" s="249" t="s">
        <v>1720</v>
      </c>
      <c r="L36" s="299">
        <f t="shared" si="3"/>
        <v>3200</v>
      </c>
      <c r="M36" s="197"/>
      <c r="N36" s="197"/>
    </row>
    <row r="37" spans="1:14" ht="51.8" customHeight="1">
      <c r="A37" s="243">
        <v>33</v>
      </c>
      <c r="B37" s="243" t="s">
        <v>1565</v>
      </c>
      <c r="C37" s="242">
        <v>2000</v>
      </c>
      <c r="D37" s="243" t="s">
        <v>267</v>
      </c>
      <c r="E37" s="212" t="s">
        <v>65</v>
      </c>
      <c r="F37" s="243" t="s">
        <v>66</v>
      </c>
      <c r="G37" s="252" t="s">
        <v>1896</v>
      </c>
      <c r="H37" s="265" t="s">
        <v>1897</v>
      </c>
      <c r="I37" s="243" t="s">
        <v>88</v>
      </c>
      <c r="J37" s="243" t="s">
        <v>18</v>
      </c>
      <c r="K37" s="243" t="s">
        <v>1569</v>
      </c>
      <c r="L37" s="300">
        <f t="shared" si="2"/>
        <v>2000</v>
      </c>
      <c r="M37" s="197"/>
      <c r="N37" s="197"/>
    </row>
    <row r="38" spans="1:14" ht="43.5" customHeight="1">
      <c r="A38" s="243">
        <v>34</v>
      </c>
      <c r="B38" s="243" t="s">
        <v>826</v>
      </c>
      <c r="C38" s="242">
        <v>1830</v>
      </c>
      <c r="D38" s="243" t="s">
        <v>267</v>
      </c>
      <c r="E38" s="212" t="s">
        <v>65</v>
      </c>
      <c r="F38" s="243" t="s">
        <v>1854</v>
      </c>
      <c r="G38" s="252" t="s">
        <v>1898</v>
      </c>
      <c r="H38" s="244"/>
      <c r="I38" s="243" t="s">
        <v>26</v>
      </c>
      <c r="J38" s="243" t="s">
        <v>18</v>
      </c>
      <c r="K38" s="218" t="s">
        <v>458</v>
      </c>
      <c r="L38" s="300">
        <f t="shared" si="2"/>
        <v>1830</v>
      </c>
      <c r="M38" s="197"/>
      <c r="N38" s="197"/>
    </row>
    <row r="39" spans="1:14" ht="37.549999999999997" customHeight="1">
      <c r="A39" s="243">
        <v>35</v>
      </c>
      <c r="B39" s="87" t="s">
        <v>1899</v>
      </c>
      <c r="C39" s="242">
        <v>2878</v>
      </c>
      <c r="D39" s="243" t="s">
        <v>267</v>
      </c>
      <c r="E39" s="212" t="s">
        <v>65</v>
      </c>
      <c r="F39" s="243" t="s">
        <v>1900</v>
      </c>
      <c r="G39" s="252" t="s">
        <v>1901</v>
      </c>
      <c r="H39" s="254" t="s">
        <v>1902</v>
      </c>
      <c r="I39" s="243" t="s">
        <v>555</v>
      </c>
      <c r="J39" s="243" t="s">
        <v>18</v>
      </c>
      <c r="K39" s="243" t="s">
        <v>458</v>
      </c>
      <c r="L39" s="300">
        <f t="shared" si="2"/>
        <v>2878</v>
      </c>
      <c r="M39" s="197"/>
      <c r="N39" s="197"/>
    </row>
    <row r="40" spans="1:14" ht="63.7" customHeight="1">
      <c r="A40" s="243">
        <v>36</v>
      </c>
      <c r="B40" s="243" t="s">
        <v>1903</v>
      </c>
      <c r="C40" s="275">
        <v>4500</v>
      </c>
      <c r="D40" s="243" t="s">
        <v>267</v>
      </c>
      <c r="E40" s="212" t="s">
        <v>65</v>
      </c>
      <c r="F40" s="243" t="s">
        <v>106</v>
      </c>
      <c r="G40" s="276" t="s">
        <v>1904</v>
      </c>
      <c r="H40" s="277" t="s">
        <v>1905</v>
      </c>
      <c r="I40" s="243" t="s">
        <v>18</v>
      </c>
      <c r="J40" s="243" t="s">
        <v>18</v>
      </c>
      <c r="K40" s="249" t="s">
        <v>1778</v>
      </c>
      <c r="L40" s="300">
        <f t="shared" si="2"/>
        <v>4500</v>
      </c>
      <c r="M40" s="197"/>
      <c r="N40" s="197"/>
    </row>
    <row r="41" spans="1:14" ht="45" customHeight="1">
      <c r="A41" s="249">
        <v>37</v>
      </c>
      <c r="B41" s="249" t="s">
        <v>1624</v>
      </c>
      <c r="C41" s="248">
        <v>2450</v>
      </c>
      <c r="D41" s="243" t="s">
        <v>267</v>
      </c>
      <c r="E41" s="221" t="s">
        <v>65</v>
      </c>
      <c r="F41" s="249" t="s">
        <v>1906</v>
      </c>
      <c r="G41" s="254" t="s">
        <v>1898</v>
      </c>
      <c r="H41" s="254" t="s">
        <v>1902</v>
      </c>
      <c r="I41" s="249" t="s">
        <v>88</v>
      </c>
      <c r="J41" s="273" t="s">
        <v>524</v>
      </c>
      <c r="K41" s="243" t="s">
        <v>458</v>
      </c>
      <c r="L41" s="303">
        <f t="shared" si="2"/>
        <v>2450</v>
      </c>
      <c r="M41" s="197"/>
      <c r="N41" s="197"/>
    </row>
    <row r="42" spans="1:14" ht="59.3" customHeight="1">
      <c r="A42" s="249">
        <v>38</v>
      </c>
      <c r="B42" s="249" t="s">
        <v>1254</v>
      </c>
      <c r="C42" s="248">
        <v>4500</v>
      </c>
      <c r="D42" s="243" t="s">
        <v>267</v>
      </c>
      <c r="E42" s="221" t="s">
        <v>65</v>
      </c>
      <c r="F42" s="249" t="s">
        <v>1698</v>
      </c>
      <c r="G42" s="250" t="s">
        <v>1907</v>
      </c>
      <c r="H42" s="255" t="s">
        <v>1908</v>
      </c>
      <c r="I42" s="273" t="s">
        <v>24</v>
      </c>
      <c r="J42" s="273" t="s">
        <v>24</v>
      </c>
      <c r="K42" s="249" t="s">
        <v>458</v>
      </c>
      <c r="L42" s="303">
        <f t="shared" si="2"/>
        <v>4500</v>
      </c>
      <c r="M42" s="197"/>
      <c r="N42" s="197"/>
    </row>
    <row r="43" spans="1:14" ht="93.75" customHeight="1">
      <c r="A43" s="249">
        <v>39</v>
      </c>
      <c r="B43" s="249" t="s">
        <v>674</v>
      </c>
      <c r="C43" s="248">
        <v>4700</v>
      </c>
      <c r="D43" s="243" t="s">
        <v>267</v>
      </c>
      <c r="E43" s="221" t="s">
        <v>65</v>
      </c>
      <c r="F43" s="249" t="s">
        <v>1854</v>
      </c>
      <c r="G43" s="250" t="s">
        <v>1909</v>
      </c>
      <c r="H43" s="250"/>
      <c r="I43" s="273" t="s">
        <v>18</v>
      </c>
      <c r="J43" s="273" t="s">
        <v>18</v>
      </c>
      <c r="K43" s="249" t="s">
        <v>1910</v>
      </c>
      <c r="L43" s="303">
        <f t="shared" si="2"/>
        <v>4700</v>
      </c>
      <c r="M43" s="197"/>
      <c r="N43" s="197"/>
    </row>
    <row r="44" spans="1:14" ht="84.1" customHeight="1">
      <c r="A44" s="243">
        <v>40</v>
      </c>
      <c r="B44" s="243" t="s">
        <v>1420</v>
      </c>
      <c r="C44" s="242">
        <v>3150</v>
      </c>
      <c r="D44" s="243" t="s">
        <v>267</v>
      </c>
      <c r="E44" s="221" t="s">
        <v>65</v>
      </c>
      <c r="F44" s="241" t="s">
        <v>106</v>
      </c>
      <c r="G44" s="214" t="s">
        <v>1911</v>
      </c>
      <c r="H44" s="252" t="s">
        <v>1912</v>
      </c>
      <c r="I44" s="243" t="s">
        <v>18</v>
      </c>
      <c r="J44" s="243" t="s">
        <v>18</v>
      </c>
      <c r="K44" s="243" t="s">
        <v>1913</v>
      </c>
      <c r="L44" s="303">
        <f t="shared" si="2"/>
        <v>3150</v>
      </c>
      <c r="M44" s="197"/>
      <c r="N44" s="197"/>
    </row>
    <row r="45" spans="1:14" ht="84.1" customHeight="1">
      <c r="A45" s="243">
        <v>41</v>
      </c>
      <c r="B45" s="243" t="s">
        <v>1914</v>
      </c>
      <c r="C45" s="242">
        <v>3000</v>
      </c>
      <c r="D45" s="243" t="s">
        <v>267</v>
      </c>
      <c r="E45" s="221" t="s">
        <v>65</v>
      </c>
      <c r="F45" s="241" t="s">
        <v>117</v>
      </c>
      <c r="G45" s="214" t="s">
        <v>1915</v>
      </c>
      <c r="H45" s="252" t="s">
        <v>1916</v>
      </c>
      <c r="I45" s="243" t="s">
        <v>24</v>
      </c>
      <c r="J45" s="243" t="s">
        <v>24</v>
      </c>
      <c r="K45" s="243" t="s">
        <v>1569</v>
      </c>
      <c r="L45" s="303">
        <f>C45</f>
        <v>3000</v>
      </c>
      <c r="M45" s="197"/>
      <c r="N45" s="197"/>
    </row>
    <row r="46" spans="1:14" s="272" customFormat="1" ht="67.599999999999994" customHeight="1">
      <c r="A46" s="243">
        <v>42</v>
      </c>
      <c r="B46" s="243" t="s">
        <v>1735</v>
      </c>
      <c r="C46" s="243">
        <v>2950</v>
      </c>
      <c r="D46" s="243" t="s">
        <v>267</v>
      </c>
      <c r="E46" s="243" t="s">
        <v>65</v>
      </c>
      <c r="F46" s="243" t="s">
        <v>1000</v>
      </c>
      <c r="G46" s="214" t="s">
        <v>1917</v>
      </c>
      <c r="H46" s="283"/>
      <c r="I46" s="243" t="s">
        <v>22</v>
      </c>
      <c r="J46" s="243" t="s">
        <v>22</v>
      </c>
      <c r="K46" s="243" t="s">
        <v>458</v>
      </c>
      <c r="L46" s="304">
        <f t="shared" si="2"/>
        <v>2950</v>
      </c>
    </row>
    <row r="47" spans="1:14" ht="84.1" customHeight="1">
      <c r="A47" s="243">
        <v>43</v>
      </c>
      <c r="B47" s="243" t="s">
        <v>1710</v>
      </c>
      <c r="C47" s="242">
        <v>3000</v>
      </c>
      <c r="D47" s="243" t="s">
        <v>267</v>
      </c>
      <c r="E47" s="221" t="s">
        <v>65</v>
      </c>
      <c r="F47" s="241" t="s">
        <v>294</v>
      </c>
      <c r="G47" s="214" t="s">
        <v>1918</v>
      </c>
      <c r="H47" s="252" t="s">
        <v>1919</v>
      </c>
      <c r="I47" s="243" t="s">
        <v>18</v>
      </c>
      <c r="J47" s="243" t="s">
        <v>18</v>
      </c>
      <c r="K47" s="288" t="s">
        <v>1569</v>
      </c>
      <c r="L47" s="300">
        <f t="shared" si="2"/>
        <v>3000</v>
      </c>
      <c r="M47" s="197"/>
      <c r="N47" s="197"/>
    </row>
    <row r="48" spans="1:14" ht="31.6" customHeight="1">
      <c r="A48" s="249">
        <v>44</v>
      </c>
      <c r="B48" s="249" t="s">
        <v>1818</v>
      </c>
      <c r="C48" s="248">
        <v>1800</v>
      </c>
      <c r="D48" s="273" t="s">
        <v>1920</v>
      </c>
      <c r="E48" s="221" t="s">
        <v>65</v>
      </c>
      <c r="F48" s="243" t="s">
        <v>117</v>
      </c>
      <c r="G48" s="319" t="s">
        <v>1915</v>
      </c>
      <c r="H48" s="263" t="s">
        <v>1921</v>
      </c>
      <c r="I48" s="249" t="s">
        <v>18</v>
      </c>
      <c r="J48" s="249" t="s">
        <v>18</v>
      </c>
      <c r="K48" s="273" t="s">
        <v>1569</v>
      </c>
      <c r="L48" s="300">
        <f t="shared" si="2"/>
        <v>1800</v>
      </c>
      <c r="M48" s="197"/>
      <c r="N48" s="197"/>
    </row>
    <row r="49" spans="1:12" ht="56.25" customHeight="1">
      <c r="A49" s="284">
        <v>45</v>
      </c>
      <c r="B49" s="91" t="s">
        <v>1922</v>
      </c>
      <c r="C49" s="120">
        <v>2300</v>
      </c>
      <c r="D49" s="115" t="s">
        <v>354</v>
      </c>
      <c r="E49" s="221" t="s">
        <v>65</v>
      </c>
      <c r="F49" s="249" t="s">
        <v>462</v>
      </c>
      <c r="G49" s="285" t="s">
        <v>1923</v>
      </c>
      <c r="H49" s="286" t="s">
        <v>1924</v>
      </c>
      <c r="I49" s="91" t="s">
        <v>18</v>
      </c>
      <c r="J49" s="91" t="s">
        <v>18</v>
      </c>
      <c r="K49" s="115" t="s">
        <v>1569</v>
      </c>
      <c r="L49" s="300">
        <f t="shared" si="2"/>
        <v>2300</v>
      </c>
    </row>
    <row r="50" spans="1:12" s="287" customFormat="1" ht="67.599999999999994" customHeight="1">
      <c r="A50" s="243">
        <v>46</v>
      </c>
      <c r="B50" s="243" t="s">
        <v>987</v>
      </c>
      <c r="C50" s="243">
        <v>3200</v>
      </c>
      <c r="D50" s="243" t="s">
        <v>267</v>
      </c>
      <c r="E50" s="243" t="s">
        <v>65</v>
      </c>
      <c r="F50" s="243" t="s">
        <v>1698</v>
      </c>
      <c r="G50" s="252" t="s">
        <v>1925</v>
      </c>
      <c r="H50" s="264"/>
      <c r="I50" s="243" t="s">
        <v>22</v>
      </c>
      <c r="J50" s="243" t="s">
        <v>22</v>
      </c>
      <c r="K50" s="288" t="s">
        <v>1778</v>
      </c>
      <c r="L50" s="305">
        <f t="shared" si="2"/>
        <v>3200</v>
      </c>
    </row>
    <row r="51" spans="1:12" ht="63.7" customHeight="1">
      <c r="A51" s="289">
        <v>47</v>
      </c>
      <c r="B51" s="87" t="s">
        <v>1077</v>
      </c>
      <c r="C51" s="94">
        <v>3200</v>
      </c>
      <c r="D51" s="243" t="s">
        <v>267</v>
      </c>
      <c r="E51" s="221" t="s">
        <v>65</v>
      </c>
      <c r="F51" s="87" t="s">
        <v>1698</v>
      </c>
      <c r="G51" s="146" t="s">
        <v>1926</v>
      </c>
      <c r="H51" s="290" t="s">
        <v>1927</v>
      </c>
      <c r="I51" s="154" t="s">
        <v>88</v>
      </c>
      <c r="J51" s="87" t="s">
        <v>524</v>
      </c>
      <c r="K51" s="87" t="s">
        <v>458</v>
      </c>
      <c r="L51" s="306">
        <f>C51</f>
        <v>3200</v>
      </c>
    </row>
    <row r="52" spans="1:12" ht="57.75" customHeight="1">
      <c r="A52" s="284">
        <v>48</v>
      </c>
      <c r="B52" s="91" t="s">
        <v>1928</v>
      </c>
      <c r="C52" s="120">
        <v>3500</v>
      </c>
      <c r="D52" s="243" t="s">
        <v>267</v>
      </c>
      <c r="E52" s="91" t="s">
        <v>65</v>
      </c>
      <c r="F52" s="91" t="s">
        <v>462</v>
      </c>
      <c r="G52" s="123" t="s">
        <v>1929</v>
      </c>
      <c r="H52" s="291" t="s">
        <v>1930</v>
      </c>
      <c r="I52" s="91" t="s">
        <v>26</v>
      </c>
      <c r="J52" s="91" t="s">
        <v>524</v>
      </c>
      <c r="K52" s="91" t="s">
        <v>1778</v>
      </c>
      <c r="L52" s="299">
        <f>C52</f>
        <v>3500</v>
      </c>
    </row>
    <row r="53" spans="1:12" s="287" customFormat="1" ht="67.599999999999994" customHeight="1">
      <c r="A53" s="243">
        <v>49</v>
      </c>
      <c r="B53" s="243" t="s">
        <v>1443</v>
      </c>
      <c r="C53" s="243">
        <v>3150</v>
      </c>
      <c r="D53" s="243" t="s">
        <v>267</v>
      </c>
      <c r="E53" s="243" t="s">
        <v>65</v>
      </c>
      <c r="F53" s="243" t="s">
        <v>106</v>
      </c>
      <c r="G53" s="252" t="s">
        <v>1923</v>
      </c>
      <c r="H53" s="264" t="s">
        <v>1931</v>
      </c>
      <c r="I53" s="243" t="s">
        <v>24</v>
      </c>
      <c r="J53" s="243" t="s">
        <v>24</v>
      </c>
      <c r="K53" s="288" t="s">
        <v>1778</v>
      </c>
      <c r="L53" s="305">
        <f t="shared" si="2"/>
        <v>3150</v>
      </c>
    </row>
    <row r="54" spans="1:12" ht="99" customHeight="1">
      <c r="A54" s="284">
        <v>50</v>
      </c>
      <c r="B54" s="91" t="s">
        <v>679</v>
      </c>
      <c r="C54" s="120">
        <v>3800</v>
      </c>
      <c r="D54" s="91" t="s">
        <v>267</v>
      </c>
      <c r="E54" s="91" t="s">
        <v>65</v>
      </c>
      <c r="F54" s="91" t="s">
        <v>213</v>
      </c>
      <c r="G54" s="184" t="s">
        <v>1932</v>
      </c>
      <c r="H54" s="184" t="s">
        <v>1933</v>
      </c>
      <c r="I54" s="180" t="s">
        <v>22</v>
      </c>
      <c r="J54" s="91" t="s">
        <v>22</v>
      </c>
      <c r="K54" s="91" t="s">
        <v>458</v>
      </c>
      <c r="L54" s="308">
        <f>C54</f>
        <v>3800</v>
      </c>
    </row>
    <row r="55" spans="1:12" ht="67.599999999999994" customHeight="1">
      <c r="A55" s="284">
        <v>51</v>
      </c>
      <c r="B55" s="91" t="s">
        <v>1557</v>
      </c>
      <c r="C55" s="120">
        <v>3000</v>
      </c>
      <c r="D55" s="91" t="s">
        <v>267</v>
      </c>
      <c r="E55" s="91" t="s">
        <v>65</v>
      </c>
      <c r="F55" s="91" t="s">
        <v>142</v>
      </c>
      <c r="G55" s="122" t="s">
        <v>1934</v>
      </c>
      <c r="H55" s="122"/>
      <c r="I55" s="91" t="s">
        <v>24</v>
      </c>
      <c r="J55" s="91" t="s">
        <v>24</v>
      </c>
      <c r="K55" s="91" t="s">
        <v>458</v>
      </c>
      <c r="L55" s="308">
        <f>C55</f>
        <v>3000</v>
      </c>
    </row>
    <row r="56" spans="1:12" ht="86.95" customHeight="1">
      <c r="A56" s="309">
        <v>52</v>
      </c>
      <c r="B56" s="310" t="s">
        <v>1935</v>
      </c>
      <c r="C56" s="311">
        <v>2100</v>
      </c>
      <c r="D56" s="310" t="s">
        <v>267</v>
      </c>
      <c r="E56" s="312" t="s">
        <v>65</v>
      </c>
      <c r="F56" s="310" t="s">
        <v>462</v>
      </c>
      <c r="G56" s="323" t="s">
        <v>1936</v>
      </c>
      <c r="H56" s="313" t="s">
        <v>1937</v>
      </c>
      <c r="I56" s="314" t="s">
        <v>18</v>
      </c>
      <c r="J56" s="310" t="s">
        <v>18</v>
      </c>
      <c r="K56" s="315" t="s">
        <v>1569</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2" priority="360"/>
  </conditionalFormatting>
  <conditionalFormatting sqref="A5:A10">
    <cfRule type="duplicateValues" dxfId="681" priority="348"/>
  </conditionalFormatting>
  <conditionalFormatting sqref="A25:A26">
    <cfRule type="duplicateValues" dxfId="680" priority="6"/>
  </conditionalFormatting>
  <conditionalFormatting sqref="A43">
    <cfRule type="duplicateValues" dxfId="679" priority="5"/>
  </conditionalFormatting>
  <conditionalFormatting sqref="A45">
    <cfRule type="duplicateValues" dxfId="678" priority="4"/>
  </conditionalFormatting>
  <conditionalFormatting sqref="A47">
    <cfRule type="duplicateValues" dxfId="677" priority="3"/>
  </conditionalFormatting>
  <conditionalFormatting sqref="A54:A55">
    <cfRule type="duplicateValues" dxfId="676" priority="1"/>
  </conditionalFormatting>
  <conditionalFormatting sqref="B3:B4">
    <cfRule type="duplicateValues" dxfId="675" priority="17"/>
    <cfRule type="duplicateValues" dxfId="674" priority="18"/>
    <cfRule type="duplicateValues" dxfId="673"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4.375" style="1" bestFit="1" customWidth="1"/>
    <col min="7" max="7" width="60.37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704"/>
      <c r="D1" s="3704"/>
      <c r="E1" s="3704"/>
      <c r="F1" s="3704"/>
      <c r="G1" s="3704"/>
      <c r="H1" s="3704"/>
    </row>
    <row r="2" spans="1:15" ht="41.3" customHeight="1">
      <c r="A2" s="3719" t="s">
        <v>1938</v>
      </c>
      <c r="B2" s="3720"/>
      <c r="C2" s="3720"/>
      <c r="D2" s="3720"/>
      <c r="E2" s="3720"/>
      <c r="F2" s="3720"/>
      <c r="G2" s="3720"/>
      <c r="H2" s="3721"/>
      <c r="I2" s="46"/>
      <c r="J2" s="46"/>
      <c r="K2" s="47"/>
      <c r="L2" s="46"/>
      <c r="M2" s="4"/>
    </row>
    <row r="3" spans="1:15" ht="23.95" customHeight="1">
      <c r="A3" s="41"/>
      <c r="B3" s="48"/>
      <c r="C3" s="49">
        <f>SUBTOTAL(9,C5:C965)</f>
        <v>26160</v>
      </c>
      <c r="D3" s="50"/>
      <c r="E3" s="50"/>
      <c r="F3" s="48"/>
      <c r="G3" s="51"/>
      <c r="H3" s="3722">
        <f ca="1">TODAY()</f>
        <v>45988</v>
      </c>
      <c r="I3" s="3722"/>
      <c r="J3" s="1198"/>
      <c r="K3" s="1198"/>
      <c r="L3" s="52"/>
    </row>
    <row r="4" spans="1:15" s="7" customFormat="1" ht="36.700000000000003">
      <c r="A4" s="53" t="s">
        <v>48</v>
      </c>
      <c r="B4" s="53" t="s">
        <v>1425</v>
      </c>
      <c r="C4" s="54" t="s">
        <v>50</v>
      </c>
      <c r="D4" s="53" t="s">
        <v>51</v>
      </c>
      <c r="E4" s="53" t="s">
        <v>55</v>
      </c>
      <c r="F4" s="53" t="s">
        <v>56</v>
      </c>
      <c r="G4" s="55" t="s">
        <v>57</v>
      </c>
      <c r="H4" s="53" t="s">
        <v>58</v>
      </c>
      <c r="I4" s="53" t="s">
        <v>52</v>
      </c>
      <c r="J4" s="53" t="s">
        <v>1094</v>
      </c>
      <c r="K4" s="53" t="s">
        <v>1256</v>
      </c>
      <c r="L4" s="54" t="s">
        <v>1939</v>
      </c>
      <c r="M4" s="53" t="s">
        <v>382</v>
      </c>
    </row>
    <row r="5" spans="1:15" ht="55.05" hidden="1">
      <c r="A5" s="17">
        <v>1</v>
      </c>
      <c r="B5" s="14" t="s">
        <v>1940</v>
      </c>
      <c r="C5" s="15">
        <v>3600</v>
      </c>
      <c r="D5" s="13" t="s">
        <v>1941</v>
      </c>
      <c r="E5" s="17" t="s">
        <v>65</v>
      </c>
      <c r="F5" s="14" t="s">
        <v>213</v>
      </c>
      <c r="G5" s="19" t="s">
        <v>1942</v>
      </c>
      <c r="H5" s="16" t="s">
        <v>1943</v>
      </c>
      <c r="I5" s="14" t="s">
        <v>18</v>
      </c>
      <c r="J5" s="14" t="s">
        <v>18</v>
      </c>
      <c r="K5" s="17" t="s">
        <v>458</v>
      </c>
      <c r="L5" s="59">
        <f t="shared" ref="L5:L30" si="0">C5</f>
        <v>3600</v>
      </c>
      <c r="M5" s="41" t="s">
        <v>22</v>
      </c>
      <c r="N5" s="37">
        <f>SUMIF($I:$I,M5,L:L)</f>
        <v>62970</v>
      </c>
      <c r="O5" s="4"/>
    </row>
    <row r="6" spans="1:15" hidden="1">
      <c r="A6" s="17">
        <v>2</v>
      </c>
      <c r="B6" s="17" t="s">
        <v>983</v>
      </c>
      <c r="C6" s="24">
        <v>3650</v>
      </c>
      <c r="D6" s="13" t="s">
        <v>1941</v>
      </c>
      <c r="E6" s="17" t="s">
        <v>65</v>
      </c>
      <c r="F6" s="17" t="s">
        <v>213</v>
      </c>
      <c r="G6" s="21" t="s">
        <v>1944</v>
      </c>
      <c r="H6" s="56" t="s">
        <v>1945</v>
      </c>
      <c r="I6" s="17" t="s">
        <v>24</v>
      </c>
      <c r="J6" s="17" t="s">
        <v>24</v>
      </c>
      <c r="K6" s="17" t="s">
        <v>458</v>
      </c>
      <c r="L6" s="59">
        <f t="shared" si="0"/>
        <v>3650</v>
      </c>
      <c r="M6" s="41" t="s">
        <v>24</v>
      </c>
      <c r="N6" s="37">
        <f>SUMIF($I:$I,M6,L:L)</f>
        <v>52915</v>
      </c>
    </row>
    <row r="7" spans="1:15" ht="55.05">
      <c r="A7" s="17">
        <v>3</v>
      </c>
      <c r="B7" s="17" t="s">
        <v>1815</v>
      </c>
      <c r="C7" s="20">
        <v>2630</v>
      </c>
      <c r="D7" s="13" t="s">
        <v>1946</v>
      </c>
      <c r="E7" s="17" t="s">
        <v>65</v>
      </c>
      <c r="F7" s="17" t="s">
        <v>213</v>
      </c>
      <c r="G7" s="21" t="s">
        <v>1947</v>
      </c>
      <c r="H7" s="22"/>
      <c r="I7" s="17" t="s">
        <v>88</v>
      </c>
      <c r="J7" s="17" t="s">
        <v>524</v>
      </c>
      <c r="K7" s="23" t="s">
        <v>458</v>
      </c>
      <c r="L7" s="59">
        <f t="shared" si="0"/>
        <v>2630</v>
      </c>
      <c r="M7" s="38" t="s">
        <v>26</v>
      </c>
      <c r="N7" s="37">
        <f>SUMIF($I:$I,M7,L:L)</f>
        <v>23000</v>
      </c>
    </row>
    <row r="8" spans="1:15" ht="73.400000000000006" hidden="1">
      <c r="A8" s="17">
        <v>4</v>
      </c>
      <c r="B8" s="17" t="s">
        <v>1254</v>
      </c>
      <c r="C8" s="20">
        <v>4500</v>
      </c>
      <c r="D8" s="17" t="s">
        <v>1948</v>
      </c>
      <c r="E8" s="17" t="s">
        <v>65</v>
      </c>
      <c r="F8" s="17" t="s">
        <v>213</v>
      </c>
      <c r="G8" s="21" t="s">
        <v>1949</v>
      </c>
      <c r="H8" s="22"/>
      <c r="I8" s="17" t="s">
        <v>22</v>
      </c>
      <c r="J8" s="17" t="s">
        <v>22</v>
      </c>
      <c r="K8" s="23" t="s">
        <v>458</v>
      </c>
      <c r="L8" s="59">
        <f t="shared" si="0"/>
        <v>4500</v>
      </c>
      <c r="M8" s="41" t="s">
        <v>18</v>
      </c>
      <c r="N8" s="37">
        <f>SUMIF($I:$I,M8,L:L)</f>
        <v>50800</v>
      </c>
    </row>
    <row r="9" spans="1:15" hidden="1">
      <c r="A9" s="17">
        <v>5</v>
      </c>
      <c r="B9" s="17" t="s">
        <v>1950</v>
      </c>
      <c r="C9" s="20">
        <v>2000</v>
      </c>
      <c r="D9" s="17" t="s">
        <v>1941</v>
      </c>
      <c r="E9" s="17" t="s">
        <v>65</v>
      </c>
      <c r="F9" s="17" t="s">
        <v>213</v>
      </c>
      <c r="G9" s="21" t="s">
        <v>1951</v>
      </c>
      <c r="H9" s="22"/>
      <c r="I9" s="17" t="s">
        <v>24</v>
      </c>
      <c r="J9" s="17" t="s">
        <v>24</v>
      </c>
      <c r="K9" s="23" t="s">
        <v>458</v>
      </c>
      <c r="L9" s="59">
        <f t="shared" si="0"/>
        <v>2000</v>
      </c>
      <c r="M9" s="38" t="s">
        <v>88</v>
      </c>
      <c r="N9" s="37">
        <f>SUMIF($I:$I,M9,L:L)</f>
        <v>26160</v>
      </c>
    </row>
    <row r="10" spans="1:15" ht="91.7" hidden="1">
      <c r="A10" s="17">
        <v>6</v>
      </c>
      <c r="B10" s="17" t="s">
        <v>1952</v>
      </c>
      <c r="C10" s="24">
        <v>3900</v>
      </c>
      <c r="D10" s="17" t="s">
        <v>1948</v>
      </c>
      <c r="E10" s="17" t="s">
        <v>65</v>
      </c>
      <c r="F10" s="17" t="s">
        <v>213</v>
      </c>
      <c r="G10" s="25" t="s">
        <v>1953</v>
      </c>
      <c r="H10" s="21" t="s">
        <v>1954</v>
      </c>
      <c r="I10" s="20" t="s">
        <v>18</v>
      </c>
      <c r="J10" s="20" t="s">
        <v>18</v>
      </c>
      <c r="K10" s="23" t="s">
        <v>458</v>
      </c>
      <c r="L10" s="18">
        <f t="shared" si="0"/>
        <v>3900</v>
      </c>
    </row>
    <row r="11" spans="1:15" ht="36.700000000000003">
      <c r="A11" s="17">
        <v>7</v>
      </c>
      <c r="B11" s="17" t="s">
        <v>1624</v>
      </c>
      <c r="C11" s="24">
        <v>2450</v>
      </c>
      <c r="D11" s="17" t="s">
        <v>1955</v>
      </c>
      <c r="E11" s="17" t="s">
        <v>65</v>
      </c>
      <c r="F11" s="17" t="s">
        <v>213</v>
      </c>
      <c r="G11" s="25" t="s">
        <v>1956</v>
      </c>
      <c r="H11" s="21" t="s">
        <v>1957</v>
      </c>
      <c r="I11" s="20" t="s">
        <v>88</v>
      </c>
      <c r="J11" s="20" t="s">
        <v>524</v>
      </c>
      <c r="K11" s="23" t="s">
        <v>458</v>
      </c>
      <c r="L11" s="18">
        <f t="shared" si="0"/>
        <v>2450</v>
      </c>
    </row>
    <row r="12" spans="1:15" ht="91.7" hidden="1">
      <c r="A12" s="17">
        <v>8</v>
      </c>
      <c r="B12" s="17" t="s">
        <v>1958</v>
      </c>
      <c r="C12" s="24">
        <v>4000</v>
      </c>
      <c r="D12" s="17" t="s">
        <v>1955</v>
      </c>
      <c r="E12" s="17" t="s">
        <v>65</v>
      </c>
      <c r="F12" s="17" t="s">
        <v>213</v>
      </c>
      <c r="G12" s="25" t="s">
        <v>1959</v>
      </c>
      <c r="H12" s="21" t="s">
        <v>1960</v>
      </c>
      <c r="I12" s="20" t="s">
        <v>22</v>
      </c>
      <c r="J12" s="20" t="s">
        <v>22</v>
      </c>
      <c r="K12" s="23" t="s">
        <v>1961</v>
      </c>
      <c r="L12" s="18">
        <f t="shared" si="0"/>
        <v>4000</v>
      </c>
    </row>
    <row r="13" spans="1:15" ht="55.05" hidden="1">
      <c r="A13" s="17">
        <v>9</v>
      </c>
      <c r="B13" s="17" t="s">
        <v>674</v>
      </c>
      <c r="C13" s="24">
        <v>4800</v>
      </c>
      <c r="D13" s="17" t="s">
        <v>1962</v>
      </c>
      <c r="E13" s="17" t="s">
        <v>65</v>
      </c>
      <c r="F13" s="17" t="s">
        <v>213</v>
      </c>
      <c r="G13" s="25" t="s">
        <v>1963</v>
      </c>
      <c r="H13" s="21" t="s">
        <v>1964</v>
      </c>
      <c r="I13" s="20" t="s">
        <v>18</v>
      </c>
      <c r="J13" s="20" t="s">
        <v>18</v>
      </c>
      <c r="K13" s="23" t="s">
        <v>1961</v>
      </c>
      <c r="L13" s="18">
        <f t="shared" si="0"/>
        <v>4800</v>
      </c>
    </row>
    <row r="14" spans="1:15" hidden="1">
      <c r="A14" s="17">
        <v>10</v>
      </c>
      <c r="B14" s="17" t="s">
        <v>1420</v>
      </c>
      <c r="C14" s="24">
        <v>3200</v>
      </c>
      <c r="D14" s="17" t="s">
        <v>1965</v>
      </c>
      <c r="E14" s="17" t="s">
        <v>65</v>
      </c>
      <c r="F14" s="17" t="s">
        <v>213</v>
      </c>
      <c r="G14" s="25" t="s">
        <v>1966</v>
      </c>
      <c r="H14" s="22" t="s">
        <v>1967</v>
      </c>
      <c r="I14" s="20" t="s">
        <v>24</v>
      </c>
      <c r="J14" s="20" t="s">
        <v>24</v>
      </c>
      <c r="K14" s="23" t="s">
        <v>458</v>
      </c>
      <c r="L14" s="18">
        <f t="shared" si="0"/>
        <v>3200</v>
      </c>
    </row>
    <row r="15" spans="1:15" ht="45" hidden="1" customHeight="1">
      <c r="A15" s="17">
        <v>12</v>
      </c>
      <c r="B15" s="17" t="s">
        <v>1672</v>
      </c>
      <c r="C15" s="24">
        <v>4000</v>
      </c>
      <c r="D15" s="17" t="s">
        <v>1968</v>
      </c>
      <c r="E15" s="17" t="s">
        <v>65</v>
      </c>
      <c r="F15" s="17" t="s">
        <v>106</v>
      </c>
      <c r="G15" s="25" t="s">
        <v>1969</v>
      </c>
      <c r="H15" s="21" t="s">
        <v>1970</v>
      </c>
      <c r="I15" s="20" t="s">
        <v>24</v>
      </c>
      <c r="J15" s="20" t="s">
        <v>24</v>
      </c>
      <c r="K15" s="23" t="s">
        <v>458</v>
      </c>
      <c r="L15" s="18">
        <f t="shared" si="0"/>
        <v>4000</v>
      </c>
    </row>
    <row r="16" spans="1:15" ht="34.5" customHeight="1">
      <c r="A16" s="17">
        <v>13</v>
      </c>
      <c r="B16" s="17" t="s">
        <v>567</v>
      </c>
      <c r="C16" s="24">
        <v>3400</v>
      </c>
      <c r="D16" s="17" t="s">
        <v>1968</v>
      </c>
      <c r="E16" s="17" t="s">
        <v>65</v>
      </c>
      <c r="F16" s="17" t="s">
        <v>213</v>
      </c>
      <c r="G16" s="25" t="s">
        <v>1971</v>
      </c>
      <c r="H16" s="26" t="s">
        <v>1972</v>
      </c>
      <c r="I16" s="20" t="s">
        <v>88</v>
      </c>
      <c r="J16" s="20" t="s">
        <v>524</v>
      </c>
      <c r="K16" s="23" t="s">
        <v>458</v>
      </c>
      <c r="L16" s="18">
        <f t="shared" si="0"/>
        <v>3400</v>
      </c>
    </row>
    <row r="17" spans="1:15" ht="83.25" hidden="1" customHeight="1">
      <c r="A17" s="17">
        <v>14</v>
      </c>
      <c r="B17" s="17" t="s">
        <v>1973</v>
      </c>
      <c r="C17" s="24">
        <v>4200</v>
      </c>
      <c r="D17" s="23" t="s">
        <v>1974</v>
      </c>
      <c r="E17" s="17" t="s">
        <v>65</v>
      </c>
      <c r="F17" s="17" t="s">
        <v>213</v>
      </c>
      <c r="G17" s="25" t="s">
        <v>1975</v>
      </c>
      <c r="H17" s="22" t="s">
        <v>1976</v>
      </c>
      <c r="I17" s="20" t="s">
        <v>18</v>
      </c>
      <c r="J17" s="20" t="s">
        <v>18</v>
      </c>
      <c r="K17" s="23" t="s">
        <v>458</v>
      </c>
      <c r="L17" s="18">
        <f t="shared" si="0"/>
        <v>4200</v>
      </c>
    </row>
    <row r="18" spans="1:15" ht="36.700000000000003" hidden="1">
      <c r="A18" s="17">
        <v>15</v>
      </c>
      <c r="B18" s="17" t="s">
        <v>640</v>
      </c>
      <c r="C18" s="24">
        <v>3150</v>
      </c>
      <c r="D18" s="17" t="s">
        <v>1968</v>
      </c>
      <c r="E18" s="17" t="s">
        <v>65</v>
      </c>
      <c r="F18" s="17" t="s">
        <v>213</v>
      </c>
      <c r="G18" s="25" t="s">
        <v>1977</v>
      </c>
      <c r="H18" s="26" t="s">
        <v>1978</v>
      </c>
      <c r="I18" s="20" t="s">
        <v>24</v>
      </c>
      <c r="J18" s="20" t="s">
        <v>24</v>
      </c>
      <c r="K18" s="23" t="s">
        <v>458</v>
      </c>
      <c r="L18" s="18">
        <f t="shared" si="0"/>
        <v>3150</v>
      </c>
    </row>
    <row r="19" spans="1:15" ht="36.700000000000003" hidden="1">
      <c r="A19" s="17">
        <v>16</v>
      </c>
      <c r="B19" s="17" t="s">
        <v>679</v>
      </c>
      <c r="C19" s="24">
        <v>3800</v>
      </c>
      <c r="D19" s="23" t="s">
        <v>1979</v>
      </c>
      <c r="E19" s="17" t="s">
        <v>65</v>
      </c>
      <c r="F19" s="17" t="s">
        <v>213</v>
      </c>
      <c r="G19" s="25" t="s">
        <v>1980</v>
      </c>
      <c r="H19" s="22" t="s">
        <v>1981</v>
      </c>
      <c r="I19" s="20" t="s">
        <v>22</v>
      </c>
      <c r="J19" s="20" t="s">
        <v>22</v>
      </c>
      <c r="K19" s="23" t="s">
        <v>458</v>
      </c>
      <c r="L19" s="18">
        <f t="shared" si="0"/>
        <v>3800</v>
      </c>
    </row>
    <row r="20" spans="1:15" ht="36.700000000000003" hidden="1">
      <c r="A20" s="17">
        <v>17</v>
      </c>
      <c r="B20" s="17" t="s">
        <v>1722</v>
      </c>
      <c r="C20" s="24">
        <v>3650</v>
      </c>
      <c r="D20" s="23" t="s">
        <v>1979</v>
      </c>
      <c r="E20" s="17" t="s">
        <v>65</v>
      </c>
      <c r="F20" s="17" t="s">
        <v>142</v>
      </c>
      <c r="G20" s="25" t="s">
        <v>1982</v>
      </c>
      <c r="H20" s="21"/>
      <c r="I20" s="20" t="s">
        <v>22</v>
      </c>
      <c r="J20" s="20" t="s">
        <v>22</v>
      </c>
      <c r="K20" s="23" t="s">
        <v>458</v>
      </c>
      <c r="L20" s="18">
        <f t="shared" si="0"/>
        <v>3650</v>
      </c>
    </row>
    <row r="21" spans="1:15" ht="73.400000000000006" hidden="1">
      <c r="A21" s="17">
        <v>18</v>
      </c>
      <c r="B21" s="17" t="s">
        <v>1983</v>
      </c>
      <c r="C21" s="24">
        <v>4600</v>
      </c>
      <c r="D21" s="23" t="s">
        <v>1979</v>
      </c>
      <c r="E21" s="17" t="s">
        <v>65</v>
      </c>
      <c r="F21" s="17" t="s">
        <v>106</v>
      </c>
      <c r="G21" s="25" t="s">
        <v>1984</v>
      </c>
      <c r="H21" s="22" t="s">
        <v>1985</v>
      </c>
      <c r="I21" s="20" t="s">
        <v>18</v>
      </c>
      <c r="J21" s="20" t="s">
        <v>18</v>
      </c>
      <c r="K21" s="23" t="s">
        <v>1986</v>
      </c>
      <c r="L21" s="18">
        <f t="shared" si="0"/>
        <v>4600</v>
      </c>
    </row>
    <row r="22" spans="1:15" ht="36.700000000000003" hidden="1">
      <c r="A22" s="17">
        <v>19</v>
      </c>
      <c r="B22" s="17" t="s">
        <v>1987</v>
      </c>
      <c r="C22" s="24">
        <v>3100</v>
      </c>
      <c r="D22" s="23" t="s">
        <v>1988</v>
      </c>
      <c r="E22" s="17" t="s">
        <v>65</v>
      </c>
      <c r="F22" s="17" t="s">
        <v>142</v>
      </c>
      <c r="G22" s="25" t="s">
        <v>1989</v>
      </c>
      <c r="H22" s="22"/>
      <c r="I22" s="20" t="s">
        <v>26</v>
      </c>
      <c r="J22" s="20" t="s">
        <v>524</v>
      </c>
      <c r="K22" s="23" t="s">
        <v>458</v>
      </c>
      <c r="L22" s="18">
        <f t="shared" si="0"/>
        <v>3100</v>
      </c>
    </row>
    <row r="23" spans="1:15" ht="64.55" hidden="1" customHeight="1">
      <c r="A23" s="17">
        <v>20</v>
      </c>
      <c r="B23" s="17" t="s">
        <v>607</v>
      </c>
      <c r="C23" s="24">
        <v>3450</v>
      </c>
      <c r="D23" s="23" t="s">
        <v>1988</v>
      </c>
      <c r="E23" s="17" t="s">
        <v>65</v>
      </c>
      <c r="F23" s="17" t="s">
        <v>164</v>
      </c>
      <c r="G23" s="25" t="s">
        <v>1990</v>
      </c>
      <c r="H23" s="21" t="s">
        <v>1991</v>
      </c>
      <c r="I23" s="20" t="s">
        <v>22</v>
      </c>
      <c r="J23" s="20" t="s">
        <v>22</v>
      </c>
      <c r="K23" s="23" t="s">
        <v>1961</v>
      </c>
      <c r="L23" s="18">
        <f t="shared" si="0"/>
        <v>3450</v>
      </c>
    </row>
    <row r="24" spans="1:15" ht="61.5" hidden="1" customHeight="1">
      <c r="A24" s="17">
        <v>21</v>
      </c>
      <c r="B24" s="17" t="s">
        <v>1735</v>
      </c>
      <c r="C24" s="24">
        <v>2970</v>
      </c>
      <c r="D24" s="23" t="s">
        <v>1988</v>
      </c>
      <c r="E24" s="17" t="s">
        <v>65</v>
      </c>
      <c r="F24" s="17" t="s">
        <v>142</v>
      </c>
      <c r="G24" s="25" t="s">
        <v>1992</v>
      </c>
      <c r="H24" s="22"/>
      <c r="I24" s="20" t="s">
        <v>22</v>
      </c>
      <c r="J24" s="20" t="s">
        <v>22</v>
      </c>
      <c r="K24" s="23" t="s">
        <v>458</v>
      </c>
      <c r="L24" s="18">
        <f t="shared" si="0"/>
        <v>2970</v>
      </c>
    </row>
    <row r="25" spans="1:15" ht="36" hidden="1" customHeight="1">
      <c r="A25" s="17">
        <v>22</v>
      </c>
      <c r="B25" s="17" t="s">
        <v>1928</v>
      </c>
      <c r="C25" s="24">
        <v>3760</v>
      </c>
      <c r="D25" s="23" t="s">
        <v>1988</v>
      </c>
      <c r="E25" s="17" t="s">
        <v>65</v>
      </c>
      <c r="F25" s="17" t="s">
        <v>142</v>
      </c>
      <c r="G25" s="25" t="s">
        <v>1993</v>
      </c>
      <c r="H25" s="22"/>
      <c r="I25" s="20" t="s">
        <v>22</v>
      </c>
      <c r="J25" s="20" t="s">
        <v>18</v>
      </c>
      <c r="K25" s="23" t="s">
        <v>458</v>
      </c>
      <c r="L25" s="18">
        <f t="shared" si="0"/>
        <v>3760</v>
      </c>
    </row>
    <row r="26" spans="1:15" ht="45.7" hidden="1" customHeight="1">
      <c r="A26" s="17">
        <v>23</v>
      </c>
      <c r="B26" s="17" t="s">
        <v>1994</v>
      </c>
      <c r="C26" s="24">
        <v>2900</v>
      </c>
      <c r="D26" s="23" t="s">
        <v>1995</v>
      </c>
      <c r="E26" s="17" t="s">
        <v>65</v>
      </c>
      <c r="F26" s="17" t="s">
        <v>1849</v>
      </c>
      <c r="G26" s="25" t="s">
        <v>1996</v>
      </c>
      <c r="H26" s="22"/>
      <c r="I26" s="20" t="s">
        <v>22</v>
      </c>
      <c r="J26" s="20" t="s">
        <v>22</v>
      </c>
      <c r="K26" s="23" t="s">
        <v>458</v>
      </c>
      <c r="L26" s="18">
        <f t="shared" si="0"/>
        <v>2900</v>
      </c>
    </row>
    <row r="27" spans="1:15" ht="79.5" customHeight="1">
      <c r="A27" s="17">
        <v>24</v>
      </c>
      <c r="B27" s="17" t="s">
        <v>581</v>
      </c>
      <c r="C27" s="24">
        <v>3500</v>
      </c>
      <c r="D27" s="23" t="s">
        <v>1997</v>
      </c>
      <c r="E27" s="17" t="s">
        <v>65</v>
      </c>
      <c r="F27" s="17" t="s">
        <v>1998</v>
      </c>
      <c r="G27" s="25" t="s">
        <v>1999</v>
      </c>
      <c r="H27" s="22" t="s">
        <v>2000</v>
      </c>
      <c r="I27" s="20" t="s">
        <v>88</v>
      </c>
      <c r="J27" s="20" t="s">
        <v>524</v>
      </c>
      <c r="K27" s="23" t="s">
        <v>458</v>
      </c>
      <c r="L27" s="18">
        <f t="shared" si="0"/>
        <v>3500</v>
      </c>
    </row>
    <row r="28" spans="1:15" ht="55.05" hidden="1">
      <c r="A28" s="17">
        <v>25</v>
      </c>
      <c r="B28" s="17" t="s">
        <v>2001</v>
      </c>
      <c r="C28" s="24">
        <v>2450</v>
      </c>
      <c r="D28" s="23" t="s">
        <v>1995</v>
      </c>
      <c r="E28" s="17" t="s">
        <v>65</v>
      </c>
      <c r="F28" s="17" t="s">
        <v>294</v>
      </c>
      <c r="G28" s="25" t="s">
        <v>2002</v>
      </c>
      <c r="H28" s="22" t="s">
        <v>2003</v>
      </c>
      <c r="I28" s="20" t="s">
        <v>24</v>
      </c>
      <c r="J28" s="20" t="s">
        <v>24</v>
      </c>
      <c r="K28" s="23" t="s">
        <v>1569</v>
      </c>
      <c r="L28" s="18">
        <f t="shared" si="0"/>
        <v>2450</v>
      </c>
    </row>
    <row r="29" spans="1:15" ht="59.1" hidden="1">
      <c r="A29" s="17">
        <v>26</v>
      </c>
      <c r="B29" s="17" t="s">
        <v>590</v>
      </c>
      <c r="C29" s="24">
        <v>3450</v>
      </c>
      <c r="D29" s="23" t="s">
        <v>1995</v>
      </c>
      <c r="E29" s="17" t="s">
        <v>65</v>
      </c>
      <c r="F29" s="17" t="s">
        <v>1998</v>
      </c>
      <c r="G29" s="25" t="s">
        <v>2004</v>
      </c>
      <c r="H29" s="22" t="s">
        <v>2005</v>
      </c>
      <c r="I29" s="20" t="s">
        <v>26</v>
      </c>
      <c r="J29" s="20" t="s">
        <v>18</v>
      </c>
      <c r="K29" s="23" t="s">
        <v>458</v>
      </c>
      <c r="L29" s="18">
        <f t="shared" si="0"/>
        <v>3450</v>
      </c>
    </row>
    <row r="30" spans="1:15" ht="50.95" hidden="1" customHeight="1">
      <c r="A30" s="17">
        <v>28</v>
      </c>
      <c r="B30" s="17" t="s">
        <v>677</v>
      </c>
      <c r="C30" s="24">
        <v>2950</v>
      </c>
      <c r="D30" s="23" t="s">
        <v>2006</v>
      </c>
      <c r="E30" s="17" t="s">
        <v>65</v>
      </c>
      <c r="F30" s="17" t="s">
        <v>213</v>
      </c>
      <c r="G30" s="25" t="s">
        <v>2004</v>
      </c>
      <c r="H30" s="26" t="s">
        <v>2007</v>
      </c>
      <c r="I30" s="20" t="s">
        <v>22</v>
      </c>
      <c r="J30" s="20" t="s">
        <v>22</v>
      </c>
      <c r="K30" s="23" t="s">
        <v>458</v>
      </c>
      <c r="L30" s="18">
        <f t="shared" si="0"/>
        <v>2950</v>
      </c>
      <c r="O30" s="3">
        <f>2300+1900+317</f>
        <v>4517</v>
      </c>
    </row>
    <row r="31" spans="1:15" ht="79.5" hidden="1" customHeight="1">
      <c r="A31" s="17">
        <v>29</v>
      </c>
      <c r="B31" s="17" t="s">
        <v>1606</v>
      </c>
      <c r="C31" s="24">
        <v>3050</v>
      </c>
      <c r="D31" s="23" t="s">
        <v>2008</v>
      </c>
      <c r="E31" s="17" t="s">
        <v>65</v>
      </c>
      <c r="F31" s="17" t="s">
        <v>1235</v>
      </c>
      <c r="G31" s="25" t="s">
        <v>2009</v>
      </c>
      <c r="H31" s="22" t="s">
        <v>2010</v>
      </c>
      <c r="I31" s="20" t="s">
        <v>26</v>
      </c>
      <c r="J31" s="20" t="s">
        <v>524</v>
      </c>
      <c r="K31" s="23" t="s">
        <v>458</v>
      </c>
      <c r="L31" s="18">
        <f t="shared" ref="L31:L53" si="1">C31</f>
        <v>3050</v>
      </c>
    </row>
    <row r="32" spans="1:15" ht="99" hidden="1" customHeight="1">
      <c r="A32" s="17">
        <v>29</v>
      </c>
      <c r="B32" s="28" t="s">
        <v>315</v>
      </c>
      <c r="C32" s="24">
        <v>4010</v>
      </c>
      <c r="D32" s="23" t="s">
        <v>2008</v>
      </c>
      <c r="E32" s="17" t="s">
        <v>65</v>
      </c>
      <c r="F32" s="17" t="s">
        <v>1445</v>
      </c>
      <c r="G32" s="25" t="s">
        <v>2011</v>
      </c>
      <c r="H32" s="22" t="s">
        <v>2012</v>
      </c>
      <c r="I32" s="20" t="s">
        <v>22</v>
      </c>
      <c r="J32" s="20" t="s">
        <v>22</v>
      </c>
      <c r="K32" s="23" t="s">
        <v>1778</v>
      </c>
      <c r="L32" s="18">
        <f t="shared" si="1"/>
        <v>4010</v>
      </c>
    </row>
    <row r="33" spans="1:13" ht="58.1" hidden="1" customHeight="1">
      <c r="A33" s="17">
        <v>34</v>
      </c>
      <c r="B33" s="17" t="s">
        <v>537</v>
      </c>
      <c r="C33" s="24">
        <v>3280</v>
      </c>
      <c r="D33" s="23" t="s">
        <v>2008</v>
      </c>
      <c r="E33" s="17" t="s">
        <v>65</v>
      </c>
      <c r="F33" s="17" t="s">
        <v>1160</v>
      </c>
      <c r="G33" s="25" t="s">
        <v>2013</v>
      </c>
      <c r="H33" s="22"/>
      <c r="I33" s="20" t="s">
        <v>22</v>
      </c>
      <c r="J33" s="20" t="s">
        <v>22</v>
      </c>
      <c r="K33" s="23" t="s">
        <v>458</v>
      </c>
      <c r="L33" s="18">
        <f t="shared" ref="L33:L40" si="2">C33</f>
        <v>3280</v>
      </c>
    </row>
    <row r="34" spans="1:13" ht="56.75" hidden="1" customHeight="1">
      <c r="A34" s="17">
        <v>31</v>
      </c>
      <c r="B34" s="17" t="s">
        <v>560</v>
      </c>
      <c r="C34" s="24">
        <v>1150</v>
      </c>
      <c r="D34" s="23" t="s">
        <v>2006</v>
      </c>
      <c r="E34" s="17" t="s">
        <v>65</v>
      </c>
      <c r="F34" s="17" t="s">
        <v>213</v>
      </c>
      <c r="G34" s="25" t="s">
        <v>2014</v>
      </c>
      <c r="H34" s="22"/>
      <c r="I34" s="20" t="s">
        <v>26</v>
      </c>
      <c r="J34" s="20" t="s">
        <v>524</v>
      </c>
      <c r="K34" s="23" t="s">
        <v>458</v>
      </c>
      <c r="L34" s="18">
        <f t="shared" si="2"/>
        <v>1150</v>
      </c>
      <c r="M34" s="3">
        <v>1800</v>
      </c>
    </row>
    <row r="35" spans="1:13" ht="46.2" hidden="1" customHeight="1">
      <c r="A35" s="17">
        <v>32</v>
      </c>
      <c r="B35" s="17" t="s">
        <v>2001</v>
      </c>
      <c r="C35" s="24">
        <v>2450</v>
      </c>
      <c r="D35" s="23" t="s">
        <v>2008</v>
      </c>
      <c r="E35" s="17" t="s">
        <v>65</v>
      </c>
      <c r="F35" s="17" t="s">
        <v>294</v>
      </c>
      <c r="G35" s="25" t="s">
        <v>2002</v>
      </c>
      <c r="H35" s="22" t="s">
        <v>2015</v>
      </c>
      <c r="I35" s="20" t="s">
        <v>24</v>
      </c>
      <c r="J35" s="20" t="s">
        <v>24</v>
      </c>
      <c r="K35" s="23" t="s">
        <v>1569</v>
      </c>
      <c r="L35" s="18">
        <f t="shared" si="2"/>
        <v>2450</v>
      </c>
    </row>
    <row r="36" spans="1:13" ht="85.95" customHeight="1">
      <c r="A36" s="17">
        <v>33</v>
      </c>
      <c r="B36" s="17" t="s">
        <v>1815</v>
      </c>
      <c r="C36" s="24">
        <v>2630</v>
      </c>
      <c r="D36" s="23" t="s">
        <v>2008</v>
      </c>
      <c r="E36" s="17" t="s">
        <v>65</v>
      </c>
      <c r="F36" s="17" t="s">
        <v>1160</v>
      </c>
      <c r="G36" s="25" t="s">
        <v>2016</v>
      </c>
      <c r="H36" s="22"/>
      <c r="I36" s="20" t="s">
        <v>88</v>
      </c>
      <c r="J36" s="20" t="s">
        <v>18</v>
      </c>
      <c r="K36" s="23" t="s">
        <v>458</v>
      </c>
      <c r="L36" s="18">
        <f t="shared" si="2"/>
        <v>2630</v>
      </c>
    </row>
    <row r="37" spans="1:13" ht="48.4" hidden="1" customHeight="1">
      <c r="A37" s="17">
        <v>35</v>
      </c>
      <c r="B37" s="17" t="s">
        <v>1818</v>
      </c>
      <c r="C37" s="24">
        <v>1810</v>
      </c>
      <c r="D37" s="23" t="s">
        <v>2017</v>
      </c>
      <c r="E37" s="17" t="s">
        <v>65</v>
      </c>
      <c r="F37" s="17" t="s">
        <v>240</v>
      </c>
      <c r="G37" s="29" t="s">
        <v>2018</v>
      </c>
      <c r="H37" s="30" t="s">
        <v>2019</v>
      </c>
      <c r="I37" s="20" t="s">
        <v>18</v>
      </c>
      <c r="J37" s="20" t="s">
        <v>18</v>
      </c>
      <c r="K37" s="23" t="s">
        <v>1778</v>
      </c>
      <c r="L37" s="18">
        <f t="shared" si="2"/>
        <v>1810</v>
      </c>
    </row>
    <row r="38" spans="1:13" ht="99.35" hidden="1" customHeight="1">
      <c r="A38" s="17">
        <v>36</v>
      </c>
      <c r="B38" s="17" t="s">
        <v>1188</v>
      </c>
      <c r="C38" s="24">
        <v>5250</v>
      </c>
      <c r="D38" s="23" t="s">
        <v>2017</v>
      </c>
      <c r="E38" s="17" t="s">
        <v>65</v>
      </c>
      <c r="F38" s="17" t="s">
        <v>1998</v>
      </c>
      <c r="G38" s="25" t="s">
        <v>2020</v>
      </c>
      <c r="H38" s="31" t="s">
        <v>2021</v>
      </c>
      <c r="I38" s="20" t="s">
        <v>18</v>
      </c>
      <c r="J38" s="20" t="s">
        <v>18</v>
      </c>
      <c r="K38" s="23" t="s">
        <v>1720</v>
      </c>
      <c r="L38" s="18">
        <f t="shared" si="2"/>
        <v>5250</v>
      </c>
      <c r="M38" s="3">
        <v>1750</v>
      </c>
    </row>
    <row r="39" spans="1:13" ht="49.6" hidden="1" customHeight="1">
      <c r="A39" s="17">
        <v>37</v>
      </c>
      <c r="B39" s="17" t="s">
        <v>2022</v>
      </c>
      <c r="C39" s="24">
        <v>3800</v>
      </c>
      <c r="D39" s="23" t="s">
        <v>2017</v>
      </c>
      <c r="E39" s="17" t="s">
        <v>65</v>
      </c>
      <c r="F39" s="17" t="s">
        <v>1279</v>
      </c>
      <c r="G39" s="25" t="s">
        <v>2023</v>
      </c>
      <c r="H39" s="30" t="s">
        <v>2019</v>
      </c>
      <c r="I39" s="20" t="s">
        <v>24</v>
      </c>
      <c r="J39" s="20" t="s">
        <v>24</v>
      </c>
      <c r="K39" s="23" t="s">
        <v>1569</v>
      </c>
      <c r="L39" s="18">
        <f t="shared" si="2"/>
        <v>3800</v>
      </c>
    </row>
    <row r="40" spans="1:13" ht="55.05" hidden="1">
      <c r="A40" s="17">
        <v>38</v>
      </c>
      <c r="B40" s="17" t="s">
        <v>593</v>
      </c>
      <c r="C40" s="24">
        <v>3265</v>
      </c>
      <c r="D40" s="23" t="s">
        <v>2017</v>
      </c>
      <c r="E40" s="17" t="s">
        <v>65</v>
      </c>
      <c r="F40" s="17" t="s">
        <v>240</v>
      </c>
      <c r="G40" s="25" t="s">
        <v>2024</v>
      </c>
      <c r="H40" s="22" t="s">
        <v>2025</v>
      </c>
      <c r="I40" s="20" t="s">
        <v>24</v>
      </c>
      <c r="J40" s="20" t="s">
        <v>24</v>
      </c>
      <c r="K40" s="23" t="s">
        <v>1778</v>
      </c>
      <c r="L40" s="18">
        <f t="shared" si="2"/>
        <v>3265</v>
      </c>
    </row>
    <row r="41" spans="1:13" ht="45" hidden="1" customHeight="1">
      <c r="A41" s="17">
        <v>39</v>
      </c>
      <c r="B41" s="17" t="s">
        <v>1302</v>
      </c>
      <c r="C41" s="24">
        <v>4700</v>
      </c>
      <c r="D41" s="23" t="s">
        <v>2026</v>
      </c>
      <c r="E41" s="17" t="s">
        <v>65</v>
      </c>
      <c r="F41" s="17" t="s">
        <v>1279</v>
      </c>
      <c r="G41" s="22" t="s">
        <v>2027</v>
      </c>
      <c r="H41" s="22" t="s">
        <v>2028</v>
      </c>
      <c r="I41" s="20" t="s">
        <v>18</v>
      </c>
      <c r="J41" s="20" t="s">
        <v>18</v>
      </c>
      <c r="K41" s="23" t="s">
        <v>1778</v>
      </c>
      <c r="L41" s="18">
        <f t="shared" si="1"/>
        <v>4700</v>
      </c>
    </row>
    <row r="42" spans="1:13" ht="78.8" hidden="1" customHeight="1">
      <c r="A42" s="17">
        <v>40</v>
      </c>
      <c r="B42" s="17" t="s">
        <v>1237</v>
      </c>
      <c r="C42" s="24">
        <v>3150</v>
      </c>
      <c r="D42" s="23" t="s">
        <v>2029</v>
      </c>
      <c r="E42" s="17" t="s">
        <v>65</v>
      </c>
      <c r="F42" s="17" t="s">
        <v>1998</v>
      </c>
      <c r="G42" s="22" t="s">
        <v>2030</v>
      </c>
      <c r="H42" s="22" t="s">
        <v>2031</v>
      </c>
      <c r="I42" s="20" t="s">
        <v>18</v>
      </c>
      <c r="J42" s="20" t="s">
        <v>18</v>
      </c>
      <c r="K42" s="23" t="s">
        <v>1986</v>
      </c>
      <c r="L42" s="20">
        <f t="shared" si="1"/>
        <v>3150</v>
      </c>
    </row>
    <row r="43" spans="1:13" ht="83.25" customHeight="1">
      <c r="A43" s="17">
        <v>41</v>
      </c>
      <c r="B43" s="17" t="s">
        <v>1624</v>
      </c>
      <c r="C43" s="24">
        <v>2450</v>
      </c>
      <c r="D43" s="23" t="s">
        <v>2029</v>
      </c>
      <c r="E43" s="17" t="s">
        <v>65</v>
      </c>
      <c r="F43" s="17" t="s">
        <v>1998</v>
      </c>
      <c r="G43" s="22" t="s">
        <v>2032</v>
      </c>
      <c r="H43" s="22" t="s">
        <v>2033</v>
      </c>
      <c r="I43" s="20" t="s">
        <v>88</v>
      </c>
      <c r="J43" s="20" t="s">
        <v>524</v>
      </c>
      <c r="K43" s="23" t="s">
        <v>458</v>
      </c>
      <c r="L43" s="20">
        <f t="shared" si="1"/>
        <v>2450</v>
      </c>
    </row>
    <row r="44" spans="1:13" ht="91.7">
      <c r="A44" s="17">
        <v>42</v>
      </c>
      <c r="B44" s="17" t="s">
        <v>567</v>
      </c>
      <c r="C44" s="24">
        <v>3400</v>
      </c>
      <c r="D44" s="23" t="s">
        <v>2029</v>
      </c>
      <c r="E44" s="17" t="s">
        <v>65</v>
      </c>
      <c r="F44" s="17" t="s">
        <v>2034</v>
      </c>
      <c r="G44" s="22" t="s">
        <v>2035</v>
      </c>
      <c r="H44" s="22"/>
      <c r="I44" s="20" t="s">
        <v>88</v>
      </c>
      <c r="J44" s="20" t="s">
        <v>524</v>
      </c>
      <c r="K44" s="23" t="s">
        <v>458</v>
      </c>
      <c r="L44" s="20">
        <f t="shared" si="1"/>
        <v>3400</v>
      </c>
    </row>
    <row r="45" spans="1:13" ht="91.7" hidden="1">
      <c r="A45" s="17">
        <v>43</v>
      </c>
      <c r="B45" s="17" t="s">
        <v>2036</v>
      </c>
      <c r="C45" s="24">
        <v>4300</v>
      </c>
      <c r="D45" s="23" t="s">
        <v>2029</v>
      </c>
      <c r="E45" s="17" t="s">
        <v>65</v>
      </c>
      <c r="F45" s="17" t="s">
        <v>142</v>
      </c>
      <c r="G45" s="22" t="s">
        <v>2037</v>
      </c>
      <c r="H45" s="32" t="s">
        <v>2038</v>
      </c>
      <c r="I45" s="20" t="s">
        <v>24</v>
      </c>
      <c r="J45" s="20" t="s">
        <v>24</v>
      </c>
      <c r="K45" s="23" t="s">
        <v>2039</v>
      </c>
      <c r="L45" s="20">
        <f t="shared" si="1"/>
        <v>4300</v>
      </c>
    </row>
    <row r="46" spans="1:13" ht="36.700000000000003" hidden="1">
      <c r="A46" s="17">
        <v>44</v>
      </c>
      <c r="B46" s="17" t="s">
        <v>2040</v>
      </c>
      <c r="C46" s="24">
        <v>2950</v>
      </c>
      <c r="D46" s="23" t="s">
        <v>2029</v>
      </c>
      <c r="E46" s="17" t="s">
        <v>65</v>
      </c>
      <c r="F46" s="17" t="s">
        <v>1849</v>
      </c>
      <c r="G46" s="22" t="s">
        <v>2041</v>
      </c>
      <c r="H46" s="22"/>
      <c r="I46" s="20" t="s">
        <v>22</v>
      </c>
      <c r="J46" s="20" t="s">
        <v>22</v>
      </c>
      <c r="K46" s="23" t="s">
        <v>2039</v>
      </c>
      <c r="L46" s="20">
        <f t="shared" si="1"/>
        <v>2950</v>
      </c>
    </row>
    <row r="47" spans="1:13" ht="36.700000000000003" hidden="1">
      <c r="A47" s="17">
        <v>45</v>
      </c>
      <c r="B47" s="17" t="s">
        <v>2042</v>
      </c>
      <c r="C47" s="24">
        <v>4000</v>
      </c>
      <c r="D47" s="23" t="s">
        <v>2043</v>
      </c>
      <c r="E47" s="17" t="s">
        <v>65</v>
      </c>
      <c r="F47" s="17" t="s">
        <v>1998</v>
      </c>
      <c r="G47" s="22" t="s">
        <v>2044</v>
      </c>
      <c r="H47" s="22" t="s">
        <v>2045</v>
      </c>
      <c r="I47" s="20" t="s">
        <v>26</v>
      </c>
      <c r="J47" s="33" t="s">
        <v>524</v>
      </c>
      <c r="K47" s="23" t="s">
        <v>458</v>
      </c>
      <c r="L47" s="27">
        <f t="shared" si="1"/>
        <v>4000</v>
      </c>
    </row>
    <row r="48" spans="1:13" ht="91.7">
      <c r="A48" s="17">
        <v>46</v>
      </c>
      <c r="B48" s="17" t="s">
        <v>2046</v>
      </c>
      <c r="C48" s="24">
        <v>3250</v>
      </c>
      <c r="D48" s="23" t="s">
        <v>2047</v>
      </c>
      <c r="E48" s="17" t="s">
        <v>65</v>
      </c>
      <c r="F48" s="17" t="s">
        <v>508</v>
      </c>
      <c r="G48" s="25" t="s">
        <v>2048</v>
      </c>
      <c r="H48" s="22" t="s">
        <v>2049</v>
      </c>
      <c r="I48" s="20" t="s">
        <v>88</v>
      </c>
      <c r="J48" s="20" t="s">
        <v>524</v>
      </c>
      <c r="K48" s="23" t="s">
        <v>1720</v>
      </c>
      <c r="L48" s="27">
        <f>C48</f>
        <v>3250</v>
      </c>
    </row>
    <row r="49" spans="1:12" ht="48.75" hidden="1" customHeight="1">
      <c r="A49" s="17">
        <v>47</v>
      </c>
      <c r="B49" s="17" t="s">
        <v>334</v>
      </c>
      <c r="C49" s="24">
        <v>4700</v>
      </c>
      <c r="D49" s="23" t="s">
        <v>2047</v>
      </c>
      <c r="E49" s="17" t="s">
        <v>65</v>
      </c>
      <c r="F49" s="17" t="s">
        <v>2034</v>
      </c>
      <c r="G49" s="22" t="s">
        <v>2050</v>
      </c>
      <c r="H49" s="22"/>
      <c r="I49" s="20" t="s">
        <v>24</v>
      </c>
      <c r="J49" s="33" t="s">
        <v>24</v>
      </c>
      <c r="K49" s="23" t="s">
        <v>458</v>
      </c>
      <c r="L49" s="18">
        <f t="shared" si="1"/>
        <v>4700</v>
      </c>
    </row>
    <row r="50" spans="1:12" ht="36.700000000000003" hidden="1">
      <c r="A50" s="17">
        <v>48</v>
      </c>
      <c r="B50" s="17" t="s">
        <v>2051</v>
      </c>
      <c r="C50" s="24">
        <v>3140</v>
      </c>
      <c r="D50" s="23" t="s">
        <v>2047</v>
      </c>
      <c r="E50" s="17" t="s">
        <v>65</v>
      </c>
      <c r="F50" s="17" t="s">
        <v>1694</v>
      </c>
      <c r="G50" s="22" t="s">
        <v>2052</v>
      </c>
      <c r="H50" s="22" t="s">
        <v>1862</v>
      </c>
      <c r="I50" s="20" t="s">
        <v>18</v>
      </c>
      <c r="J50" s="33" t="s">
        <v>18</v>
      </c>
      <c r="K50" s="23" t="s">
        <v>458</v>
      </c>
      <c r="L50" s="18">
        <f t="shared" si="1"/>
        <v>3140</v>
      </c>
    </row>
    <row r="51" spans="1:12" ht="36.700000000000003" hidden="1">
      <c r="A51" s="17">
        <v>49</v>
      </c>
      <c r="B51" s="17" t="s">
        <v>2053</v>
      </c>
      <c r="C51" s="24">
        <v>2900</v>
      </c>
      <c r="D51" s="23" t="s">
        <v>2054</v>
      </c>
      <c r="E51" s="17" t="s">
        <v>65</v>
      </c>
      <c r="F51" s="17" t="s">
        <v>2034</v>
      </c>
      <c r="G51" s="34" t="s">
        <v>2055</v>
      </c>
      <c r="H51" s="22"/>
      <c r="I51" s="20" t="s">
        <v>26</v>
      </c>
      <c r="J51" s="20" t="s">
        <v>524</v>
      </c>
      <c r="K51" s="23" t="s">
        <v>1569</v>
      </c>
      <c r="L51" s="18">
        <f>C51</f>
        <v>2900</v>
      </c>
    </row>
    <row r="52" spans="1:12" hidden="1">
      <c r="A52" s="17">
        <v>50</v>
      </c>
      <c r="B52" s="17" t="s">
        <v>2056</v>
      </c>
      <c r="C52" s="24">
        <v>1900</v>
      </c>
      <c r="D52" s="23" t="s">
        <v>2057</v>
      </c>
      <c r="E52" s="17" t="s">
        <v>65</v>
      </c>
      <c r="F52" s="17" t="s">
        <v>2058</v>
      </c>
      <c r="G52" s="25" t="s">
        <v>2059</v>
      </c>
      <c r="H52" s="26"/>
      <c r="I52" s="20" t="s">
        <v>24</v>
      </c>
      <c r="J52" s="20" t="s">
        <v>24</v>
      </c>
      <c r="K52" s="23" t="s">
        <v>2060</v>
      </c>
      <c r="L52" s="18">
        <f>C52</f>
        <v>1900</v>
      </c>
    </row>
    <row r="53" spans="1:12" hidden="1">
      <c r="A53" s="17">
        <v>51</v>
      </c>
      <c r="B53" s="17" t="s">
        <v>2061</v>
      </c>
      <c r="C53" s="24">
        <v>5100</v>
      </c>
      <c r="D53" s="23" t="s">
        <v>2057</v>
      </c>
      <c r="E53" s="17" t="s">
        <v>65</v>
      </c>
      <c r="F53" s="17" t="s">
        <v>2034</v>
      </c>
      <c r="G53" s="22" t="s">
        <v>2050</v>
      </c>
      <c r="H53" s="22"/>
      <c r="I53" s="20" t="s">
        <v>22</v>
      </c>
      <c r="J53" s="33" t="s">
        <v>22</v>
      </c>
      <c r="K53" s="23" t="s">
        <v>458</v>
      </c>
      <c r="L53" s="18">
        <f t="shared" si="1"/>
        <v>5100</v>
      </c>
    </row>
    <row r="54" spans="1:12" ht="63.7" hidden="1" customHeight="1">
      <c r="A54" s="17">
        <v>52</v>
      </c>
      <c r="B54" s="17" t="s">
        <v>2062</v>
      </c>
      <c r="C54" s="24">
        <v>3700</v>
      </c>
      <c r="D54" s="23" t="s">
        <v>2063</v>
      </c>
      <c r="E54" s="17" t="s">
        <v>65</v>
      </c>
      <c r="F54" s="17" t="s">
        <v>1694</v>
      </c>
      <c r="G54" s="25" t="s">
        <v>2064</v>
      </c>
      <c r="H54" s="22" t="s">
        <v>2065</v>
      </c>
      <c r="I54" s="20" t="s">
        <v>18</v>
      </c>
      <c r="J54" s="20" t="s">
        <v>18</v>
      </c>
      <c r="K54" s="23" t="s">
        <v>2066</v>
      </c>
      <c r="L54" s="18">
        <f t="shared" ref="L54:L63" si="3">C54</f>
        <v>3700</v>
      </c>
    </row>
    <row r="55" spans="1:12" ht="90.7" hidden="1" customHeight="1">
      <c r="A55" s="17">
        <v>53</v>
      </c>
      <c r="B55" s="17" t="s">
        <v>679</v>
      </c>
      <c r="C55" s="24">
        <v>3800</v>
      </c>
      <c r="D55" s="23" t="s">
        <v>2063</v>
      </c>
      <c r="E55" s="17" t="s">
        <v>65</v>
      </c>
      <c r="F55" s="17" t="s">
        <v>1849</v>
      </c>
      <c r="G55" s="25" t="s">
        <v>2067</v>
      </c>
      <c r="H55" s="22" t="s">
        <v>2068</v>
      </c>
      <c r="I55" s="20" t="s">
        <v>22</v>
      </c>
      <c r="J55" s="20" t="s">
        <v>22</v>
      </c>
      <c r="K55" s="23" t="s">
        <v>458</v>
      </c>
      <c r="L55" s="18">
        <f t="shared" si="3"/>
        <v>3800</v>
      </c>
    </row>
    <row r="56" spans="1:12" ht="45" hidden="1" customHeight="1">
      <c r="A56" s="17">
        <v>54</v>
      </c>
      <c r="B56" s="17" t="s">
        <v>2069</v>
      </c>
      <c r="C56" s="24">
        <v>4250</v>
      </c>
      <c r="D56" s="23" t="s">
        <v>2070</v>
      </c>
      <c r="E56" s="17" t="s">
        <v>65</v>
      </c>
      <c r="F56" s="17" t="s">
        <v>1998</v>
      </c>
      <c r="G56" s="25" t="s">
        <v>2071</v>
      </c>
      <c r="H56" s="22"/>
      <c r="I56" s="20" t="s">
        <v>24</v>
      </c>
      <c r="J56" s="20" t="s">
        <v>24</v>
      </c>
      <c r="K56" s="23" t="s">
        <v>2066</v>
      </c>
      <c r="L56" s="20">
        <f t="shared" si="3"/>
        <v>4250</v>
      </c>
    </row>
    <row r="57" spans="1:12" ht="79.5" hidden="1" customHeight="1">
      <c r="A57" s="17">
        <v>55</v>
      </c>
      <c r="B57" s="17" t="s">
        <v>1769</v>
      </c>
      <c r="C57" s="24">
        <v>3150</v>
      </c>
      <c r="D57" s="23" t="s">
        <v>2070</v>
      </c>
      <c r="E57" s="17" t="s">
        <v>65</v>
      </c>
      <c r="F57" s="17" t="s">
        <v>213</v>
      </c>
      <c r="G57" s="25" t="s">
        <v>2072</v>
      </c>
      <c r="H57" s="22" t="s">
        <v>2073</v>
      </c>
      <c r="I57" s="20" t="s">
        <v>18</v>
      </c>
      <c r="J57" s="20" t="s">
        <v>18</v>
      </c>
      <c r="K57" s="23" t="s">
        <v>458</v>
      </c>
      <c r="L57" s="20">
        <f t="shared" si="3"/>
        <v>3150</v>
      </c>
    </row>
    <row r="58" spans="1:12" ht="42.8" hidden="1" customHeight="1">
      <c r="A58" s="17">
        <v>56</v>
      </c>
      <c r="B58" s="17" t="s">
        <v>2074</v>
      </c>
      <c r="C58" s="24">
        <v>5000</v>
      </c>
      <c r="D58" s="23" t="s">
        <v>2075</v>
      </c>
      <c r="E58" s="17" t="s">
        <v>65</v>
      </c>
      <c r="F58" s="17" t="s">
        <v>213</v>
      </c>
      <c r="G58" s="25" t="s">
        <v>2076</v>
      </c>
      <c r="H58" s="22" t="s">
        <v>2077</v>
      </c>
      <c r="I58" s="20" t="s">
        <v>22</v>
      </c>
      <c r="J58" s="20" t="s">
        <v>22</v>
      </c>
      <c r="K58" s="23" t="s">
        <v>458</v>
      </c>
      <c r="L58" s="20">
        <f t="shared" si="3"/>
        <v>5000</v>
      </c>
    </row>
    <row r="59" spans="1:12" ht="55.05" hidden="1">
      <c r="A59" s="17">
        <v>57</v>
      </c>
      <c r="B59" s="17" t="s">
        <v>640</v>
      </c>
      <c r="C59" s="24">
        <v>3150</v>
      </c>
      <c r="D59" s="23" t="s">
        <v>2075</v>
      </c>
      <c r="E59" s="17" t="s">
        <v>65</v>
      </c>
      <c r="F59" s="17" t="s">
        <v>213</v>
      </c>
      <c r="G59" s="25" t="s">
        <v>2078</v>
      </c>
      <c r="H59" s="22"/>
      <c r="I59" s="20" t="s">
        <v>24</v>
      </c>
      <c r="J59" s="20" t="s">
        <v>24</v>
      </c>
      <c r="K59" s="23" t="s">
        <v>458</v>
      </c>
      <c r="L59" s="20">
        <f t="shared" si="3"/>
        <v>3150</v>
      </c>
    </row>
    <row r="60" spans="1:12" ht="91.7" hidden="1">
      <c r="A60" s="17">
        <v>58</v>
      </c>
      <c r="B60" s="17" t="s">
        <v>2079</v>
      </c>
      <c r="C60" s="24">
        <v>3000</v>
      </c>
      <c r="D60" s="23" t="s">
        <v>2075</v>
      </c>
      <c r="E60" s="17" t="s">
        <v>65</v>
      </c>
      <c r="F60" s="17" t="s">
        <v>213</v>
      </c>
      <c r="G60" s="25" t="s">
        <v>2080</v>
      </c>
      <c r="H60" s="22"/>
      <c r="I60" s="20" t="s">
        <v>24</v>
      </c>
      <c r="J60" s="20" t="s">
        <v>24</v>
      </c>
      <c r="K60" s="23" t="s">
        <v>458</v>
      </c>
      <c r="L60" s="20">
        <f t="shared" si="3"/>
        <v>3000</v>
      </c>
    </row>
    <row r="61" spans="1:12" ht="36.700000000000003" hidden="1">
      <c r="A61" s="17">
        <v>59</v>
      </c>
      <c r="B61" s="17" t="s">
        <v>955</v>
      </c>
      <c r="C61" s="24">
        <v>3500</v>
      </c>
      <c r="D61" s="23" t="s">
        <v>2081</v>
      </c>
      <c r="E61" s="17" t="s">
        <v>65</v>
      </c>
      <c r="F61" s="17" t="s">
        <v>213</v>
      </c>
      <c r="G61" s="25" t="s">
        <v>2082</v>
      </c>
      <c r="H61" s="22"/>
      <c r="I61" s="20" t="s">
        <v>22</v>
      </c>
      <c r="J61" s="20" t="s">
        <v>22</v>
      </c>
      <c r="K61" s="23" t="s">
        <v>458</v>
      </c>
      <c r="L61" s="18">
        <f>C61</f>
        <v>3500</v>
      </c>
    </row>
    <row r="62" spans="1:12" hidden="1">
      <c r="A62" s="17">
        <v>60</v>
      </c>
      <c r="B62" s="17" t="s">
        <v>674</v>
      </c>
      <c r="C62" s="24">
        <v>4800</v>
      </c>
      <c r="D62" s="23" t="s">
        <v>2081</v>
      </c>
      <c r="E62" s="17" t="s">
        <v>65</v>
      </c>
      <c r="F62" s="17" t="s">
        <v>213</v>
      </c>
      <c r="G62" s="25" t="s">
        <v>2083</v>
      </c>
      <c r="H62" s="22" t="s">
        <v>2084</v>
      </c>
      <c r="I62" s="20" t="s">
        <v>18</v>
      </c>
      <c r="J62" s="20" t="s">
        <v>18</v>
      </c>
      <c r="K62" s="23" t="s">
        <v>458</v>
      </c>
      <c r="L62" s="18">
        <f t="shared" si="3"/>
        <v>4800</v>
      </c>
    </row>
    <row r="63" spans="1:12">
      <c r="A63" s="17">
        <v>61</v>
      </c>
      <c r="B63" s="17" t="s">
        <v>1624</v>
      </c>
      <c r="C63" s="24">
        <v>2450</v>
      </c>
      <c r="D63" s="23" t="s">
        <v>2081</v>
      </c>
      <c r="E63" s="17" t="s">
        <v>65</v>
      </c>
      <c r="F63" s="17" t="s">
        <v>213</v>
      </c>
      <c r="G63" s="25" t="s">
        <v>2085</v>
      </c>
      <c r="H63" s="22"/>
      <c r="I63" s="20" t="s">
        <v>88</v>
      </c>
      <c r="J63" s="20" t="s">
        <v>24</v>
      </c>
      <c r="K63" s="23" t="s">
        <v>458</v>
      </c>
      <c r="L63" s="18">
        <f t="shared" si="3"/>
        <v>2450</v>
      </c>
    </row>
    <row r="64" spans="1:12" ht="73.400000000000006" hidden="1">
      <c r="A64" s="17">
        <v>62</v>
      </c>
      <c r="B64" s="17" t="s">
        <v>607</v>
      </c>
      <c r="C64" s="24">
        <v>3350</v>
      </c>
      <c r="D64" s="23" t="s">
        <v>2081</v>
      </c>
      <c r="E64" s="17" t="s">
        <v>65</v>
      </c>
      <c r="F64" s="17" t="s">
        <v>1160</v>
      </c>
      <c r="G64" s="34" t="s">
        <v>2086</v>
      </c>
      <c r="H64" s="22"/>
      <c r="I64" s="20" t="s">
        <v>22</v>
      </c>
      <c r="J64" s="20" t="s">
        <v>22</v>
      </c>
      <c r="K64" s="23" t="s">
        <v>458</v>
      </c>
      <c r="L64" s="18">
        <f>C64</f>
        <v>3350</v>
      </c>
    </row>
    <row r="65" spans="1:12" ht="146.75" hidden="1">
      <c r="A65" s="17">
        <v>63</v>
      </c>
      <c r="B65" s="17" t="s">
        <v>983</v>
      </c>
      <c r="C65" s="24">
        <v>3650</v>
      </c>
      <c r="D65" s="23" t="s">
        <v>2081</v>
      </c>
      <c r="E65" s="17" t="s">
        <v>65</v>
      </c>
      <c r="F65" s="17" t="s">
        <v>1160</v>
      </c>
      <c r="G65" s="34" t="s">
        <v>2087</v>
      </c>
      <c r="H65" s="22"/>
      <c r="I65" s="20" t="s">
        <v>24</v>
      </c>
      <c r="J65" s="20" t="s">
        <v>24</v>
      </c>
      <c r="K65" s="23" t="s">
        <v>458</v>
      </c>
      <c r="L65" s="18">
        <f>C65</f>
        <v>3650</v>
      </c>
    </row>
    <row r="66" spans="1:12" ht="36.700000000000003" hidden="1">
      <c r="A66" s="17">
        <v>64</v>
      </c>
      <c r="B66" s="17" t="s">
        <v>2088</v>
      </c>
      <c r="C66" s="24">
        <v>3150</v>
      </c>
      <c r="D66" s="23" t="s">
        <v>2081</v>
      </c>
      <c r="E66" s="17" t="s">
        <v>65</v>
      </c>
      <c r="F66" s="17" t="s">
        <v>1998</v>
      </c>
      <c r="G66" s="34" t="s">
        <v>2089</v>
      </c>
      <c r="H66" s="22"/>
      <c r="I66" s="20" t="s">
        <v>26</v>
      </c>
      <c r="J66" s="20" t="s">
        <v>18</v>
      </c>
      <c r="K66" s="23" t="s">
        <v>458</v>
      </c>
      <c r="L66" s="18">
        <f>C66</f>
        <v>3150</v>
      </c>
    </row>
    <row r="67" spans="1:12" ht="41.95" hidden="1" customHeight="1">
      <c r="A67" s="17">
        <v>65</v>
      </c>
      <c r="B67" s="17" t="s">
        <v>1265</v>
      </c>
      <c r="C67" s="24">
        <v>2200</v>
      </c>
      <c r="D67" s="23" t="s">
        <v>2090</v>
      </c>
      <c r="E67" s="17" t="s">
        <v>65</v>
      </c>
      <c r="F67" s="17" t="s">
        <v>213</v>
      </c>
      <c r="G67" s="34" t="s">
        <v>2091</v>
      </c>
      <c r="H67" s="22"/>
      <c r="I67" s="20" t="s">
        <v>26</v>
      </c>
      <c r="J67" s="20" t="s">
        <v>18</v>
      </c>
      <c r="K67" s="23" t="s">
        <v>458</v>
      </c>
      <c r="L67" s="18">
        <f>C67</f>
        <v>2200</v>
      </c>
    </row>
    <row r="68" spans="1:12" ht="36.700000000000003" hidden="1" customHeight="1">
      <c r="L68" s="18"/>
    </row>
    <row r="69" spans="1:12" ht="31.6" hidden="1" customHeight="1">
      <c r="L69" s="35"/>
    </row>
    <row r="70" spans="1:12" ht="31.6"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2092</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2" priority="309"/>
    <cfRule type="duplicateValues" dxfId="671" priority="310"/>
    <cfRule type="duplicateValues" dxfId="670" priority="311"/>
  </conditionalFormatting>
  <conditionalFormatting sqref="B3:B4 B10 B70:B1048576">
    <cfRule type="duplicateValues" dxfId="669" priority="65"/>
    <cfRule type="duplicateValues" dxfId="668" priority="66"/>
    <cfRule type="duplicateValues" dxfId="667" priority="67"/>
  </conditionalFormatting>
  <conditionalFormatting sqref="B11">
    <cfRule type="duplicateValues" dxfId="666" priority="58"/>
    <cfRule type="duplicateValues" dxfId="665" priority="59"/>
    <cfRule type="duplicateValues" dxfId="664" priority="60"/>
  </conditionalFormatting>
  <conditionalFormatting sqref="B12">
    <cfRule type="duplicateValues" dxfId="663" priority="55"/>
    <cfRule type="duplicateValues" dxfId="662" priority="56"/>
    <cfRule type="duplicateValues" dxfId="661" priority="57"/>
  </conditionalFormatting>
  <conditionalFormatting sqref="B13 B15 B23">
    <cfRule type="duplicateValues" dxfId="660" priority="43"/>
    <cfRule type="duplicateValues" dxfId="659" priority="44"/>
    <cfRule type="duplicateValues" dxfId="658" priority="45"/>
  </conditionalFormatting>
  <conditionalFormatting sqref="B14">
    <cfRule type="duplicateValues" dxfId="657" priority="40"/>
    <cfRule type="duplicateValues" dxfId="656" priority="41"/>
    <cfRule type="duplicateValues" dxfId="655" priority="42"/>
  </conditionalFormatting>
  <conditionalFormatting sqref="B16:B20">
    <cfRule type="duplicateValues" dxfId="654" priority="34"/>
    <cfRule type="duplicateValues" dxfId="653" priority="35"/>
    <cfRule type="duplicateValues" dxfId="652" priority="36"/>
  </conditionalFormatting>
  <conditionalFormatting sqref="B21:B22 B24:B29 B32:B33 B35:B36">
    <cfRule type="duplicateValues" dxfId="651" priority="229"/>
    <cfRule type="duplicateValues" dxfId="650" priority="230"/>
    <cfRule type="duplicateValues" dxfId="649" priority="235"/>
  </conditionalFormatting>
  <conditionalFormatting sqref="B30">
    <cfRule type="duplicateValues" dxfId="648" priority="13"/>
    <cfRule type="duplicateValues" dxfId="647" priority="14"/>
    <cfRule type="duplicateValues" dxfId="646" priority="15"/>
  </conditionalFormatting>
  <conditionalFormatting sqref="B31">
    <cfRule type="duplicateValues" dxfId="645" priority="16"/>
    <cfRule type="duplicateValues" dxfId="644" priority="17"/>
    <cfRule type="duplicateValues" dxfId="643" priority="18"/>
  </conditionalFormatting>
  <conditionalFormatting sqref="B34 B38">
    <cfRule type="duplicateValues" dxfId="642" priority="19"/>
    <cfRule type="duplicateValues" dxfId="641" priority="20"/>
    <cfRule type="duplicateValues" dxfId="640" priority="21"/>
  </conditionalFormatting>
  <conditionalFormatting sqref="B37 B39:B40">
    <cfRule type="duplicateValues" dxfId="639" priority="31"/>
    <cfRule type="duplicateValues" dxfId="638" priority="32"/>
    <cfRule type="duplicateValues" dxfId="637" priority="33"/>
  </conditionalFormatting>
  <conditionalFormatting sqref="B41:B47 B49:B50 B53">
    <cfRule type="duplicateValues" dxfId="636" priority="10"/>
    <cfRule type="duplicateValues" dxfId="635" priority="11"/>
    <cfRule type="duplicateValues" dxfId="634" priority="12"/>
  </conditionalFormatting>
  <conditionalFormatting sqref="B48 B51 B54:B56">
    <cfRule type="duplicateValues" dxfId="633" priority="289"/>
    <cfRule type="duplicateValues" dxfId="632" priority="290"/>
    <cfRule type="duplicateValues" dxfId="631" priority="295"/>
  </conditionalFormatting>
  <conditionalFormatting sqref="B52">
    <cfRule type="duplicateValues" dxfId="630" priority="22"/>
    <cfRule type="duplicateValues" dxfId="629" priority="23"/>
    <cfRule type="duplicateValues" dxfId="628" priority="24"/>
  </conditionalFormatting>
  <conditionalFormatting sqref="B57:B63">
    <cfRule type="duplicateValues" dxfId="627" priority="4"/>
    <cfRule type="duplicateValues" dxfId="626" priority="5"/>
    <cfRule type="duplicateValues" dxfId="625" priority="6"/>
  </conditionalFormatting>
  <conditionalFormatting sqref="B64:B66">
    <cfRule type="duplicateValues" dxfId="624" priority="25"/>
    <cfRule type="duplicateValues" dxfId="623" priority="26"/>
    <cfRule type="duplicateValues" dxfId="622" priority="27"/>
  </conditionalFormatting>
  <conditionalFormatting sqref="B67">
    <cfRule type="duplicateValues" dxfId="621" priority="1"/>
    <cfRule type="duplicateValues" dxfId="620" priority="2"/>
    <cfRule type="duplicateValues" dxfId="619"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704"/>
      <c r="D1" s="3704"/>
      <c r="E1" s="3704"/>
      <c r="F1" s="3704"/>
      <c r="G1" s="3704"/>
      <c r="H1" s="3704"/>
    </row>
    <row r="2" spans="1:15" ht="41.3" customHeight="1">
      <c r="A2" s="3719" t="s">
        <v>2093</v>
      </c>
      <c r="B2" s="3720"/>
      <c r="C2" s="3720"/>
      <c r="D2" s="3720"/>
      <c r="E2" s="3720"/>
      <c r="F2" s="3720"/>
      <c r="G2" s="3720"/>
      <c r="H2" s="3721"/>
      <c r="I2" s="46"/>
      <c r="J2" s="46"/>
      <c r="K2" s="47"/>
      <c r="L2" s="46"/>
      <c r="M2" s="4"/>
    </row>
    <row r="3" spans="1:15" ht="23.95" customHeight="1">
      <c r="A3" s="41"/>
      <c r="B3" s="48"/>
      <c r="C3" s="49">
        <f>SUBTOTAL(9,C5:C10015)</f>
        <v>160818</v>
      </c>
      <c r="D3" s="50"/>
      <c r="E3" s="50"/>
      <c r="F3" s="48"/>
      <c r="G3" s="51"/>
      <c r="H3" s="3722">
        <f ca="1">TODAY()</f>
        <v>45988</v>
      </c>
      <c r="I3" s="3722"/>
      <c r="J3" s="1198"/>
      <c r="K3" s="1198"/>
      <c r="L3" s="52"/>
    </row>
    <row r="4" spans="1:15" s="7" customFormat="1" ht="36.700000000000003">
      <c r="A4" s="53" t="s">
        <v>48</v>
      </c>
      <c r="B4" s="53" t="s">
        <v>1425</v>
      </c>
      <c r="C4" s="54" t="s">
        <v>50</v>
      </c>
      <c r="D4" s="53" t="s">
        <v>51</v>
      </c>
      <c r="E4" s="53" t="s">
        <v>55</v>
      </c>
      <c r="F4" s="53" t="s">
        <v>56</v>
      </c>
      <c r="G4" s="55" t="s">
        <v>57</v>
      </c>
      <c r="H4" s="53" t="s">
        <v>58</v>
      </c>
      <c r="I4" s="53" t="s">
        <v>52</v>
      </c>
      <c r="J4" s="53" t="s">
        <v>1094</v>
      </c>
      <c r="K4" s="53" t="s">
        <v>1256</v>
      </c>
      <c r="L4" s="54" t="s">
        <v>1939</v>
      </c>
      <c r="M4" s="53" t="s">
        <v>382</v>
      </c>
      <c r="N4" s="40">
        <f>SUM(N5:N9)</f>
        <v>160818</v>
      </c>
    </row>
    <row r="5" spans="1:15" ht="36.700000000000003">
      <c r="A5" s="17">
        <v>1</v>
      </c>
      <c r="B5" s="17" t="s">
        <v>1077</v>
      </c>
      <c r="C5" s="24">
        <v>3250</v>
      </c>
      <c r="D5" s="23" t="s">
        <v>2090</v>
      </c>
      <c r="E5" s="17" t="s">
        <v>65</v>
      </c>
      <c r="F5" s="17" t="s">
        <v>213</v>
      </c>
      <c r="G5" s="34" t="s">
        <v>2094</v>
      </c>
      <c r="H5" s="22"/>
      <c r="I5" s="20" t="s">
        <v>88</v>
      </c>
      <c r="J5" s="20" t="s">
        <v>24</v>
      </c>
      <c r="K5" s="23" t="s">
        <v>458</v>
      </c>
      <c r="L5" s="37">
        <f t="shared" ref="L5:L44" si="0">C5</f>
        <v>3250</v>
      </c>
      <c r="M5" s="41" t="s">
        <v>22</v>
      </c>
      <c r="N5" s="37">
        <f>SUMIF($I:$I,M5,L:L)</f>
        <v>44280</v>
      </c>
      <c r="O5" s="4"/>
    </row>
    <row r="6" spans="1:15" ht="73.400000000000006">
      <c r="A6" s="17">
        <v>2</v>
      </c>
      <c r="B6" s="17" t="s">
        <v>2095</v>
      </c>
      <c r="C6" s="24">
        <v>4300</v>
      </c>
      <c r="D6" s="23" t="s">
        <v>2090</v>
      </c>
      <c r="E6" s="17" t="s">
        <v>65</v>
      </c>
      <c r="F6" s="17" t="s">
        <v>213</v>
      </c>
      <c r="G6" s="34" t="s">
        <v>2096</v>
      </c>
      <c r="H6" s="22"/>
      <c r="I6" s="20" t="s">
        <v>24</v>
      </c>
      <c r="J6" s="20" t="s">
        <v>24</v>
      </c>
      <c r="K6" s="23" t="s">
        <v>458</v>
      </c>
      <c r="L6" s="37">
        <f t="shared" si="0"/>
        <v>4300</v>
      </c>
      <c r="M6" s="41" t="s">
        <v>24</v>
      </c>
      <c r="N6" s="37">
        <f>SUMIF($I:$I,M6,L:L)</f>
        <v>33665</v>
      </c>
    </row>
    <row r="7" spans="1:15" ht="73.400000000000006">
      <c r="A7" s="17">
        <v>3</v>
      </c>
      <c r="B7" s="17" t="s">
        <v>1722</v>
      </c>
      <c r="C7" s="24">
        <v>3650</v>
      </c>
      <c r="D7" s="23" t="s">
        <v>2090</v>
      </c>
      <c r="E7" s="17" t="s">
        <v>65</v>
      </c>
      <c r="F7" s="17" t="s">
        <v>164</v>
      </c>
      <c r="G7" s="34" t="s">
        <v>2097</v>
      </c>
      <c r="H7" s="22"/>
      <c r="I7" s="20" t="s">
        <v>22</v>
      </c>
      <c r="J7" s="20" t="s">
        <v>22</v>
      </c>
      <c r="K7" s="23" t="s">
        <v>458</v>
      </c>
      <c r="L7" s="37">
        <f t="shared" si="0"/>
        <v>3650</v>
      </c>
      <c r="M7" s="38" t="s">
        <v>26</v>
      </c>
      <c r="N7" s="37">
        <f>SUMIF($I:$I,M7,L:L)</f>
        <v>16470</v>
      </c>
    </row>
    <row r="8" spans="1:15" ht="36.700000000000003">
      <c r="A8" s="17">
        <v>4</v>
      </c>
      <c r="B8" s="17" t="s">
        <v>593</v>
      </c>
      <c r="C8" s="24">
        <v>3265</v>
      </c>
      <c r="D8" s="23" t="s">
        <v>2098</v>
      </c>
      <c r="E8" s="17" t="s">
        <v>65</v>
      </c>
      <c r="F8" s="17" t="s">
        <v>164</v>
      </c>
      <c r="G8" s="34" t="s">
        <v>2099</v>
      </c>
      <c r="H8" s="36"/>
      <c r="I8" s="17" t="s">
        <v>24</v>
      </c>
      <c r="J8" s="17" t="s">
        <v>24</v>
      </c>
      <c r="K8" s="23" t="s">
        <v>458</v>
      </c>
      <c r="L8" s="37">
        <f t="shared" si="0"/>
        <v>3265</v>
      </c>
      <c r="M8" s="41" t="s">
        <v>18</v>
      </c>
      <c r="N8" s="37">
        <f>SUMIF($I:$I,M8,L:L)</f>
        <v>35613</v>
      </c>
    </row>
    <row r="9" spans="1:15" ht="73.400000000000006">
      <c r="A9" s="17">
        <v>5</v>
      </c>
      <c r="B9" s="17" t="s">
        <v>1048</v>
      </c>
      <c r="C9" s="20">
        <v>3550</v>
      </c>
      <c r="D9" s="23" t="s">
        <v>2100</v>
      </c>
      <c r="E9" s="17" t="s">
        <v>65</v>
      </c>
      <c r="F9" s="17" t="s">
        <v>1160</v>
      </c>
      <c r="G9" s="21" t="s">
        <v>2101</v>
      </c>
      <c r="H9" s="22"/>
      <c r="I9" s="17" t="s">
        <v>88</v>
      </c>
      <c r="J9" s="17" t="s">
        <v>524</v>
      </c>
      <c r="K9" s="23" t="s">
        <v>458</v>
      </c>
      <c r="L9" s="37">
        <f t="shared" si="0"/>
        <v>3550</v>
      </c>
      <c r="M9" s="38" t="s">
        <v>88</v>
      </c>
      <c r="N9" s="37">
        <f>SUMIF($I:$I,M9,L:L)</f>
        <v>30790</v>
      </c>
    </row>
    <row r="10" spans="1:15" ht="36.700000000000003">
      <c r="A10" s="17">
        <v>6</v>
      </c>
      <c r="B10" s="17" t="s">
        <v>2102</v>
      </c>
      <c r="C10" s="20">
        <v>1950</v>
      </c>
      <c r="D10" s="17" t="s">
        <v>2103</v>
      </c>
      <c r="E10" s="17" t="s">
        <v>65</v>
      </c>
      <c r="F10" s="17" t="s">
        <v>213</v>
      </c>
      <c r="G10" s="21" t="s">
        <v>2104</v>
      </c>
      <c r="H10" s="22" t="s">
        <v>2105</v>
      </c>
      <c r="I10" s="17" t="s">
        <v>18</v>
      </c>
      <c r="J10" s="17" t="s">
        <v>18</v>
      </c>
      <c r="K10" s="23" t="s">
        <v>458</v>
      </c>
      <c r="L10" s="37">
        <f t="shared" si="0"/>
        <v>1950</v>
      </c>
      <c r="M10" s="38"/>
      <c r="N10" s="37"/>
    </row>
    <row r="11" spans="1:15" ht="36.700000000000003">
      <c r="A11" s="17">
        <v>7</v>
      </c>
      <c r="B11" s="17" t="s">
        <v>2106</v>
      </c>
      <c r="C11" s="20">
        <v>1860</v>
      </c>
      <c r="D11" s="17" t="s">
        <v>2103</v>
      </c>
      <c r="E11" s="17" t="s">
        <v>65</v>
      </c>
      <c r="F11" s="17" t="s">
        <v>213</v>
      </c>
      <c r="G11" s="21" t="s">
        <v>2107</v>
      </c>
      <c r="H11" s="22" t="s">
        <v>2108</v>
      </c>
      <c r="I11" s="60" t="s">
        <v>26</v>
      </c>
      <c r="J11" s="17" t="s">
        <v>524</v>
      </c>
      <c r="K11" s="23" t="s">
        <v>458</v>
      </c>
      <c r="L11" s="37">
        <f t="shared" si="0"/>
        <v>1860</v>
      </c>
      <c r="M11" s="38"/>
      <c r="N11" s="37"/>
    </row>
    <row r="12" spans="1:15">
      <c r="A12" s="17">
        <v>8</v>
      </c>
      <c r="B12" s="17" t="s">
        <v>844</v>
      </c>
      <c r="C12" s="20">
        <v>3000</v>
      </c>
      <c r="D12" s="17" t="s">
        <v>2109</v>
      </c>
      <c r="E12" s="17" t="s">
        <v>65</v>
      </c>
      <c r="F12" s="17" t="s">
        <v>213</v>
      </c>
      <c r="G12" s="21" t="s">
        <v>2110</v>
      </c>
      <c r="H12" s="22" t="s">
        <v>2105</v>
      </c>
      <c r="I12" s="17" t="s">
        <v>24</v>
      </c>
      <c r="J12" s="17" t="s">
        <v>24</v>
      </c>
      <c r="K12" s="23" t="s">
        <v>458</v>
      </c>
      <c r="L12" s="37">
        <f t="shared" si="0"/>
        <v>3000</v>
      </c>
      <c r="M12" s="38"/>
      <c r="N12" s="37"/>
    </row>
    <row r="13" spans="1:15" ht="36.700000000000003">
      <c r="A13" s="17">
        <v>9</v>
      </c>
      <c r="B13" s="17" t="s">
        <v>1815</v>
      </c>
      <c r="C13" s="20">
        <v>2630</v>
      </c>
      <c r="D13" s="17" t="s">
        <v>2109</v>
      </c>
      <c r="E13" s="17" t="s">
        <v>65</v>
      </c>
      <c r="F13" s="17" t="s">
        <v>213</v>
      </c>
      <c r="G13" s="21" t="s">
        <v>2111</v>
      </c>
      <c r="H13" s="22" t="s">
        <v>2112</v>
      </c>
      <c r="I13" s="17" t="s">
        <v>88</v>
      </c>
      <c r="J13" s="17" t="s">
        <v>24</v>
      </c>
      <c r="K13" s="23" t="s">
        <v>458</v>
      </c>
      <c r="L13" s="37">
        <f t="shared" si="0"/>
        <v>2630</v>
      </c>
      <c r="M13" s="38"/>
      <c r="N13" s="37"/>
    </row>
    <row r="14" spans="1:15" ht="128.4">
      <c r="A14" s="17">
        <v>10</v>
      </c>
      <c r="B14" s="17" t="s">
        <v>1958</v>
      </c>
      <c r="C14" s="20">
        <v>4000</v>
      </c>
      <c r="D14" s="17" t="s">
        <v>2113</v>
      </c>
      <c r="E14" s="17" t="s">
        <v>65</v>
      </c>
      <c r="F14" s="17" t="s">
        <v>213</v>
      </c>
      <c r="G14" s="21" t="s">
        <v>2114</v>
      </c>
      <c r="H14" s="22" t="s">
        <v>2115</v>
      </c>
      <c r="I14" s="17" t="s">
        <v>22</v>
      </c>
      <c r="J14" s="17" t="s">
        <v>22</v>
      </c>
      <c r="K14" s="23" t="s">
        <v>458</v>
      </c>
      <c r="L14" s="37">
        <f t="shared" si="0"/>
        <v>4000</v>
      </c>
      <c r="M14" s="38"/>
      <c r="N14" s="37"/>
    </row>
    <row r="15" spans="1:15" ht="91.7">
      <c r="A15" s="17">
        <v>11</v>
      </c>
      <c r="B15" s="17" t="s">
        <v>2116</v>
      </c>
      <c r="C15" s="24">
        <v>2970</v>
      </c>
      <c r="D15" s="17" t="s">
        <v>2113</v>
      </c>
      <c r="E15" s="17" t="s">
        <v>65</v>
      </c>
      <c r="F15" s="17" t="s">
        <v>213</v>
      </c>
      <c r="G15" s="21" t="s">
        <v>2117</v>
      </c>
      <c r="H15" s="21" t="s">
        <v>2118</v>
      </c>
      <c r="I15" s="17" t="s">
        <v>22</v>
      </c>
      <c r="J15" s="17" t="s">
        <v>22</v>
      </c>
      <c r="K15" s="17" t="s">
        <v>458</v>
      </c>
      <c r="L15" s="37">
        <f t="shared" si="0"/>
        <v>2970</v>
      </c>
      <c r="M15" s="39"/>
      <c r="N15" s="39"/>
    </row>
    <row r="16" spans="1:15" ht="146.75">
      <c r="A16" s="17">
        <v>12</v>
      </c>
      <c r="B16" s="17" t="s">
        <v>1599</v>
      </c>
      <c r="C16" s="24">
        <v>3650</v>
      </c>
      <c r="D16" s="17" t="s">
        <v>2113</v>
      </c>
      <c r="E16" s="17" t="s">
        <v>65</v>
      </c>
      <c r="F16" s="17" t="s">
        <v>213</v>
      </c>
      <c r="G16" s="21" t="s">
        <v>2119</v>
      </c>
      <c r="H16" s="21" t="s">
        <v>2120</v>
      </c>
      <c r="I16" s="17" t="s">
        <v>24</v>
      </c>
      <c r="J16" s="17" t="s">
        <v>24</v>
      </c>
      <c r="K16" s="17" t="s">
        <v>458</v>
      </c>
      <c r="L16" s="37">
        <f t="shared" si="0"/>
        <v>3650</v>
      </c>
      <c r="M16" s="39"/>
      <c r="N16" s="39"/>
    </row>
    <row r="17" spans="1:14">
      <c r="A17" s="17">
        <v>13</v>
      </c>
      <c r="B17" s="17" t="s">
        <v>1624</v>
      </c>
      <c r="C17" s="24">
        <v>2450</v>
      </c>
      <c r="D17" s="17" t="s">
        <v>2121</v>
      </c>
      <c r="E17" s="17" t="s">
        <v>65</v>
      </c>
      <c r="F17" s="17" t="s">
        <v>213</v>
      </c>
      <c r="G17" s="36" t="s">
        <v>2122</v>
      </c>
      <c r="H17" s="36"/>
      <c r="I17" s="17" t="s">
        <v>88</v>
      </c>
      <c r="J17" s="17" t="s">
        <v>524</v>
      </c>
      <c r="K17" s="17" t="s">
        <v>458</v>
      </c>
      <c r="L17" s="37">
        <f t="shared" si="0"/>
        <v>2450</v>
      </c>
      <c r="M17" s="39"/>
      <c r="N17" s="39"/>
    </row>
    <row r="18" spans="1:14" ht="110.05">
      <c r="A18" s="17">
        <v>14</v>
      </c>
      <c r="B18" s="17" t="s">
        <v>2123</v>
      </c>
      <c r="C18" s="24">
        <v>3350</v>
      </c>
      <c r="D18" s="17" t="s">
        <v>2121</v>
      </c>
      <c r="E18" s="17" t="s">
        <v>65</v>
      </c>
      <c r="F18" s="17" t="s">
        <v>142</v>
      </c>
      <c r="G18" s="21" t="s">
        <v>2124</v>
      </c>
      <c r="H18" s="21" t="s">
        <v>2125</v>
      </c>
      <c r="I18" s="17" t="s">
        <v>88</v>
      </c>
      <c r="J18" s="17" t="s">
        <v>524</v>
      </c>
      <c r="K18" s="17" t="s">
        <v>458</v>
      </c>
      <c r="L18" s="37">
        <f t="shared" si="0"/>
        <v>3350</v>
      </c>
      <c r="M18" s="39"/>
      <c r="N18" s="39"/>
    </row>
    <row r="19" spans="1:14" ht="36.700000000000003">
      <c r="A19" s="17">
        <v>15</v>
      </c>
      <c r="B19" s="17" t="s">
        <v>584</v>
      </c>
      <c r="C19" s="24">
        <v>3000</v>
      </c>
      <c r="D19" s="17" t="s">
        <v>2126</v>
      </c>
      <c r="E19" s="17" t="s">
        <v>65</v>
      </c>
      <c r="F19" s="17" t="s">
        <v>294</v>
      </c>
      <c r="G19" s="36" t="s">
        <v>2127</v>
      </c>
      <c r="H19" s="21" t="s">
        <v>2128</v>
      </c>
      <c r="I19" s="17" t="s">
        <v>22</v>
      </c>
      <c r="J19" s="17" t="s">
        <v>22</v>
      </c>
      <c r="K19" s="17" t="s">
        <v>1569</v>
      </c>
      <c r="L19" s="37">
        <f t="shared" si="0"/>
        <v>3000</v>
      </c>
      <c r="M19" s="39"/>
      <c r="N19" s="39"/>
    </row>
    <row r="20" spans="1:14">
      <c r="A20" s="17">
        <v>16</v>
      </c>
      <c r="B20" s="17" t="s">
        <v>1994</v>
      </c>
      <c r="C20" s="24">
        <v>2900</v>
      </c>
      <c r="D20" s="17" t="s">
        <v>2126</v>
      </c>
      <c r="E20" s="17" t="s">
        <v>65</v>
      </c>
      <c r="F20" s="17" t="s">
        <v>213</v>
      </c>
      <c r="G20" s="21" t="s">
        <v>2129</v>
      </c>
      <c r="H20" s="36"/>
      <c r="I20" s="17" t="s">
        <v>22</v>
      </c>
      <c r="J20" s="17" t="s">
        <v>22</v>
      </c>
      <c r="K20" s="17" t="s">
        <v>458</v>
      </c>
      <c r="L20" s="37">
        <f t="shared" si="0"/>
        <v>2900</v>
      </c>
      <c r="M20" s="39"/>
      <c r="N20" s="39"/>
    </row>
    <row r="21" spans="1:14" ht="73.400000000000006">
      <c r="A21" s="17">
        <v>17</v>
      </c>
      <c r="B21" s="17" t="s">
        <v>955</v>
      </c>
      <c r="C21" s="24">
        <v>3550</v>
      </c>
      <c r="D21" s="17" t="s">
        <v>2126</v>
      </c>
      <c r="E21" s="17" t="s">
        <v>65</v>
      </c>
      <c r="F21" s="17" t="s">
        <v>213</v>
      </c>
      <c r="G21" s="21" t="s">
        <v>2130</v>
      </c>
      <c r="H21" s="36"/>
      <c r="I21" s="17" t="s">
        <v>26</v>
      </c>
      <c r="J21" s="17" t="s">
        <v>18</v>
      </c>
      <c r="K21" s="17" t="s">
        <v>458</v>
      </c>
      <c r="L21" s="37">
        <f t="shared" si="0"/>
        <v>3550</v>
      </c>
      <c r="M21" s="39"/>
      <c r="N21" s="39"/>
    </row>
    <row r="22" spans="1:14" ht="146.75">
      <c r="A22" s="17">
        <v>18</v>
      </c>
      <c r="B22" s="17" t="s">
        <v>2131</v>
      </c>
      <c r="C22" s="24">
        <v>5543</v>
      </c>
      <c r="D22" s="17" t="s">
        <v>2132</v>
      </c>
      <c r="E22" s="17" t="s">
        <v>65</v>
      </c>
      <c r="F22" s="17" t="s">
        <v>213</v>
      </c>
      <c r="G22" s="21" t="s">
        <v>2133</v>
      </c>
      <c r="H22" s="26" t="s">
        <v>2134</v>
      </c>
      <c r="I22" s="17" t="s">
        <v>18</v>
      </c>
      <c r="J22" s="17" t="s">
        <v>18</v>
      </c>
      <c r="K22" s="17" t="s">
        <v>458</v>
      </c>
      <c r="L22" s="37">
        <f t="shared" si="0"/>
        <v>5543</v>
      </c>
      <c r="M22" s="39"/>
      <c r="N22" s="39"/>
    </row>
    <row r="23" spans="1:14" ht="55.05">
      <c r="A23" s="17">
        <v>19</v>
      </c>
      <c r="B23" s="17" t="s">
        <v>311</v>
      </c>
      <c r="C23" s="24">
        <v>3950</v>
      </c>
      <c r="D23" s="17" t="s">
        <v>2135</v>
      </c>
      <c r="E23" s="17" t="s">
        <v>65</v>
      </c>
      <c r="F23" s="17" t="s">
        <v>2136</v>
      </c>
      <c r="G23" s="21" t="s">
        <v>2137</v>
      </c>
      <c r="H23" s="21" t="s">
        <v>2138</v>
      </c>
      <c r="I23" s="17" t="s">
        <v>22</v>
      </c>
      <c r="J23" s="17" t="s">
        <v>22</v>
      </c>
      <c r="K23" s="17" t="s">
        <v>2139</v>
      </c>
      <c r="L23" s="37">
        <f t="shared" si="0"/>
        <v>3950</v>
      </c>
      <c r="M23" s="39"/>
      <c r="N23" s="39"/>
    </row>
    <row r="24" spans="1:14" ht="36.700000000000003">
      <c r="A24" s="17">
        <v>20</v>
      </c>
      <c r="B24" s="17" t="s">
        <v>2140</v>
      </c>
      <c r="C24" s="24">
        <v>3060</v>
      </c>
      <c r="D24" s="17" t="s">
        <v>2141</v>
      </c>
      <c r="E24" s="17" t="s">
        <v>65</v>
      </c>
      <c r="F24" s="17" t="s">
        <v>462</v>
      </c>
      <c r="G24" s="21" t="s">
        <v>2142</v>
      </c>
      <c r="H24" s="21" t="s">
        <v>2143</v>
      </c>
      <c r="I24" s="17" t="s">
        <v>22</v>
      </c>
      <c r="J24" s="17" t="s">
        <v>22</v>
      </c>
      <c r="K24" s="17" t="s">
        <v>2060</v>
      </c>
      <c r="L24" s="37">
        <f t="shared" si="0"/>
        <v>3060</v>
      </c>
      <c r="M24" s="39"/>
      <c r="N24" s="39"/>
    </row>
    <row r="25" spans="1:14">
      <c r="A25" s="17">
        <v>21</v>
      </c>
      <c r="B25" s="17" t="s">
        <v>816</v>
      </c>
      <c r="C25" s="24">
        <v>2950</v>
      </c>
      <c r="D25" s="17" t="s">
        <v>2141</v>
      </c>
      <c r="E25" s="17" t="s">
        <v>65</v>
      </c>
      <c r="F25" s="17" t="s">
        <v>462</v>
      </c>
      <c r="G25" s="36" t="s">
        <v>2144</v>
      </c>
      <c r="H25" s="36"/>
      <c r="I25" s="17" t="s">
        <v>26</v>
      </c>
      <c r="J25" s="17" t="s">
        <v>24</v>
      </c>
      <c r="K25" s="17" t="s">
        <v>2060</v>
      </c>
      <c r="L25" s="37">
        <f t="shared" si="0"/>
        <v>2950</v>
      </c>
      <c r="M25" s="39"/>
      <c r="N25" s="39"/>
    </row>
    <row r="26" spans="1:14" ht="36.700000000000003">
      <c r="A26" s="17">
        <v>22</v>
      </c>
      <c r="B26" s="17" t="s">
        <v>1818</v>
      </c>
      <c r="C26" s="24">
        <v>1800</v>
      </c>
      <c r="D26" s="17" t="s">
        <v>2145</v>
      </c>
      <c r="E26" s="17" t="s">
        <v>65</v>
      </c>
      <c r="F26" s="17" t="s">
        <v>462</v>
      </c>
      <c r="G26" s="21" t="s">
        <v>2146</v>
      </c>
      <c r="H26" s="21" t="s">
        <v>2147</v>
      </c>
      <c r="I26" s="17" t="s">
        <v>18</v>
      </c>
      <c r="J26" s="17" t="s">
        <v>18</v>
      </c>
      <c r="K26" s="17" t="s">
        <v>2060</v>
      </c>
      <c r="L26" s="37">
        <f t="shared" si="0"/>
        <v>1800</v>
      </c>
    </row>
    <row r="27" spans="1:14" ht="55.05">
      <c r="A27" s="17">
        <v>23</v>
      </c>
      <c r="B27" s="17" t="s">
        <v>2148</v>
      </c>
      <c r="C27" s="24">
        <v>3700</v>
      </c>
      <c r="D27" s="17" t="s">
        <v>2141</v>
      </c>
      <c r="E27" s="17" t="s">
        <v>65</v>
      </c>
      <c r="F27" s="17" t="s">
        <v>213</v>
      </c>
      <c r="G27" s="21" t="s">
        <v>2149</v>
      </c>
      <c r="H27" s="26" t="s">
        <v>2150</v>
      </c>
      <c r="I27" s="17" t="s">
        <v>88</v>
      </c>
      <c r="J27" s="17" t="s">
        <v>524</v>
      </c>
      <c r="K27" s="17" t="s">
        <v>2139</v>
      </c>
      <c r="L27" s="37">
        <f t="shared" si="0"/>
        <v>3700</v>
      </c>
    </row>
    <row r="28" spans="1:14" ht="110.05">
      <c r="A28" s="17">
        <v>24</v>
      </c>
      <c r="B28" s="17" t="s">
        <v>2151</v>
      </c>
      <c r="C28" s="24">
        <v>4250</v>
      </c>
      <c r="D28" s="17" t="s">
        <v>2145</v>
      </c>
      <c r="E28" s="17" t="s">
        <v>65</v>
      </c>
      <c r="F28" s="17" t="s">
        <v>213</v>
      </c>
      <c r="G28" s="21" t="s">
        <v>2152</v>
      </c>
      <c r="H28" s="21" t="s">
        <v>2153</v>
      </c>
      <c r="I28" s="17" t="s">
        <v>24</v>
      </c>
      <c r="J28" s="17" t="s">
        <v>24</v>
      </c>
      <c r="K28" s="17" t="s">
        <v>2154</v>
      </c>
      <c r="L28" s="37">
        <f t="shared" si="0"/>
        <v>4250</v>
      </c>
    </row>
    <row r="29" spans="1:14" ht="55.05">
      <c r="A29" s="17">
        <v>25</v>
      </c>
      <c r="B29" s="17" t="s">
        <v>677</v>
      </c>
      <c r="C29" s="24">
        <v>3000</v>
      </c>
      <c r="D29" s="17" t="s">
        <v>2141</v>
      </c>
      <c r="E29" s="17" t="s">
        <v>65</v>
      </c>
      <c r="F29" s="17" t="s">
        <v>213</v>
      </c>
      <c r="G29" s="21" t="s">
        <v>2155</v>
      </c>
      <c r="H29" s="21" t="s">
        <v>2156</v>
      </c>
      <c r="I29" s="17" t="s">
        <v>22</v>
      </c>
      <c r="J29" s="17" t="s">
        <v>22</v>
      </c>
      <c r="K29" s="17" t="s">
        <v>2157</v>
      </c>
      <c r="L29" s="37">
        <f t="shared" si="0"/>
        <v>3000</v>
      </c>
    </row>
    <row r="30" spans="1:14" ht="110.05">
      <c r="A30" s="17">
        <v>26</v>
      </c>
      <c r="B30" s="17" t="s">
        <v>1191</v>
      </c>
      <c r="C30" s="24">
        <v>5050</v>
      </c>
      <c r="D30" s="17" t="s">
        <v>2145</v>
      </c>
      <c r="E30" s="17" t="s">
        <v>65</v>
      </c>
      <c r="F30" s="17" t="s">
        <v>213</v>
      </c>
      <c r="G30" s="21" t="s">
        <v>2158</v>
      </c>
      <c r="H30" s="22" t="s">
        <v>2159</v>
      </c>
      <c r="I30" s="17" t="s">
        <v>18</v>
      </c>
      <c r="J30" s="17" t="s">
        <v>18</v>
      </c>
      <c r="K30" s="17" t="s">
        <v>2154</v>
      </c>
      <c r="L30" s="37">
        <f t="shared" si="0"/>
        <v>5050</v>
      </c>
    </row>
    <row r="31" spans="1:14">
      <c r="A31" s="17">
        <v>27</v>
      </c>
      <c r="B31" s="17" t="s">
        <v>584</v>
      </c>
      <c r="C31" s="24">
        <v>2960</v>
      </c>
      <c r="D31" s="17" t="s">
        <v>2160</v>
      </c>
      <c r="E31" s="17" t="s">
        <v>65</v>
      </c>
      <c r="F31" s="17" t="s">
        <v>213</v>
      </c>
      <c r="G31" s="21" t="s">
        <v>2161</v>
      </c>
      <c r="H31" s="3723" t="s">
        <v>2162</v>
      </c>
      <c r="I31" s="17" t="s">
        <v>26</v>
      </c>
      <c r="J31" s="17" t="s">
        <v>524</v>
      </c>
      <c r="K31" s="17" t="s">
        <v>458</v>
      </c>
      <c r="L31" s="37">
        <f t="shared" si="0"/>
        <v>2960</v>
      </c>
    </row>
    <row r="32" spans="1:14">
      <c r="A32" s="17">
        <v>28</v>
      </c>
      <c r="B32" s="17" t="s">
        <v>2163</v>
      </c>
      <c r="C32" s="24">
        <v>2450</v>
      </c>
      <c r="D32" s="17" t="s">
        <v>2160</v>
      </c>
      <c r="E32" s="17" t="s">
        <v>65</v>
      </c>
      <c r="F32" s="17" t="s">
        <v>213</v>
      </c>
      <c r="G32" s="21" t="s">
        <v>2164</v>
      </c>
      <c r="H32" s="3724"/>
      <c r="I32" s="17" t="s">
        <v>88</v>
      </c>
      <c r="J32" s="17" t="s">
        <v>524</v>
      </c>
      <c r="K32" s="17" t="s">
        <v>458</v>
      </c>
      <c r="L32" s="37">
        <f t="shared" si="0"/>
        <v>2450</v>
      </c>
    </row>
    <row r="33" spans="1:12" ht="128.4">
      <c r="A33" s="17">
        <v>29</v>
      </c>
      <c r="B33" s="17" t="s">
        <v>578</v>
      </c>
      <c r="C33" s="24">
        <v>4300</v>
      </c>
      <c r="D33" s="17" t="s">
        <v>2165</v>
      </c>
      <c r="E33" s="17" t="s">
        <v>65</v>
      </c>
      <c r="F33" s="17" t="s">
        <v>1235</v>
      </c>
      <c r="G33" s="21" t="s">
        <v>2166</v>
      </c>
      <c r="H33" s="42"/>
      <c r="I33" s="17" t="s">
        <v>18</v>
      </c>
      <c r="J33" s="17" t="s">
        <v>18</v>
      </c>
      <c r="K33" s="17" t="s">
        <v>458</v>
      </c>
      <c r="L33" s="37">
        <f t="shared" si="0"/>
        <v>4300</v>
      </c>
    </row>
    <row r="34" spans="1:12" ht="91.7">
      <c r="A34" s="17">
        <v>30</v>
      </c>
      <c r="B34" s="17" t="s">
        <v>1113</v>
      </c>
      <c r="C34" s="24">
        <v>4000</v>
      </c>
      <c r="D34" s="17" t="s">
        <v>2165</v>
      </c>
      <c r="E34" s="17" t="s">
        <v>65</v>
      </c>
      <c r="F34" s="17" t="s">
        <v>213</v>
      </c>
      <c r="G34" s="21" t="s">
        <v>2167</v>
      </c>
      <c r="H34" s="42"/>
      <c r="I34" s="17" t="s">
        <v>24</v>
      </c>
      <c r="J34" s="17" t="s">
        <v>24</v>
      </c>
      <c r="K34" s="17" t="s">
        <v>458</v>
      </c>
      <c r="L34" s="37">
        <f t="shared" si="0"/>
        <v>4000</v>
      </c>
    </row>
    <row r="35" spans="1:12" ht="55.05">
      <c r="A35" s="17">
        <v>31</v>
      </c>
      <c r="B35" s="17" t="s">
        <v>1237</v>
      </c>
      <c r="C35" s="24">
        <v>3120</v>
      </c>
      <c r="D35" s="17" t="s">
        <v>2168</v>
      </c>
      <c r="E35" s="17" t="s">
        <v>65</v>
      </c>
      <c r="F35" s="17" t="s">
        <v>213</v>
      </c>
      <c r="G35" s="21" t="s">
        <v>2169</v>
      </c>
      <c r="H35" s="36"/>
      <c r="I35" s="17" t="s">
        <v>18</v>
      </c>
      <c r="J35" s="17" t="s">
        <v>18</v>
      </c>
      <c r="K35" s="17" t="s">
        <v>458</v>
      </c>
      <c r="L35" s="37">
        <f t="shared" si="0"/>
        <v>3120</v>
      </c>
    </row>
    <row r="36" spans="1:12" ht="91.7">
      <c r="A36" s="17">
        <v>32</v>
      </c>
      <c r="B36" s="17" t="s">
        <v>2170</v>
      </c>
      <c r="C36" s="24">
        <v>3550</v>
      </c>
      <c r="D36" s="17" t="s">
        <v>2171</v>
      </c>
      <c r="E36" s="17" t="s">
        <v>65</v>
      </c>
      <c r="F36" s="17" t="s">
        <v>213</v>
      </c>
      <c r="G36" s="43" t="s">
        <v>2172</v>
      </c>
      <c r="H36" s="21" t="s">
        <v>2173</v>
      </c>
      <c r="I36" s="17" t="s">
        <v>22</v>
      </c>
      <c r="J36" s="17" t="s">
        <v>22</v>
      </c>
      <c r="K36" s="17" t="s">
        <v>2174</v>
      </c>
      <c r="L36" s="37">
        <f t="shared" si="0"/>
        <v>3550</v>
      </c>
    </row>
    <row r="37" spans="1:12" ht="36.700000000000003">
      <c r="A37" s="17">
        <v>33</v>
      </c>
      <c r="B37" s="17" t="s">
        <v>1265</v>
      </c>
      <c r="C37" s="24">
        <v>2200</v>
      </c>
      <c r="D37" s="17" t="s">
        <v>2175</v>
      </c>
      <c r="E37" s="17" t="s">
        <v>65</v>
      </c>
      <c r="F37" s="17" t="s">
        <v>213</v>
      </c>
      <c r="G37" s="21" t="s">
        <v>2176</v>
      </c>
      <c r="H37" s="21" t="s">
        <v>2177</v>
      </c>
      <c r="I37" s="17" t="s">
        <v>266</v>
      </c>
      <c r="J37" s="17" t="s">
        <v>524</v>
      </c>
      <c r="K37" s="17" t="s">
        <v>2178</v>
      </c>
      <c r="L37" s="37">
        <f t="shared" si="0"/>
        <v>2200</v>
      </c>
    </row>
    <row r="38" spans="1:12" ht="73.400000000000006">
      <c r="A38" s="17">
        <v>34</v>
      </c>
      <c r="B38" s="17" t="s">
        <v>1815</v>
      </c>
      <c r="C38" s="24">
        <v>2630</v>
      </c>
      <c r="D38" s="17" t="s">
        <v>2175</v>
      </c>
      <c r="E38" s="17" t="s">
        <v>65</v>
      </c>
      <c r="F38" s="17" t="s">
        <v>213</v>
      </c>
      <c r="G38" s="21" t="s">
        <v>2176</v>
      </c>
      <c r="H38" s="21" t="s">
        <v>2179</v>
      </c>
      <c r="I38" s="17" t="s">
        <v>1666</v>
      </c>
      <c r="J38" s="17" t="s">
        <v>524</v>
      </c>
      <c r="K38" s="17" t="s">
        <v>2178</v>
      </c>
      <c r="L38" s="37">
        <f t="shared" si="0"/>
        <v>2630</v>
      </c>
    </row>
    <row r="39" spans="1:12" ht="55.05">
      <c r="A39" s="72">
        <v>35</v>
      </c>
      <c r="B39" s="72" t="s">
        <v>2180</v>
      </c>
      <c r="C39" s="73">
        <v>3350</v>
      </c>
      <c r="D39" s="72" t="s">
        <v>2181</v>
      </c>
      <c r="E39" s="72" t="s">
        <v>65</v>
      </c>
      <c r="F39" s="72" t="s">
        <v>213</v>
      </c>
      <c r="G39" s="74" t="s">
        <v>2182</v>
      </c>
      <c r="H39" s="74" t="s">
        <v>2183</v>
      </c>
      <c r="I39" s="72" t="s">
        <v>22</v>
      </c>
      <c r="J39" s="72" t="s">
        <v>22</v>
      </c>
      <c r="K39" s="72" t="s">
        <v>2178</v>
      </c>
      <c r="L39" s="37">
        <f t="shared" si="0"/>
        <v>3350</v>
      </c>
    </row>
    <row r="40" spans="1:12" ht="36.700000000000003">
      <c r="A40" s="72">
        <v>36</v>
      </c>
      <c r="B40" s="72" t="s">
        <v>2184</v>
      </c>
      <c r="C40" s="73">
        <v>2900</v>
      </c>
      <c r="D40" s="72" t="s">
        <v>267</v>
      </c>
      <c r="E40" s="72" t="s">
        <v>65</v>
      </c>
      <c r="F40" s="72" t="s">
        <v>213</v>
      </c>
      <c r="G40" s="74" t="s">
        <v>2185</v>
      </c>
      <c r="H40" s="74" t="s">
        <v>2186</v>
      </c>
      <c r="I40" s="72" t="s">
        <v>24</v>
      </c>
      <c r="J40" s="72" t="s">
        <v>24</v>
      </c>
      <c r="K40" s="72" t="s">
        <v>1569</v>
      </c>
      <c r="L40" s="37">
        <f t="shared" si="0"/>
        <v>2900</v>
      </c>
    </row>
    <row r="41" spans="1:12" ht="55.05">
      <c r="A41" s="72">
        <v>37</v>
      </c>
      <c r="B41" s="72" t="s">
        <v>2187</v>
      </c>
      <c r="C41" s="73">
        <v>3430</v>
      </c>
      <c r="D41" s="76" t="s">
        <v>267</v>
      </c>
      <c r="E41" s="72" t="s">
        <v>65</v>
      </c>
      <c r="F41" s="72" t="s">
        <v>213</v>
      </c>
      <c r="G41" s="74" t="s">
        <v>2188</v>
      </c>
      <c r="H41" s="74" t="s">
        <v>2189</v>
      </c>
      <c r="I41" s="72" t="s">
        <v>88</v>
      </c>
      <c r="J41" s="72" t="s">
        <v>24</v>
      </c>
      <c r="K41" s="72" t="s">
        <v>1569</v>
      </c>
      <c r="L41" s="37">
        <f t="shared" si="0"/>
        <v>3430</v>
      </c>
    </row>
    <row r="42" spans="1:12" ht="36.700000000000003">
      <c r="A42" s="72">
        <v>38</v>
      </c>
      <c r="B42" s="72" t="s">
        <v>2190</v>
      </c>
      <c r="C42" s="77">
        <v>3900</v>
      </c>
      <c r="D42" s="76" t="s">
        <v>267</v>
      </c>
      <c r="E42" s="78" t="s">
        <v>65</v>
      </c>
      <c r="F42" s="72" t="s">
        <v>240</v>
      </c>
      <c r="G42" s="74" t="s">
        <v>2191</v>
      </c>
      <c r="H42" s="74" t="s">
        <v>2192</v>
      </c>
      <c r="I42" s="72" t="s">
        <v>18</v>
      </c>
      <c r="J42" s="72" t="s">
        <v>18</v>
      </c>
      <c r="K42" s="72" t="s">
        <v>2193</v>
      </c>
      <c r="L42" s="37">
        <f t="shared" si="0"/>
        <v>3900</v>
      </c>
    </row>
    <row r="43" spans="1:12" ht="46.05" customHeight="1">
      <c r="A43" s="72">
        <v>39</v>
      </c>
      <c r="B43" s="72" t="s">
        <v>2194</v>
      </c>
      <c r="C43" s="77">
        <v>2950</v>
      </c>
      <c r="D43" s="76" t="s">
        <v>267</v>
      </c>
      <c r="E43" s="78" t="s">
        <v>65</v>
      </c>
      <c r="F43" s="72" t="s">
        <v>164</v>
      </c>
      <c r="G43" s="74" t="s">
        <v>2195</v>
      </c>
      <c r="H43" s="81" t="s">
        <v>2196</v>
      </c>
      <c r="I43" s="72" t="s">
        <v>26</v>
      </c>
      <c r="J43" s="72" t="s">
        <v>18</v>
      </c>
      <c r="K43" s="72" t="s">
        <v>1569</v>
      </c>
      <c r="L43" s="37">
        <f t="shared" si="0"/>
        <v>2950</v>
      </c>
    </row>
    <row r="44" spans="1:12" ht="46.05" customHeight="1">
      <c r="A44" s="72">
        <v>40</v>
      </c>
      <c r="B44" s="72" t="s">
        <v>1188</v>
      </c>
      <c r="C44" s="77">
        <v>5250</v>
      </c>
      <c r="D44" s="76" t="s">
        <v>267</v>
      </c>
      <c r="E44" s="78" t="s">
        <v>65</v>
      </c>
      <c r="F44" s="72" t="s">
        <v>213</v>
      </c>
      <c r="G44" s="74" t="s">
        <v>2197</v>
      </c>
      <c r="H44" s="81" t="s">
        <v>2198</v>
      </c>
      <c r="I44" s="72" t="s">
        <v>18</v>
      </c>
      <c r="J44" s="72" t="s">
        <v>18</v>
      </c>
      <c r="K44" s="76" t="s">
        <v>458</v>
      </c>
      <c r="L44" s="75">
        <f t="shared" si="0"/>
        <v>5250</v>
      </c>
    </row>
    <row r="45" spans="1:12" ht="63.7" customHeight="1">
      <c r="A45" s="76">
        <v>41</v>
      </c>
      <c r="B45" s="76" t="s">
        <v>1735</v>
      </c>
      <c r="C45" s="82">
        <v>2900</v>
      </c>
      <c r="D45" s="76" t="s">
        <v>267</v>
      </c>
      <c r="E45" s="83" t="s">
        <v>65</v>
      </c>
      <c r="F45" s="76" t="s">
        <v>213</v>
      </c>
      <c r="G45" s="84" t="s">
        <v>2199</v>
      </c>
      <c r="H45" s="85" t="s">
        <v>2200</v>
      </c>
      <c r="I45" s="76" t="s">
        <v>22</v>
      </c>
      <c r="J45" s="86" t="s">
        <v>22</v>
      </c>
      <c r="K45" s="87" t="s">
        <v>458</v>
      </c>
      <c r="L45" s="80">
        <f t="shared" ref="L45:L50" si="1">C45</f>
        <v>2900</v>
      </c>
    </row>
    <row r="46" spans="1:12" ht="55.05">
      <c r="A46" s="87">
        <v>42</v>
      </c>
      <c r="B46" s="87" t="s">
        <v>1262</v>
      </c>
      <c r="C46" s="88">
        <v>4700</v>
      </c>
      <c r="D46" s="87" t="s">
        <v>267</v>
      </c>
      <c r="E46" s="83" t="s">
        <v>65</v>
      </c>
      <c r="F46" s="76" t="s">
        <v>213</v>
      </c>
      <c r="G46" s="74" t="s">
        <v>2201</v>
      </c>
      <c r="H46" s="85" t="s">
        <v>2202</v>
      </c>
      <c r="I46" s="87" t="s">
        <v>18</v>
      </c>
      <c r="J46" s="89" t="s">
        <v>18</v>
      </c>
      <c r="K46" s="87" t="s">
        <v>458</v>
      </c>
      <c r="L46" s="80">
        <f t="shared" si="1"/>
        <v>4700</v>
      </c>
    </row>
    <row r="47" spans="1:12" ht="97.5" customHeight="1">
      <c r="A47" s="76">
        <v>45</v>
      </c>
      <c r="B47" s="76" t="s">
        <v>2046</v>
      </c>
      <c r="C47" s="96">
        <v>3350</v>
      </c>
      <c r="D47" s="91" t="s">
        <v>267</v>
      </c>
      <c r="E47" s="76" t="s">
        <v>65</v>
      </c>
      <c r="F47" s="76" t="s">
        <v>213</v>
      </c>
      <c r="G47" s="84" t="s">
        <v>2203</v>
      </c>
      <c r="H47" s="84" t="s">
        <v>2204</v>
      </c>
      <c r="I47" s="76" t="s">
        <v>88</v>
      </c>
      <c r="J47" s="76" t="s">
        <v>524</v>
      </c>
      <c r="K47" s="76" t="s">
        <v>2178</v>
      </c>
      <c r="L47" s="37">
        <f>C47</f>
        <v>3350</v>
      </c>
    </row>
    <row r="48" spans="1:12" ht="79.5" customHeight="1">
      <c r="A48" s="87">
        <v>44</v>
      </c>
      <c r="B48" s="87" t="s">
        <v>2205</v>
      </c>
      <c r="C48" s="94">
        <v>4800</v>
      </c>
      <c r="D48" s="87" t="s">
        <v>267</v>
      </c>
      <c r="E48" s="87" t="s">
        <v>65</v>
      </c>
      <c r="F48" s="87" t="s">
        <v>213</v>
      </c>
      <c r="G48" s="93" t="s">
        <v>2206</v>
      </c>
      <c r="H48" s="93" t="s">
        <v>2207</v>
      </c>
      <c r="I48" s="87" t="s">
        <v>22</v>
      </c>
      <c r="J48" s="87" t="s">
        <v>22</v>
      </c>
      <c r="K48" s="87" t="s">
        <v>458</v>
      </c>
      <c r="L48" s="80">
        <f t="shared" si="1"/>
        <v>4800</v>
      </c>
    </row>
    <row r="49" spans="1:12" ht="97.5" customHeight="1">
      <c r="A49" s="87">
        <v>46</v>
      </c>
      <c r="B49" s="87" t="s">
        <v>667</v>
      </c>
      <c r="C49" s="94">
        <v>3150</v>
      </c>
      <c r="D49" s="87" t="s">
        <v>267</v>
      </c>
      <c r="E49" s="87" t="s">
        <v>65</v>
      </c>
      <c r="F49" s="87" t="s">
        <v>664</v>
      </c>
      <c r="G49" s="93" t="s">
        <v>2208</v>
      </c>
      <c r="H49" s="93" t="s">
        <v>2209</v>
      </c>
      <c r="I49" s="87" t="s">
        <v>22</v>
      </c>
      <c r="J49" s="87" t="s">
        <v>22</v>
      </c>
      <c r="K49" s="87" t="s">
        <v>2210</v>
      </c>
      <c r="L49" s="95">
        <f t="shared" si="1"/>
        <v>3150</v>
      </c>
    </row>
    <row r="50" spans="1:12" ht="39.1" customHeight="1">
      <c r="A50" s="87">
        <v>47</v>
      </c>
      <c r="B50" s="87" t="s">
        <v>2211</v>
      </c>
      <c r="C50" s="94">
        <v>5100</v>
      </c>
      <c r="D50" s="87" t="s">
        <v>267</v>
      </c>
      <c r="E50" s="87" t="s">
        <v>65</v>
      </c>
      <c r="F50" s="87" t="s">
        <v>66</v>
      </c>
      <c r="G50" s="93" t="s">
        <v>2212</v>
      </c>
      <c r="H50" s="93" t="s">
        <v>1862</v>
      </c>
      <c r="I50" s="87" t="s">
        <v>24</v>
      </c>
      <c r="J50" s="87" t="s">
        <v>24</v>
      </c>
      <c r="K50" s="87" t="s">
        <v>2060</v>
      </c>
      <c r="L50" s="95">
        <f t="shared" si="1"/>
        <v>5100</v>
      </c>
    </row>
    <row r="51" spans="1:12" ht="48.75" customHeight="1">
      <c r="A51" s="87">
        <v>43</v>
      </c>
      <c r="B51" s="87" t="s">
        <v>2213</v>
      </c>
      <c r="C51" s="94">
        <v>3200</v>
      </c>
      <c r="D51" s="87" t="s">
        <v>267</v>
      </c>
      <c r="E51" s="87" t="s">
        <v>65</v>
      </c>
      <c r="F51" s="87" t="s">
        <v>1167</v>
      </c>
      <c r="G51" s="92" t="s">
        <v>2214</v>
      </c>
      <c r="H51" s="93" t="s">
        <v>2215</v>
      </c>
      <c r="I51" s="87" t="s">
        <v>24</v>
      </c>
      <c r="J51" s="87" t="s">
        <v>24</v>
      </c>
      <c r="K51" s="87" t="s">
        <v>1569</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8" priority="319"/>
  </conditionalFormatting>
  <conditionalFormatting sqref="A5:A6">
    <cfRule type="duplicateValues" dxfId="617" priority="13"/>
    <cfRule type="duplicateValues" dxfId="616" priority="14"/>
    <cfRule type="duplicateValues" dxfId="615" priority="15"/>
  </conditionalFormatting>
  <conditionalFormatting sqref="A19">
    <cfRule type="duplicateValues" dxfId="614" priority="8"/>
  </conditionalFormatting>
  <conditionalFormatting sqref="A20 A22:A23 A25:A26 A28:A30">
    <cfRule type="duplicateValues" dxfId="613" priority="7"/>
  </conditionalFormatting>
  <conditionalFormatting sqref="A21 A24 A27">
    <cfRule type="duplicateValues" dxfId="612" priority="321"/>
  </conditionalFormatting>
  <conditionalFormatting sqref="A37:A39">
    <cfRule type="duplicateValues" dxfId="611" priority="4"/>
  </conditionalFormatting>
  <conditionalFormatting sqref="A42">
    <cfRule type="duplicateValues" dxfId="610" priority="2"/>
  </conditionalFormatting>
  <conditionalFormatting sqref="A45">
    <cfRule type="duplicateValues" dxfId="609" priority="3"/>
  </conditionalFormatting>
  <conditionalFormatting sqref="A47:A50">
    <cfRule type="duplicateValues" dxfId="608" priority="1"/>
  </conditionalFormatting>
  <conditionalFormatting sqref="B3:B4">
    <cfRule type="duplicateValues" dxfId="607" priority="289"/>
    <cfRule type="duplicateValues" dxfId="606" priority="290"/>
    <cfRule type="duplicateValues" dxfId="605" priority="291"/>
  </conditionalFormatting>
  <conditionalFormatting sqref="B5:B6">
    <cfRule type="duplicateValues" dxfId="604" priority="10"/>
    <cfRule type="duplicateValues" dxfId="603" priority="11"/>
    <cfRule type="duplicateValues" dxfId="602" priority="12"/>
  </conditionalFormatting>
  <conditionalFormatting sqref="B7">
    <cfRule type="duplicateValues" dxfId="601" priority="16"/>
    <cfRule type="duplicateValues" dxfId="600" priority="17"/>
    <cfRule type="duplicateValues" dxfId="599" priority="18"/>
  </conditionalFormatting>
  <conditionalFormatting sqref="B8">
    <cfRule type="duplicateValues" dxfId="598" priority="19"/>
    <cfRule type="duplicateValues" dxfId="597" priority="20"/>
    <cfRule type="duplicateValues" dxfId="596"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6.75" style="1" customWidth="1"/>
    <col min="7" max="7" width="58.37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704"/>
      <c r="D1" s="3704"/>
      <c r="E1" s="3704"/>
      <c r="F1" s="3704"/>
      <c r="G1" s="3704"/>
      <c r="H1" s="3704"/>
    </row>
    <row r="2" spans="1:15" ht="41.3" customHeight="1">
      <c r="A2" s="3719" t="s">
        <v>2216</v>
      </c>
      <c r="B2" s="3720"/>
      <c r="C2" s="3720"/>
      <c r="D2" s="3720"/>
      <c r="E2" s="3720"/>
      <c r="F2" s="3720"/>
      <c r="G2" s="3720"/>
      <c r="H2" s="3721"/>
      <c r="I2" s="46"/>
      <c r="J2" s="46"/>
      <c r="K2" s="47"/>
      <c r="L2" s="46"/>
      <c r="M2" s="4"/>
    </row>
    <row r="3" spans="1:15" ht="23.95" customHeight="1">
      <c r="A3" s="41"/>
      <c r="B3" s="48"/>
      <c r="C3" s="49">
        <f>SUBTOTAL(9,C5:C10007)</f>
        <v>203370</v>
      </c>
      <c r="D3" s="50"/>
      <c r="E3" s="50"/>
      <c r="F3" s="48"/>
      <c r="G3" s="51"/>
      <c r="H3" s="3722">
        <f ca="1">TODAY()</f>
        <v>45988</v>
      </c>
      <c r="I3" s="3722"/>
      <c r="J3" s="1198"/>
      <c r="K3" s="1198"/>
      <c r="L3" s="52"/>
    </row>
    <row r="4" spans="1:15" s="7" customFormat="1" ht="55.05">
      <c r="A4" s="53" t="s">
        <v>48</v>
      </c>
      <c r="B4" s="53" t="s">
        <v>1425</v>
      </c>
      <c r="C4" s="54" t="s">
        <v>50</v>
      </c>
      <c r="D4" s="53" t="s">
        <v>51</v>
      </c>
      <c r="E4" s="53" t="s">
        <v>55</v>
      </c>
      <c r="F4" s="53" t="s">
        <v>56</v>
      </c>
      <c r="G4" s="55" t="s">
        <v>57</v>
      </c>
      <c r="H4" s="53" t="s">
        <v>58</v>
      </c>
      <c r="I4" s="53" t="s">
        <v>52</v>
      </c>
      <c r="J4" s="53" t="s">
        <v>1094</v>
      </c>
      <c r="K4" s="53" t="s">
        <v>1256</v>
      </c>
      <c r="L4" s="54" t="s">
        <v>1939</v>
      </c>
      <c r="M4" s="53" t="s">
        <v>382</v>
      </c>
      <c r="N4" s="40">
        <f>SUM(N5:N9)</f>
        <v>193370</v>
      </c>
    </row>
    <row r="5" spans="1:15" ht="26.35" customHeight="1">
      <c r="A5" s="72">
        <v>1</v>
      </c>
      <c r="B5" s="72" t="s">
        <v>2217</v>
      </c>
      <c r="C5" s="73">
        <v>2750</v>
      </c>
      <c r="D5" s="97" t="s">
        <v>267</v>
      </c>
      <c r="E5" s="72" t="s">
        <v>65</v>
      </c>
      <c r="F5" s="72" t="s">
        <v>213</v>
      </c>
      <c r="G5" s="98" t="s">
        <v>2218</v>
      </c>
      <c r="H5" s="99"/>
      <c r="I5" s="72" t="s">
        <v>18</v>
      </c>
      <c r="J5" s="100" t="s">
        <v>18</v>
      </c>
      <c r="K5" s="90" t="s">
        <v>458</v>
      </c>
      <c r="L5" s="37">
        <f t="shared" ref="L5:L32" si="0">C5</f>
        <v>2750</v>
      </c>
      <c r="M5" s="41" t="s">
        <v>22</v>
      </c>
      <c r="N5" s="37">
        <f>SUMIF($I:$I,M5,L:L)</f>
        <v>52600</v>
      </c>
      <c r="O5" s="4"/>
    </row>
    <row r="6" spans="1:15" ht="27" customHeight="1">
      <c r="A6" s="72">
        <v>2</v>
      </c>
      <c r="B6" s="72" t="s">
        <v>2219</v>
      </c>
      <c r="C6" s="73">
        <v>3500</v>
      </c>
      <c r="D6" s="97" t="s">
        <v>267</v>
      </c>
      <c r="E6" s="72" t="s">
        <v>65</v>
      </c>
      <c r="F6" s="72" t="s">
        <v>213</v>
      </c>
      <c r="G6" s="98" t="s">
        <v>2218</v>
      </c>
      <c r="H6" s="99"/>
      <c r="I6" s="101" t="s">
        <v>88</v>
      </c>
      <c r="J6" s="100" t="s">
        <v>524</v>
      </c>
      <c r="K6" s="90" t="s">
        <v>458</v>
      </c>
      <c r="L6" s="37">
        <f t="shared" si="0"/>
        <v>3500</v>
      </c>
      <c r="M6" s="41" t="s">
        <v>24</v>
      </c>
      <c r="N6" s="37">
        <f>SUMIF($I:$I,M6,L:L)</f>
        <v>42060</v>
      </c>
    </row>
    <row r="7" spans="1:15" s="1" customFormat="1" ht="27.7" customHeight="1">
      <c r="A7" s="163">
        <v>3</v>
      </c>
      <c r="B7" s="164" t="s">
        <v>1283</v>
      </c>
      <c r="C7" s="73">
        <v>3150</v>
      </c>
      <c r="D7" s="97" t="s">
        <v>267</v>
      </c>
      <c r="E7" s="164" t="s">
        <v>65</v>
      </c>
      <c r="F7" s="164" t="s">
        <v>213</v>
      </c>
      <c r="G7" s="165" t="s">
        <v>2220</v>
      </c>
      <c r="H7" s="166"/>
      <c r="I7" s="72" t="s">
        <v>24</v>
      </c>
      <c r="J7" s="164" t="s">
        <v>24</v>
      </c>
      <c r="K7" s="167" t="s">
        <v>458</v>
      </c>
      <c r="L7" s="18">
        <f t="shared" si="0"/>
        <v>3150</v>
      </c>
      <c r="M7" s="38" t="s">
        <v>26</v>
      </c>
      <c r="N7" s="18">
        <f>SUMIF($I:$I,M7,L:L)</f>
        <v>21900</v>
      </c>
    </row>
    <row r="8" spans="1:15" s="1" customFormat="1" ht="39.1" customHeight="1">
      <c r="A8" s="168">
        <v>4</v>
      </c>
      <c r="B8" s="169" t="s">
        <v>677</v>
      </c>
      <c r="C8" s="73">
        <v>2950</v>
      </c>
      <c r="D8" s="170" t="s">
        <v>267</v>
      </c>
      <c r="E8" s="171" t="s">
        <v>65</v>
      </c>
      <c r="F8" s="171" t="s">
        <v>1167</v>
      </c>
      <c r="G8" s="172" t="s">
        <v>2218</v>
      </c>
      <c r="H8" s="169" t="s">
        <v>2221</v>
      </c>
      <c r="I8" s="72" t="s">
        <v>18</v>
      </c>
      <c r="J8" s="169" t="s">
        <v>18</v>
      </c>
      <c r="K8" s="173" t="s">
        <v>458</v>
      </c>
      <c r="L8" s="18">
        <f t="shared" si="0"/>
        <v>2950</v>
      </c>
      <c r="M8" s="41" t="s">
        <v>18</v>
      </c>
      <c r="N8" s="18">
        <f>SUMIF($I:$I,M8,L:L)</f>
        <v>35150</v>
      </c>
    </row>
    <row r="9" spans="1:15" s="1" customFormat="1" ht="55.05">
      <c r="A9" s="174">
        <v>5</v>
      </c>
      <c r="B9" s="175" t="s">
        <v>2222</v>
      </c>
      <c r="C9" s="176">
        <v>5600</v>
      </c>
      <c r="D9" s="170" t="s">
        <v>267</v>
      </c>
      <c r="E9" s="177" t="s">
        <v>65</v>
      </c>
      <c r="F9" s="177" t="s">
        <v>213</v>
      </c>
      <c r="G9" s="178" t="s">
        <v>2223</v>
      </c>
      <c r="H9" s="178" t="s">
        <v>2224</v>
      </c>
      <c r="I9" s="175" t="s">
        <v>22</v>
      </c>
      <c r="J9" s="175" t="s">
        <v>22</v>
      </c>
      <c r="K9" s="179" t="s">
        <v>458</v>
      </c>
      <c r="L9" s="105">
        <f t="shared" si="0"/>
        <v>5600</v>
      </c>
      <c r="M9" s="38" t="s">
        <v>88</v>
      </c>
      <c r="N9" s="18">
        <f>SUMIF($I:$I,M9,L:L)</f>
        <v>41660</v>
      </c>
    </row>
    <row r="10" spans="1:15" ht="55.05">
      <c r="A10" s="87">
        <v>6</v>
      </c>
      <c r="B10" s="87" t="s">
        <v>1336</v>
      </c>
      <c r="C10" s="94">
        <v>3350</v>
      </c>
      <c r="D10" s="89" t="s">
        <v>267</v>
      </c>
      <c r="E10" s="177" t="s">
        <v>65</v>
      </c>
      <c r="F10" s="177" t="s">
        <v>1179</v>
      </c>
      <c r="G10" s="107" t="s">
        <v>2225</v>
      </c>
      <c r="H10" s="108"/>
      <c r="I10" s="87" t="s">
        <v>22</v>
      </c>
      <c r="J10" s="87" t="s">
        <v>22</v>
      </c>
      <c r="K10" s="103" t="s">
        <v>1569</v>
      </c>
      <c r="L10" s="104">
        <f>C10</f>
        <v>3350</v>
      </c>
    </row>
    <row r="11" spans="1:15" ht="55.05">
      <c r="A11" s="87">
        <v>7</v>
      </c>
      <c r="B11" s="87" t="s">
        <v>567</v>
      </c>
      <c r="C11" s="94">
        <v>3400</v>
      </c>
      <c r="D11" s="89" t="s">
        <v>267</v>
      </c>
      <c r="E11" s="177" t="s">
        <v>65</v>
      </c>
      <c r="F11" s="177" t="s">
        <v>1849</v>
      </c>
      <c r="G11" s="93" t="s">
        <v>2226</v>
      </c>
      <c r="H11" s="93" t="s">
        <v>2227</v>
      </c>
      <c r="I11" s="87" t="s">
        <v>88</v>
      </c>
      <c r="J11" s="87" t="s">
        <v>524</v>
      </c>
      <c r="K11" s="106" t="s">
        <v>1886</v>
      </c>
      <c r="L11" s="104">
        <f t="shared" si="0"/>
        <v>3400</v>
      </c>
    </row>
    <row r="12" spans="1:15" ht="81.7" customHeight="1">
      <c r="A12" s="87">
        <v>8</v>
      </c>
      <c r="B12" s="87" t="s">
        <v>2228</v>
      </c>
      <c r="C12" s="94">
        <v>4250</v>
      </c>
      <c r="D12" s="89" t="s">
        <v>267</v>
      </c>
      <c r="E12" s="87" t="s">
        <v>65</v>
      </c>
      <c r="F12" s="87" t="s">
        <v>1160</v>
      </c>
      <c r="G12" s="93" t="s">
        <v>2229</v>
      </c>
      <c r="H12" s="108" t="s">
        <v>2230</v>
      </c>
      <c r="I12" s="87" t="s">
        <v>24</v>
      </c>
      <c r="J12" s="87" t="s">
        <v>24</v>
      </c>
      <c r="K12" s="103" t="s">
        <v>458</v>
      </c>
      <c r="L12" s="104">
        <f t="shared" si="0"/>
        <v>4250</v>
      </c>
    </row>
    <row r="13" spans="1:15" ht="41.3" customHeight="1">
      <c r="A13" s="87">
        <v>9</v>
      </c>
      <c r="B13" s="87" t="s">
        <v>955</v>
      </c>
      <c r="C13" s="94">
        <v>3550</v>
      </c>
      <c r="D13" s="89" t="s">
        <v>267</v>
      </c>
      <c r="E13" s="177" t="s">
        <v>65</v>
      </c>
      <c r="F13" s="177" t="s">
        <v>2231</v>
      </c>
      <c r="G13" s="93" t="s">
        <v>2232</v>
      </c>
      <c r="H13" s="93" t="s">
        <v>2233</v>
      </c>
      <c r="I13" s="87" t="s">
        <v>22</v>
      </c>
      <c r="J13" s="87" t="s">
        <v>22</v>
      </c>
      <c r="K13" s="106" t="s">
        <v>458</v>
      </c>
      <c r="L13" s="104">
        <f t="shared" si="0"/>
        <v>3550</v>
      </c>
    </row>
    <row r="14" spans="1:15" ht="54" customHeight="1">
      <c r="A14" s="87">
        <v>10</v>
      </c>
      <c r="B14" s="87" t="s">
        <v>2234</v>
      </c>
      <c r="C14" s="94">
        <v>3200</v>
      </c>
      <c r="D14" s="89" t="s">
        <v>267</v>
      </c>
      <c r="E14" s="177" t="s">
        <v>65</v>
      </c>
      <c r="F14" s="177" t="s">
        <v>2235</v>
      </c>
      <c r="G14" s="93" t="s">
        <v>2236</v>
      </c>
      <c r="H14" s="93" t="s">
        <v>2233</v>
      </c>
      <c r="I14" s="87" t="s">
        <v>24</v>
      </c>
      <c r="J14" s="87" t="s">
        <v>24</v>
      </c>
      <c r="K14" s="106" t="s">
        <v>458</v>
      </c>
      <c r="L14" s="104">
        <f t="shared" si="0"/>
        <v>3200</v>
      </c>
    </row>
    <row r="15" spans="1:15" ht="54" customHeight="1">
      <c r="A15" s="91">
        <v>11</v>
      </c>
      <c r="B15" s="91" t="s">
        <v>2237</v>
      </c>
      <c r="C15" s="120">
        <v>3100</v>
      </c>
      <c r="D15" s="115" t="s">
        <v>267</v>
      </c>
      <c r="E15" s="180" t="s">
        <v>65</v>
      </c>
      <c r="F15" s="180" t="s">
        <v>2231</v>
      </c>
      <c r="G15" s="119" t="s">
        <v>2238</v>
      </c>
      <c r="H15" s="119" t="s">
        <v>2200</v>
      </c>
      <c r="I15" s="91" t="s">
        <v>18</v>
      </c>
      <c r="J15" s="91" t="s">
        <v>18</v>
      </c>
      <c r="K15" s="110" t="s">
        <v>458</v>
      </c>
      <c r="L15" s="104">
        <f t="shared" si="0"/>
        <v>3100</v>
      </c>
    </row>
    <row r="16" spans="1:15" ht="42.8" customHeight="1">
      <c r="A16" s="87">
        <v>12</v>
      </c>
      <c r="B16" s="87" t="s">
        <v>1048</v>
      </c>
      <c r="C16" s="118">
        <v>3550</v>
      </c>
      <c r="D16" s="115" t="s">
        <v>267</v>
      </c>
      <c r="E16" s="177" t="s">
        <v>65</v>
      </c>
      <c r="F16" s="177" t="s">
        <v>106</v>
      </c>
      <c r="G16" s="93" t="s">
        <v>2239</v>
      </c>
      <c r="H16" s="119" t="s">
        <v>2200</v>
      </c>
      <c r="I16" s="87" t="s">
        <v>88</v>
      </c>
      <c r="J16" s="87" t="s">
        <v>524</v>
      </c>
      <c r="K16" s="109" t="s">
        <v>458</v>
      </c>
      <c r="L16" s="104">
        <f t="shared" si="0"/>
        <v>3550</v>
      </c>
    </row>
    <row r="17" spans="1:12" ht="42.8" customHeight="1">
      <c r="A17" s="91">
        <v>13</v>
      </c>
      <c r="B17" s="91" t="s">
        <v>2240</v>
      </c>
      <c r="C17" s="120" t="s">
        <v>716</v>
      </c>
      <c r="D17" s="121" t="s">
        <v>716</v>
      </c>
      <c r="E17" s="180" t="s">
        <v>65</v>
      </c>
      <c r="F17" s="180" t="s">
        <v>1836</v>
      </c>
      <c r="G17" s="122"/>
      <c r="H17" s="123"/>
      <c r="I17" s="91" t="s">
        <v>22</v>
      </c>
      <c r="J17" s="91" t="s">
        <v>22</v>
      </c>
      <c r="K17" s="111" t="s">
        <v>458</v>
      </c>
      <c r="L17" s="104" t="str">
        <f t="shared" si="0"/>
        <v>HỦY</v>
      </c>
    </row>
    <row r="18" spans="1:12" ht="42.8" customHeight="1">
      <c r="A18" s="87">
        <v>14</v>
      </c>
      <c r="B18" s="87" t="s">
        <v>2241</v>
      </c>
      <c r="C18" s="94">
        <v>3150</v>
      </c>
      <c r="D18" s="115" t="s">
        <v>267</v>
      </c>
      <c r="E18" s="180" t="s">
        <v>65</v>
      </c>
      <c r="F18" s="180" t="s">
        <v>1836</v>
      </c>
      <c r="G18" s="93" t="s">
        <v>2242</v>
      </c>
      <c r="H18" s="93" t="s">
        <v>2243</v>
      </c>
      <c r="I18" s="87" t="s">
        <v>24</v>
      </c>
      <c r="J18" s="87" t="s">
        <v>24</v>
      </c>
      <c r="K18" s="111" t="s">
        <v>458</v>
      </c>
      <c r="L18" s="104">
        <f t="shared" si="0"/>
        <v>3150</v>
      </c>
    </row>
    <row r="19" spans="1:12" ht="42.8" customHeight="1">
      <c r="A19" s="91">
        <v>15</v>
      </c>
      <c r="B19" s="113" t="s">
        <v>1994</v>
      </c>
      <c r="C19" s="114">
        <v>2900</v>
      </c>
      <c r="D19" s="115" t="s">
        <v>267</v>
      </c>
      <c r="E19" s="177" t="s">
        <v>65</v>
      </c>
      <c r="F19" s="181" t="s">
        <v>2235</v>
      </c>
      <c r="G19" s="124" t="s">
        <v>2244</v>
      </c>
      <c r="H19" s="116"/>
      <c r="I19" s="113" t="s">
        <v>26</v>
      </c>
      <c r="J19" s="117" t="s">
        <v>524</v>
      </c>
      <c r="K19" s="109" t="s">
        <v>458</v>
      </c>
      <c r="L19" s="104">
        <f t="shared" si="0"/>
        <v>2900</v>
      </c>
    </row>
    <row r="20" spans="1:12" ht="42.8" customHeight="1">
      <c r="A20" s="87">
        <v>16</v>
      </c>
      <c r="B20" s="113" t="s">
        <v>1294</v>
      </c>
      <c r="C20" s="114">
        <v>3000</v>
      </c>
      <c r="D20" s="115" t="s">
        <v>267</v>
      </c>
      <c r="E20" s="177" t="s">
        <v>65</v>
      </c>
      <c r="F20" s="181" t="s">
        <v>2235</v>
      </c>
      <c r="G20" s="124" t="s">
        <v>2245</v>
      </c>
      <c r="H20" s="116"/>
      <c r="I20" s="113" t="s">
        <v>22</v>
      </c>
      <c r="J20" s="117" t="s">
        <v>22</v>
      </c>
      <c r="K20" s="109" t="s">
        <v>458</v>
      </c>
      <c r="L20" s="104">
        <f t="shared" si="0"/>
        <v>3000</v>
      </c>
    </row>
    <row r="21" spans="1:12" ht="42.8" customHeight="1">
      <c r="A21" s="91">
        <v>17</v>
      </c>
      <c r="B21" s="87" t="s">
        <v>2246</v>
      </c>
      <c r="C21" s="94">
        <v>2500</v>
      </c>
      <c r="D21" s="87" t="s">
        <v>267</v>
      </c>
      <c r="E21" s="177" t="s">
        <v>65</v>
      </c>
      <c r="F21" s="177" t="s">
        <v>1849</v>
      </c>
      <c r="G21" s="108" t="s">
        <v>2247</v>
      </c>
      <c r="H21" s="108"/>
      <c r="I21" s="87" t="s">
        <v>18</v>
      </c>
      <c r="J21" s="87" t="s">
        <v>18</v>
      </c>
      <c r="K21" s="102" t="s">
        <v>458</v>
      </c>
      <c r="L21" s="104">
        <f t="shared" si="0"/>
        <v>2500</v>
      </c>
    </row>
    <row r="22" spans="1:12" ht="42.8" customHeight="1">
      <c r="A22" s="87">
        <v>18</v>
      </c>
      <c r="B22" s="87" t="s">
        <v>2248</v>
      </c>
      <c r="C22" s="94">
        <v>1800</v>
      </c>
      <c r="D22" s="87" t="s">
        <v>267</v>
      </c>
      <c r="E22" s="182" t="s">
        <v>65</v>
      </c>
      <c r="F22" s="87" t="s">
        <v>2235</v>
      </c>
      <c r="G22" s="108" t="s">
        <v>2249</v>
      </c>
      <c r="H22" s="108"/>
      <c r="I22" s="87" t="s">
        <v>18</v>
      </c>
      <c r="J22" s="87" t="s">
        <v>18</v>
      </c>
      <c r="K22" s="102" t="s">
        <v>458</v>
      </c>
      <c r="L22" s="104">
        <f t="shared" si="0"/>
        <v>1800</v>
      </c>
    </row>
    <row r="23" spans="1:12" ht="42.8" customHeight="1">
      <c r="A23" s="91">
        <v>19</v>
      </c>
      <c r="B23" s="87" t="s">
        <v>844</v>
      </c>
      <c r="C23" s="94">
        <v>3000</v>
      </c>
      <c r="D23" s="87" t="s">
        <v>267</v>
      </c>
      <c r="E23" s="182" t="s">
        <v>65</v>
      </c>
      <c r="F23" s="87" t="s">
        <v>1836</v>
      </c>
      <c r="G23" s="108" t="s">
        <v>2245</v>
      </c>
      <c r="H23" s="108"/>
      <c r="I23" s="87" t="s">
        <v>18</v>
      </c>
      <c r="J23" s="87" t="s">
        <v>18</v>
      </c>
      <c r="K23" s="102" t="s">
        <v>458</v>
      </c>
      <c r="L23" s="104">
        <f t="shared" si="0"/>
        <v>3000</v>
      </c>
    </row>
    <row r="24" spans="1:12" ht="42.8" customHeight="1">
      <c r="A24" s="87">
        <v>20</v>
      </c>
      <c r="B24" s="87" t="s">
        <v>1565</v>
      </c>
      <c r="C24" s="94">
        <v>2550</v>
      </c>
      <c r="D24" s="87" t="s">
        <v>267</v>
      </c>
      <c r="E24" s="182" t="s">
        <v>65</v>
      </c>
      <c r="F24" s="87" t="s">
        <v>1836</v>
      </c>
      <c r="G24" s="93" t="s">
        <v>2250</v>
      </c>
      <c r="H24" s="108"/>
      <c r="I24" s="87" t="s">
        <v>88</v>
      </c>
      <c r="J24" s="87" t="s">
        <v>524</v>
      </c>
      <c r="K24" s="102" t="s">
        <v>2157</v>
      </c>
      <c r="L24" s="104">
        <f t="shared" si="0"/>
        <v>2550</v>
      </c>
    </row>
    <row r="25" spans="1:12" ht="58.6" customHeight="1">
      <c r="A25" s="91">
        <v>21</v>
      </c>
      <c r="B25" s="87" t="s">
        <v>2251</v>
      </c>
      <c r="C25" s="94">
        <v>3300</v>
      </c>
      <c r="D25" s="87" t="s">
        <v>267</v>
      </c>
      <c r="E25" s="182" t="s">
        <v>65</v>
      </c>
      <c r="F25" s="87" t="s">
        <v>2231</v>
      </c>
      <c r="G25" s="93" t="s">
        <v>2252</v>
      </c>
      <c r="H25" s="108"/>
      <c r="I25" s="87" t="s">
        <v>24</v>
      </c>
      <c r="J25" s="87" t="s">
        <v>24</v>
      </c>
      <c r="K25" s="102" t="s">
        <v>1886</v>
      </c>
      <c r="L25" s="104">
        <f t="shared" si="0"/>
        <v>3300</v>
      </c>
    </row>
    <row r="26" spans="1:12" ht="55.55" customHeight="1">
      <c r="A26" s="87">
        <v>25</v>
      </c>
      <c r="B26" s="87" t="s">
        <v>584</v>
      </c>
      <c r="C26" s="94">
        <v>2950</v>
      </c>
      <c r="D26" s="89" t="s">
        <v>267</v>
      </c>
      <c r="E26" s="87" t="s">
        <v>65</v>
      </c>
      <c r="F26" s="87" t="s">
        <v>2235</v>
      </c>
      <c r="G26" s="93" t="s">
        <v>2253</v>
      </c>
      <c r="H26" s="93"/>
      <c r="I26" s="87" t="s">
        <v>22</v>
      </c>
      <c r="J26" s="87" t="s">
        <v>22</v>
      </c>
      <c r="K26" s="102" t="s">
        <v>1564</v>
      </c>
      <c r="L26" s="104">
        <f>C26</f>
        <v>2950</v>
      </c>
    </row>
    <row r="27" spans="1:12" ht="42.8" customHeight="1">
      <c r="A27" s="91">
        <v>26</v>
      </c>
      <c r="B27" s="87" t="s">
        <v>1815</v>
      </c>
      <c r="C27" s="94">
        <v>2630</v>
      </c>
      <c r="D27" s="89" t="s">
        <v>267</v>
      </c>
      <c r="E27" s="177" t="s">
        <v>65</v>
      </c>
      <c r="F27" s="125" t="s">
        <v>1167</v>
      </c>
      <c r="G27" s="93" t="s">
        <v>2254</v>
      </c>
      <c r="H27" s="93"/>
      <c r="I27" s="87" t="s">
        <v>88</v>
      </c>
      <c r="J27" s="87" t="s">
        <v>524</v>
      </c>
      <c r="K27" s="112" t="s">
        <v>458</v>
      </c>
      <c r="L27" s="104">
        <f>C27</f>
        <v>2630</v>
      </c>
    </row>
    <row r="28" spans="1:12" ht="42.8" customHeight="1">
      <c r="A28" s="91">
        <v>22</v>
      </c>
      <c r="B28" s="87" t="s">
        <v>2255</v>
      </c>
      <c r="C28" s="94">
        <v>4000</v>
      </c>
      <c r="D28" s="89" t="s">
        <v>267</v>
      </c>
      <c r="E28" s="180" t="s">
        <v>65</v>
      </c>
      <c r="F28" s="126" t="s">
        <v>106</v>
      </c>
      <c r="G28" s="93" t="s">
        <v>2256</v>
      </c>
      <c r="H28" s="93" t="s">
        <v>2257</v>
      </c>
      <c r="I28" s="87" t="s">
        <v>24</v>
      </c>
      <c r="J28" s="87" t="s">
        <v>24</v>
      </c>
      <c r="K28" s="112" t="s">
        <v>2258</v>
      </c>
      <c r="L28" s="104">
        <f t="shared" si="0"/>
        <v>4000</v>
      </c>
    </row>
    <row r="29" spans="1:12" ht="80.349999999999994" customHeight="1">
      <c r="A29" s="91">
        <v>23</v>
      </c>
      <c r="B29" s="87" t="s">
        <v>2259</v>
      </c>
      <c r="C29" s="94">
        <v>4800</v>
      </c>
      <c r="D29" s="89" t="s">
        <v>267</v>
      </c>
      <c r="E29" s="180" t="s">
        <v>65</v>
      </c>
      <c r="F29" s="87" t="s">
        <v>213</v>
      </c>
      <c r="G29" s="183" t="s">
        <v>2260</v>
      </c>
      <c r="H29" s="93" t="s">
        <v>2261</v>
      </c>
      <c r="I29" s="87" t="s">
        <v>26</v>
      </c>
      <c r="J29" s="87" t="s">
        <v>18</v>
      </c>
      <c r="K29" s="112" t="s">
        <v>1569</v>
      </c>
      <c r="L29" s="104">
        <f t="shared" si="0"/>
        <v>4800</v>
      </c>
    </row>
    <row r="30" spans="1:12" ht="42.8" customHeight="1">
      <c r="A30" s="91">
        <v>24</v>
      </c>
      <c r="B30" s="87" t="s">
        <v>636</v>
      </c>
      <c r="C30" s="94">
        <v>3700</v>
      </c>
      <c r="D30" s="89" t="s">
        <v>267</v>
      </c>
      <c r="E30" s="177" t="s">
        <v>65</v>
      </c>
      <c r="F30" s="125" t="s">
        <v>106</v>
      </c>
      <c r="G30" s="93" t="s">
        <v>2262</v>
      </c>
      <c r="H30" s="108" t="s">
        <v>2263</v>
      </c>
      <c r="I30" s="87" t="s">
        <v>18</v>
      </c>
      <c r="J30" s="87" t="s">
        <v>18</v>
      </c>
      <c r="K30" s="102" t="s">
        <v>1564</v>
      </c>
      <c r="L30" s="104">
        <f t="shared" si="0"/>
        <v>3700</v>
      </c>
    </row>
    <row r="31" spans="1:12" ht="42.8" customHeight="1">
      <c r="A31" s="87">
        <v>27</v>
      </c>
      <c r="B31" s="87" t="s">
        <v>816</v>
      </c>
      <c r="C31" s="94">
        <v>2950</v>
      </c>
      <c r="D31" s="89" t="s">
        <v>267</v>
      </c>
      <c r="E31" s="87" t="s">
        <v>65</v>
      </c>
      <c r="F31" s="129" t="s">
        <v>117</v>
      </c>
      <c r="G31" s="119" t="s">
        <v>2264</v>
      </c>
      <c r="H31" s="93" t="s">
        <v>2265</v>
      </c>
      <c r="I31" s="87" t="s">
        <v>266</v>
      </c>
      <c r="J31" s="87" t="s">
        <v>524</v>
      </c>
      <c r="K31" s="102" t="s">
        <v>1564</v>
      </c>
      <c r="L31" s="104">
        <f t="shared" si="0"/>
        <v>2950</v>
      </c>
    </row>
    <row r="32" spans="1:12" ht="101.25" customHeight="1">
      <c r="A32" s="87">
        <v>28</v>
      </c>
      <c r="B32" s="87" t="s">
        <v>1735</v>
      </c>
      <c r="C32" s="94">
        <v>3000</v>
      </c>
      <c r="D32" s="89" t="s">
        <v>267</v>
      </c>
      <c r="E32" s="113" t="s">
        <v>65</v>
      </c>
      <c r="F32" s="89" t="s">
        <v>213</v>
      </c>
      <c r="G32" s="93" t="s">
        <v>2266</v>
      </c>
      <c r="H32" s="127"/>
      <c r="I32" s="87" t="s">
        <v>22</v>
      </c>
      <c r="J32" s="87" t="s">
        <v>22</v>
      </c>
      <c r="K32" s="112" t="s">
        <v>458</v>
      </c>
      <c r="L32" s="104">
        <f t="shared" si="0"/>
        <v>3000</v>
      </c>
    </row>
    <row r="33" spans="1:12" ht="42.8" customHeight="1">
      <c r="A33" s="87">
        <v>29</v>
      </c>
      <c r="B33" s="87" t="s">
        <v>630</v>
      </c>
      <c r="C33" s="94">
        <v>3500</v>
      </c>
      <c r="D33" s="87" t="s">
        <v>267</v>
      </c>
      <c r="E33" s="113" t="s">
        <v>65</v>
      </c>
      <c r="F33" s="89" t="s">
        <v>213</v>
      </c>
      <c r="G33" s="93" t="s">
        <v>2267</v>
      </c>
      <c r="H33" s="127"/>
      <c r="I33" s="87" t="s">
        <v>88</v>
      </c>
      <c r="J33" s="87" t="s">
        <v>18</v>
      </c>
      <c r="K33" s="112" t="s">
        <v>458</v>
      </c>
      <c r="L33" s="104">
        <f>C33</f>
        <v>3500</v>
      </c>
    </row>
    <row r="34" spans="1:12" ht="56.25" customHeight="1">
      <c r="A34" s="87">
        <v>30</v>
      </c>
      <c r="B34" s="87" t="s">
        <v>972</v>
      </c>
      <c r="C34" s="94">
        <v>4700</v>
      </c>
      <c r="D34" s="87" t="s">
        <v>267</v>
      </c>
      <c r="E34" s="113" t="s">
        <v>65</v>
      </c>
      <c r="F34" s="89" t="s">
        <v>213</v>
      </c>
      <c r="G34" s="93" t="s">
        <v>2268</v>
      </c>
      <c r="H34" s="127"/>
      <c r="I34" s="87" t="s">
        <v>18</v>
      </c>
      <c r="J34" s="91" t="s">
        <v>18</v>
      </c>
      <c r="K34" s="112" t="s">
        <v>458</v>
      </c>
      <c r="L34" s="104">
        <f t="shared" ref="L34:L64" si="1">C34</f>
        <v>4700</v>
      </c>
    </row>
    <row r="35" spans="1:12" ht="42.8" customHeight="1">
      <c r="A35" s="91">
        <v>31</v>
      </c>
      <c r="B35" s="91" t="s">
        <v>1606</v>
      </c>
      <c r="C35" s="120">
        <v>3050</v>
      </c>
      <c r="D35" s="91" t="s">
        <v>267</v>
      </c>
      <c r="E35" s="130" t="s">
        <v>65</v>
      </c>
      <c r="F35" s="91" t="s">
        <v>294</v>
      </c>
      <c r="G35" s="131" t="s">
        <v>2269</v>
      </c>
      <c r="H35" s="119" t="s">
        <v>2270</v>
      </c>
      <c r="I35" s="115" t="s">
        <v>26</v>
      </c>
      <c r="J35" s="87" t="s">
        <v>524</v>
      </c>
      <c r="K35" s="128" t="s">
        <v>1569</v>
      </c>
      <c r="L35" s="104">
        <f t="shared" si="1"/>
        <v>3050</v>
      </c>
    </row>
    <row r="36" spans="1:12" ht="63" customHeight="1">
      <c r="A36" s="91">
        <v>32</v>
      </c>
      <c r="B36" s="91" t="s">
        <v>1716</v>
      </c>
      <c r="C36" s="120">
        <v>2900</v>
      </c>
      <c r="D36" s="91" t="s">
        <v>267</v>
      </c>
      <c r="E36" s="91" t="s">
        <v>65</v>
      </c>
      <c r="F36" s="91" t="s">
        <v>2235</v>
      </c>
      <c r="G36" s="184" t="s">
        <v>2271</v>
      </c>
      <c r="H36" s="119"/>
      <c r="I36" s="115" t="s">
        <v>24</v>
      </c>
      <c r="J36" s="91" t="s">
        <v>24</v>
      </c>
      <c r="K36" s="128" t="s">
        <v>1569</v>
      </c>
      <c r="L36" s="104">
        <f t="shared" si="1"/>
        <v>2900</v>
      </c>
    </row>
    <row r="37" spans="1:12" ht="75.75" customHeight="1">
      <c r="A37" s="87">
        <v>33</v>
      </c>
      <c r="B37" s="87" t="s">
        <v>2123</v>
      </c>
      <c r="C37" s="94">
        <v>3350</v>
      </c>
      <c r="D37" s="87" t="s">
        <v>267</v>
      </c>
      <c r="E37" s="87" t="s">
        <v>65</v>
      </c>
      <c r="F37" s="87" t="s">
        <v>2272</v>
      </c>
      <c r="G37" s="93" t="s">
        <v>2273</v>
      </c>
      <c r="H37" s="93"/>
      <c r="I37" s="87" t="s">
        <v>88</v>
      </c>
      <c r="J37" s="87" t="s">
        <v>524</v>
      </c>
      <c r="K37" s="128" t="s">
        <v>1886</v>
      </c>
      <c r="L37" s="104">
        <f t="shared" si="1"/>
        <v>3350</v>
      </c>
    </row>
    <row r="38" spans="1:12" ht="55.05">
      <c r="A38" s="91">
        <v>34</v>
      </c>
      <c r="B38" s="87" t="s">
        <v>1142</v>
      </c>
      <c r="C38" s="94">
        <v>4350</v>
      </c>
      <c r="D38" s="87" t="s">
        <v>267</v>
      </c>
      <c r="E38" s="87" t="s">
        <v>65</v>
      </c>
      <c r="F38" s="87" t="s">
        <v>1484</v>
      </c>
      <c r="G38" s="93" t="s">
        <v>2274</v>
      </c>
      <c r="H38" s="93" t="s">
        <v>2275</v>
      </c>
      <c r="I38" s="87" t="s">
        <v>22</v>
      </c>
      <c r="J38" s="89" t="s">
        <v>22</v>
      </c>
      <c r="K38" s="102" t="s">
        <v>1886</v>
      </c>
      <c r="L38" s="132">
        <f t="shared" si="1"/>
        <v>4350</v>
      </c>
    </row>
    <row r="39" spans="1:12" ht="98.35" customHeight="1">
      <c r="A39" s="87">
        <v>35</v>
      </c>
      <c r="B39" s="87" t="s">
        <v>2187</v>
      </c>
      <c r="C39" s="94">
        <v>3450</v>
      </c>
      <c r="D39" s="87" t="s">
        <v>267</v>
      </c>
      <c r="E39" s="87" t="s">
        <v>65</v>
      </c>
      <c r="F39" s="133" t="s">
        <v>2276</v>
      </c>
      <c r="G39" s="93" t="s">
        <v>2277</v>
      </c>
      <c r="H39" s="93" t="s">
        <v>2278</v>
      </c>
      <c r="I39" s="87" t="s">
        <v>22</v>
      </c>
      <c r="J39" s="89" t="s">
        <v>22</v>
      </c>
      <c r="K39" s="102" t="s">
        <v>2279</v>
      </c>
      <c r="L39" s="132">
        <f t="shared" si="1"/>
        <v>3450</v>
      </c>
    </row>
    <row r="40" spans="1:12" ht="68.95" customHeight="1">
      <c r="A40" s="87">
        <v>36</v>
      </c>
      <c r="B40" s="87" t="s">
        <v>2280</v>
      </c>
      <c r="C40" s="94">
        <v>3600</v>
      </c>
      <c r="D40" s="87" t="s">
        <v>267</v>
      </c>
      <c r="E40" s="87" t="s">
        <v>65</v>
      </c>
      <c r="F40" s="133" t="s">
        <v>2281</v>
      </c>
      <c r="G40" s="93" t="s">
        <v>2282</v>
      </c>
      <c r="H40" s="93" t="s">
        <v>2283</v>
      </c>
      <c r="I40" s="87" t="s">
        <v>88</v>
      </c>
      <c r="J40" s="89" t="s">
        <v>524</v>
      </c>
      <c r="K40" s="102" t="s">
        <v>458</v>
      </c>
      <c r="L40" s="132">
        <f t="shared" si="1"/>
        <v>3600</v>
      </c>
    </row>
    <row r="41" spans="1:12" ht="66.75" customHeight="1">
      <c r="A41" s="87">
        <v>37</v>
      </c>
      <c r="B41" s="87" t="s">
        <v>1769</v>
      </c>
      <c r="C41" s="94">
        <v>3150</v>
      </c>
      <c r="D41" s="87" t="s">
        <v>267</v>
      </c>
      <c r="E41" s="87" t="s">
        <v>65</v>
      </c>
      <c r="F41" s="133" t="s">
        <v>2284</v>
      </c>
      <c r="G41" s="140" t="s">
        <v>2285</v>
      </c>
      <c r="H41" s="93" t="s">
        <v>2286</v>
      </c>
      <c r="I41" s="87" t="s">
        <v>18</v>
      </c>
      <c r="J41" s="89" t="s">
        <v>18</v>
      </c>
      <c r="K41" s="102" t="s">
        <v>1578</v>
      </c>
      <c r="L41" s="132">
        <f t="shared" si="1"/>
        <v>3150</v>
      </c>
    </row>
    <row r="42" spans="1:12" ht="98.35" customHeight="1">
      <c r="A42" s="87">
        <v>38</v>
      </c>
      <c r="B42" s="87" t="s">
        <v>605</v>
      </c>
      <c r="C42" s="94">
        <v>3050</v>
      </c>
      <c r="D42" s="87" t="s">
        <v>267</v>
      </c>
      <c r="E42" s="87" t="s">
        <v>65</v>
      </c>
      <c r="F42" s="87" t="s">
        <v>142</v>
      </c>
      <c r="G42" s="93" t="s">
        <v>2287</v>
      </c>
      <c r="H42" s="134" t="s">
        <v>2288</v>
      </c>
      <c r="I42" s="87" t="s">
        <v>24</v>
      </c>
      <c r="J42" s="89" t="s">
        <v>24</v>
      </c>
      <c r="K42" s="102" t="s">
        <v>458</v>
      </c>
      <c r="L42" s="132">
        <f t="shared" si="1"/>
        <v>3050</v>
      </c>
    </row>
    <row r="43" spans="1:12" ht="75.75" customHeight="1">
      <c r="A43" s="87">
        <v>39</v>
      </c>
      <c r="B43" s="87" t="s">
        <v>1350</v>
      </c>
      <c r="C43" s="94">
        <v>2750</v>
      </c>
      <c r="D43" s="87" t="s">
        <v>267</v>
      </c>
      <c r="E43" s="87" t="s">
        <v>65</v>
      </c>
      <c r="F43" s="133" t="s">
        <v>2289</v>
      </c>
      <c r="G43" s="93" t="s">
        <v>2290</v>
      </c>
      <c r="H43" s="134" t="s">
        <v>2200</v>
      </c>
      <c r="I43" s="87" t="s">
        <v>22</v>
      </c>
      <c r="J43" s="89" t="s">
        <v>22</v>
      </c>
      <c r="K43" s="102" t="s">
        <v>458</v>
      </c>
      <c r="L43" s="132">
        <f t="shared" si="1"/>
        <v>2750</v>
      </c>
    </row>
    <row r="44" spans="1:12" ht="69.8" customHeight="1">
      <c r="A44" s="87">
        <v>40</v>
      </c>
      <c r="B44" s="87" t="s">
        <v>1452</v>
      </c>
      <c r="C44" s="94">
        <v>3000</v>
      </c>
      <c r="D44" s="87" t="s">
        <v>267</v>
      </c>
      <c r="E44" s="87" t="s">
        <v>65</v>
      </c>
      <c r="F44" s="133" t="s">
        <v>2291</v>
      </c>
      <c r="G44" s="93" t="s">
        <v>2290</v>
      </c>
      <c r="H44" s="134" t="s">
        <v>2200</v>
      </c>
      <c r="I44" s="87" t="s">
        <v>26</v>
      </c>
      <c r="J44" s="89" t="s">
        <v>18</v>
      </c>
      <c r="K44" s="102" t="s">
        <v>458</v>
      </c>
      <c r="L44" s="132">
        <f t="shared" si="1"/>
        <v>3000</v>
      </c>
    </row>
    <row r="45" spans="1:12" ht="69.8" customHeight="1">
      <c r="A45" s="87">
        <v>41</v>
      </c>
      <c r="B45" s="87" t="s">
        <v>2292</v>
      </c>
      <c r="C45" s="94">
        <v>3100</v>
      </c>
      <c r="D45" s="87" t="s">
        <v>267</v>
      </c>
      <c r="E45" s="87" t="s">
        <v>65</v>
      </c>
      <c r="F45" s="133" t="s">
        <v>2293</v>
      </c>
      <c r="G45" s="93" t="s">
        <v>2290</v>
      </c>
      <c r="H45" s="134" t="s">
        <v>2200</v>
      </c>
      <c r="I45" s="87" t="s">
        <v>24</v>
      </c>
      <c r="J45" s="89" t="s">
        <v>24</v>
      </c>
      <c r="K45" s="102" t="s">
        <v>458</v>
      </c>
      <c r="L45" s="132">
        <f t="shared" si="1"/>
        <v>3100</v>
      </c>
    </row>
    <row r="46" spans="1:12" ht="55.05">
      <c r="A46" s="87">
        <v>44</v>
      </c>
      <c r="B46" s="91" t="s">
        <v>2294</v>
      </c>
      <c r="C46" s="120">
        <v>2800</v>
      </c>
      <c r="D46" s="87" t="s">
        <v>267</v>
      </c>
      <c r="E46" s="91" t="s">
        <v>65</v>
      </c>
      <c r="F46" s="91" t="s">
        <v>106</v>
      </c>
      <c r="G46" s="119" t="s">
        <v>2295</v>
      </c>
      <c r="H46" s="119" t="s">
        <v>2296</v>
      </c>
      <c r="I46" s="91" t="s">
        <v>24</v>
      </c>
      <c r="J46" s="91" t="s">
        <v>24</v>
      </c>
      <c r="K46" s="1" t="s">
        <v>1886</v>
      </c>
      <c r="L46" s="135">
        <f>C46</f>
        <v>2800</v>
      </c>
    </row>
    <row r="47" spans="1:12" ht="42.8" customHeight="1">
      <c r="A47" s="87">
        <v>42</v>
      </c>
      <c r="B47" s="87" t="s">
        <v>2297</v>
      </c>
      <c r="C47" s="94">
        <v>10000</v>
      </c>
      <c r="D47" s="91" t="s">
        <v>267</v>
      </c>
      <c r="E47" s="87" t="s">
        <v>65</v>
      </c>
      <c r="F47" s="87" t="s">
        <v>2298</v>
      </c>
      <c r="G47" s="93" t="s">
        <v>2299</v>
      </c>
      <c r="H47" s="93" t="s">
        <v>2300</v>
      </c>
      <c r="I47" s="87" t="s">
        <v>2301</v>
      </c>
      <c r="J47" s="89" t="s">
        <v>18</v>
      </c>
      <c r="K47" s="102" t="s">
        <v>2258</v>
      </c>
      <c r="L47" s="132">
        <f>C47</f>
        <v>10000</v>
      </c>
    </row>
    <row r="48" spans="1:12" ht="78.8" customHeight="1">
      <c r="A48" s="87">
        <v>43</v>
      </c>
      <c r="B48" s="87" t="s">
        <v>1722</v>
      </c>
      <c r="C48" s="94">
        <v>3650</v>
      </c>
      <c r="D48" s="91" t="s">
        <v>267</v>
      </c>
      <c r="E48" s="87" t="s">
        <v>65</v>
      </c>
      <c r="F48" s="87" t="s">
        <v>164</v>
      </c>
      <c r="G48" s="140" t="s">
        <v>2302</v>
      </c>
      <c r="H48" s="93" t="s">
        <v>2303</v>
      </c>
      <c r="I48" s="87" t="s">
        <v>22</v>
      </c>
      <c r="J48" s="89" t="s">
        <v>22</v>
      </c>
      <c r="K48" s="112" t="s">
        <v>2258</v>
      </c>
      <c r="L48" s="132">
        <f t="shared" si="1"/>
        <v>3650</v>
      </c>
    </row>
    <row r="49" spans="1:12" ht="36.700000000000003">
      <c r="A49" s="91">
        <v>45</v>
      </c>
      <c r="B49" s="91" t="s">
        <v>2304</v>
      </c>
      <c r="C49" s="120">
        <v>3000</v>
      </c>
      <c r="D49" s="91" t="s">
        <v>267</v>
      </c>
      <c r="E49" s="91" t="s">
        <v>65</v>
      </c>
      <c r="F49" s="91" t="s">
        <v>2305</v>
      </c>
      <c r="G49" s="119" t="s">
        <v>2306</v>
      </c>
      <c r="H49" s="123" t="s">
        <v>2307</v>
      </c>
      <c r="I49" s="91" t="s">
        <v>2308</v>
      </c>
      <c r="J49" s="91" t="s">
        <v>524</v>
      </c>
      <c r="K49" s="136" t="s">
        <v>1564</v>
      </c>
      <c r="L49" s="104">
        <f t="shared" si="1"/>
        <v>3000</v>
      </c>
    </row>
    <row r="50" spans="1:12" ht="65.25" customHeight="1">
      <c r="A50" s="87">
        <v>46</v>
      </c>
      <c r="B50" s="87" t="s">
        <v>581</v>
      </c>
      <c r="C50" s="94">
        <v>3500</v>
      </c>
      <c r="D50" s="91" t="s">
        <v>267</v>
      </c>
      <c r="E50" s="91" t="s">
        <v>65</v>
      </c>
      <c r="F50" s="87" t="s">
        <v>2235</v>
      </c>
      <c r="G50" s="93" t="s">
        <v>2309</v>
      </c>
      <c r="H50" s="93" t="s">
        <v>2310</v>
      </c>
      <c r="I50" s="87" t="s">
        <v>88</v>
      </c>
      <c r="J50" s="115" t="s">
        <v>524</v>
      </c>
      <c r="K50" s="136" t="s">
        <v>458</v>
      </c>
      <c r="L50" s="104">
        <f t="shared" si="1"/>
        <v>3500</v>
      </c>
    </row>
    <row r="51" spans="1:12" s="139" customFormat="1" ht="65.25" customHeight="1">
      <c r="A51" s="91">
        <v>47</v>
      </c>
      <c r="B51" s="87" t="s">
        <v>1265</v>
      </c>
      <c r="C51" s="94">
        <v>2200</v>
      </c>
      <c r="D51" s="91" t="s">
        <v>267</v>
      </c>
      <c r="E51" s="91" t="s">
        <v>65</v>
      </c>
      <c r="F51" s="87" t="s">
        <v>2311</v>
      </c>
      <c r="G51" s="93" t="s">
        <v>2312</v>
      </c>
      <c r="H51" s="93" t="s">
        <v>2313</v>
      </c>
      <c r="I51" s="89" t="s">
        <v>26</v>
      </c>
      <c r="J51" s="115" t="s">
        <v>524</v>
      </c>
      <c r="K51" s="137" t="s">
        <v>458</v>
      </c>
      <c r="L51" s="138">
        <f t="shared" si="1"/>
        <v>2200</v>
      </c>
    </row>
    <row r="52" spans="1:12" ht="65.25" customHeight="1">
      <c r="A52" s="91">
        <v>48</v>
      </c>
      <c r="B52" s="87" t="s">
        <v>1815</v>
      </c>
      <c r="C52" s="94">
        <v>2630</v>
      </c>
      <c r="D52" s="91" t="s">
        <v>267</v>
      </c>
      <c r="E52" s="91" t="s">
        <v>65</v>
      </c>
      <c r="F52" s="87" t="s">
        <v>2311</v>
      </c>
      <c r="G52" s="93" t="s">
        <v>2314</v>
      </c>
      <c r="H52" s="93" t="s">
        <v>2313</v>
      </c>
      <c r="I52" s="89" t="s">
        <v>88</v>
      </c>
      <c r="J52" s="115" t="s">
        <v>524</v>
      </c>
      <c r="K52" s="136" t="s">
        <v>458</v>
      </c>
      <c r="L52" s="104">
        <f t="shared" si="1"/>
        <v>2630</v>
      </c>
    </row>
    <row r="53" spans="1:12" ht="65.25" customHeight="1">
      <c r="A53" s="91">
        <v>49</v>
      </c>
      <c r="B53" s="87" t="s">
        <v>955</v>
      </c>
      <c r="C53" s="94">
        <v>3550</v>
      </c>
      <c r="D53" s="91" t="s">
        <v>267</v>
      </c>
      <c r="E53" s="91" t="s">
        <v>65</v>
      </c>
      <c r="F53" s="87" t="s">
        <v>2311</v>
      </c>
      <c r="G53" s="93" t="s">
        <v>2315</v>
      </c>
      <c r="H53" s="93" t="s">
        <v>2313</v>
      </c>
      <c r="I53" s="89" t="s">
        <v>22</v>
      </c>
      <c r="J53" s="115" t="s">
        <v>22</v>
      </c>
      <c r="K53" s="136" t="s">
        <v>458</v>
      </c>
      <c r="L53" s="104">
        <f>C53</f>
        <v>3550</v>
      </c>
    </row>
    <row r="54" spans="1:12" ht="64.55" customHeight="1">
      <c r="A54" s="91">
        <v>50</v>
      </c>
      <c r="B54" s="87" t="s">
        <v>2316</v>
      </c>
      <c r="C54" s="94">
        <v>3800</v>
      </c>
      <c r="D54" s="91" t="s">
        <v>267</v>
      </c>
      <c r="E54" s="91" t="s">
        <v>65</v>
      </c>
      <c r="F54" s="87" t="s">
        <v>508</v>
      </c>
      <c r="G54" s="140" t="s">
        <v>2317</v>
      </c>
      <c r="H54" s="141" t="s">
        <v>2318</v>
      </c>
      <c r="I54" s="89" t="s">
        <v>18</v>
      </c>
      <c r="J54" s="87" t="s">
        <v>18</v>
      </c>
      <c r="K54" s="136" t="s">
        <v>1845</v>
      </c>
      <c r="L54" s="104">
        <f t="shared" si="1"/>
        <v>3800</v>
      </c>
    </row>
    <row r="55" spans="1:12" ht="69.8" customHeight="1">
      <c r="A55" s="91">
        <v>51</v>
      </c>
      <c r="B55" s="91" t="s">
        <v>593</v>
      </c>
      <c r="C55" s="120">
        <v>3260</v>
      </c>
      <c r="D55" s="91" t="s">
        <v>267</v>
      </c>
      <c r="E55" s="91" t="s">
        <v>65</v>
      </c>
      <c r="F55" s="87" t="s">
        <v>164</v>
      </c>
      <c r="G55" s="122" t="s">
        <v>2319</v>
      </c>
      <c r="H55" s="142" t="s">
        <v>2320</v>
      </c>
      <c r="I55" s="115" t="s">
        <v>24</v>
      </c>
      <c r="J55" s="87" t="s">
        <v>24</v>
      </c>
      <c r="K55" s="136" t="s">
        <v>1569</v>
      </c>
      <c r="L55" s="104">
        <f t="shared" si="1"/>
        <v>3260</v>
      </c>
    </row>
    <row r="56" spans="1:12" ht="53.35" customHeight="1">
      <c r="A56" s="91">
        <v>52</v>
      </c>
      <c r="B56" s="87" t="s">
        <v>311</v>
      </c>
      <c r="C56" s="94">
        <v>3750</v>
      </c>
      <c r="D56" s="115" t="s">
        <v>267</v>
      </c>
      <c r="E56" s="87" t="s">
        <v>65</v>
      </c>
      <c r="F56" s="87" t="s">
        <v>508</v>
      </c>
      <c r="G56" s="140" t="s">
        <v>2321</v>
      </c>
      <c r="H56" s="119" t="s">
        <v>2322</v>
      </c>
      <c r="I56" s="89" t="s">
        <v>22</v>
      </c>
      <c r="J56" s="87" t="s">
        <v>22</v>
      </c>
      <c r="K56" s="136" t="s">
        <v>1569</v>
      </c>
      <c r="L56" s="104">
        <f t="shared" si="1"/>
        <v>3750</v>
      </c>
    </row>
    <row r="57" spans="1:12" ht="53.35" customHeight="1">
      <c r="A57" s="115">
        <v>53</v>
      </c>
      <c r="B57" s="87" t="s">
        <v>567</v>
      </c>
      <c r="C57" s="94">
        <v>3400</v>
      </c>
      <c r="D57" s="115" t="s">
        <v>267</v>
      </c>
      <c r="E57" s="87" t="s">
        <v>65</v>
      </c>
      <c r="F57" s="87" t="s">
        <v>2231</v>
      </c>
      <c r="G57" s="146" t="s">
        <v>2323</v>
      </c>
      <c r="H57" s="147" t="s">
        <v>2313</v>
      </c>
      <c r="I57" s="148" t="s">
        <v>88</v>
      </c>
      <c r="J57" s="89" t="s">
        <v>524</v>
      </c>
      <c r="K57" s="102" t="s">
        <v>458</v>
      </c>
      <c r="L57" s="104">
        <f t="shared" si="1"/>
        <v>3400</v>
      </c>
    </row>
    <row r="58" spans="1:12" ht="53.35" customHeight="1">
      <c r="A58" s="115">
        <v>54</v>
      </c>
      <c r="B58" s="87" t="s">
        <v>1691</v>
      </c>
      <c r="C58" s="94">
        <v>2750</v>
      </c>
      <c r="D58" s="115" t="s">
        <v>267</v>
      </c>
      <c r="E58" s="87" t="s">
        <v>65</v>
      </c>
      <c r="F58" s="87" t="s">
        <v>2231</v>
      </c>
      <c r="G58" s="146" t="s">
        <v>2324</v>
      </c>
      <c r="H58" s="149" t="s">
        <v>2325</v>
      </c>
      <c r="I58" s="148" t="s">
        <v>24</v>
      </c>
      <c r="J58" s="89" t="s">
        <v>24</v>
      </c>
      <c r="K58" s="102" t="s">
        <v>458</v>
      </c>
      <c r="L58" s="104">
        <f t="shared" si="1"/>
        <v>2750</v>
      </c>
    </row>
    <row r="59" spans="1:12" ht="53.35" customHeight="1">
      <c r="A59" s="115">
        <v>55</v>
      </c>
      <c r="B59" s="91" t="s">
        <v>1735</v>
      </c>
      <c r="C59" s="120">
        <v>2950</v>
      </c>
      <c r="D59" s="115" t="s">
        <v>267</v>
      </c>
      <c r="E59" s="91" t="s">
        <v>65</v>
      </c>
      <c r="F59" s="91" t="s">
        <v>2235</v>
      </c>
      <c r="G59" s="150" t="s">
        <v>2326</v>
      </c>
      <c r="H59" s="151" t="s">
        <v>2313</v>
      </c>
      <c r="I59" s="152" t="s">
        <v>22</v>
      </c>
      <c r="J59" s="115" t="s">
        <v>22</v>
      </c>
      <c r="K59" s="144" t="s">
        <v>458</v>
      </c>
      <c r="L59" s="145">
        <f t="shared" si="1"/>
        <v>2950</v>
      </c>
    </row>
    <row r="60" spans="1:12" ht="45" customHeight="1">
      <c r="A60" s="115">
        <v>56</v>
      </c>
      <c r="B60" s="87" t="s">
        <v>1048</v>
      </c>
      <c r="C60" s="94">
        <v>3550</v>
      </c>
      <c r="D60" s="115" t="s">
        <v>267</v>
      </c>
      <c r="E60" s="87" t="s">
        <v>65</v>
      </c>
      <c r="F60" s="87" t="s">
        <v>164</v>
      </c>
      <c r="G60" s="147" t="s">
        <v>2327</v>
      </c>
      <c r="H60" s="108"/>
      <c r="I60" s="87" t="s">
        <v>88</v>
      </c>
      <c r="J60" s="87" t="s">
        <v>524</v>
      </c>
      <c r="K60" s="144" t="s">
        <v>458</v>
      </c>
      <c r="L60" s="104">
        <f t="shared" si="1"/>
        <v>3550</v>
      </c>
    </row>
    <row r="61" spans="1:12" ht="39.1" customHeight="1">
      <c r="A61" s="115">
        <v>57</v>
      </c>
      <c r="B61" s="91" t="s">
        <v>636</v>
      </c>
      <c r="C61" s="153">
        <v>3700</v>
      </c>
      <c r="D61" s="91" t="s">
        <v>267</v>
      </c>
      <c r="E61" s="154" t="s">
        <v>65</v>
      </c>
      <c r="F61" s="91" t="s">
        <v>164</v>
      </c>
      <c r="G61" s="151" t="s">
        <v>2327</v>
      </c>
      <c r="H61" s="123"/>
      <c r="I61" s="91" t="s">
        <v>18</v>
      </c>
      <c r="J61" s="91" t="s">
        <v>18</v>
      </c>
      <c r="K61" s="144" t="s">
        <v>458</v>
      </c>
      <c r="L61" s="145">
        <f t="shared" si="1"/>
        <v>3700</v>
      </c>
    </row>
    <row r="62" spans="1:12" ht="64.55" customHeight="1">
      <c r="A62" s="115">
        <v>58</v>
      </c>
      <c r="B62" s="87" t="s">
        <v>640</v>
      </c>
      <c r="C62" s="94">
        <v>3150</v>
      </c>
      <c r="D62" s="87" t="s">
        <v>267</v>
      </c>
      <c r="E62" s="87" t="s">
        <v>65</v>
      </c>
      <c r="F62" s="87" t="s">
        <v>1167</v>
      </c>
      <c r="G62" s="155" t="s">
        <v>2328</v>
      </c>
      <c r="H62" s="108" t="s">
        <v>2329</v>
      </c>
      <c r="I62" s="87" t="s">
        <v>24</v>
      </c>
      <c r="J62" s="185" t="s">
        <v>24</v>
      </c>
      <c r="K62" s="102" t="s">
        <v>458</v>
      </c>
      <c r="L62" s="104">
        <f t="shared" si="1"/>
        <v>3150</v>
      </c>
    </row>
    <row r="63" spans="1:12" ht="39.1" customHeight="1">
      <c r="A63" s="115">
        <v>59</v>
      </c>
      <c r="B63" s="177" t="s">
        <v>677</v>
      </c>
      <c r="C63" s="186">
        <v>2950</v>
      </c>
      <c r="D63" s="187" t="s">
        <v>267</v>
      </c>
      <c r="E63" s="177" t="s">
        <v>65</v>
      </c>
      <c r="F63" s="177" t="s">
        <v>2235</v>
      </c>
      <c r="G63" s="155" t="s">
        <v>2330</v>
      </c>
      <c r="H63" s="188" t="s">
        <v>2331</v>
      </c>
      <c r="I63" s="177" t="s">
        <v>22</v>
      </c>
      <c r="J63" s="189" t="s">
        <v>22</v>
      </c>
      <c r="K63" s="102" t="s">
        <v>458</v>
      </c>
      <c r="L63" s="104">
        <f t="shared" si="1"/>
        <v>2950</v>
      </c>
    </row>
    <row r="64" spans="1:12" ht="39.1" customHeight="1">
      <c r="A64" s="115">
        <v>60</v>
      </c>
      <c r="B64" s="180" t="s">
        <v>2332</v>
      </c>
      <c r="C64" s="190">
        <v>2500</v>
      </c>
      <c r="D64" s="191" t="s">
        <v>267</v>
      </c>
      <c r="E64" s="180" t="s">
        <v>65</v>
      </c>
      <c r="F64" s="180" t="s">
        <v>2235</v>
      </c>
      <c r="G64" s="156" t="s">
        <v>2333</v>
      </c>
      <c r="H64" s="184" t="s">
        <v>2334</v>
      </c>
      <c r="I64" s="180" t="s">
        <v>88</v>
      </c>
      <c r="J64" s="174" t="s">
        <v>524</v>
      </c>
      <c r="K64" s="144" t="s">
        <v>458</v>
      </c>
      <c r="L64" s="104">
        <f t="shared" si="1"/>
        <v>2500</v>
      </c>
    </row>
    <row r="65" spans="1:12" ht="43.5" customHeight="1">
      <c r="A65" s="158">
        <v>61</v>
      </c>
      <c r="B65" s="158" t="s">
        <v>1928</v>
      </c>
      <c r="C65" s="159">
        <v>3750</v>
      </c>
      <c r="D65" s="192" t="s">
        <v>267</v>
      </c>
      <c r="E65" s="158" t="s">
        <v>65</v>
      </c>
      <c r="F65" s="158" t="s">
        <v>164</v>
      </c>
      <c r="G65" s="160" t="s">
        <v>2327</v>
      </c>
      <c r="H65" s="161" t="s">
        <v>2335</v>
      </c>
      <c r="I65" s="158" t="s">
        <v>22</v>
      </c>
      <c r="J65" s="158" t="s">
        <v>22</v>
      </c>
      <c r="K65" s="144" t="s">
        <v>458</v>
      </c>
      <c r="L65" s="104">
        <f>C65</f>
        <v>3750</v>
      </c>
    </row>
    <row r="66" spans="1:12">
      <c r="A66" s="102"/>
      <c r="B66" s="102"/>
      <c r="C66" s="193"/>
      <c r="D66" s="102"/>
      <c r="E66" s="102"/>
      <c r="F66" s="102"/>
      <c r="G66" s="157"/>
      <c r="H66" s="143" t="s">
        <v>263</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5" priority="30"/>
  </conditionalFormatting>
  <conditionalFormatting sqref="A5:A6">
    <cfRule type="duplicateValues" dxfId="594" priority="18"/>
    <cfRule type="duplicateValues" dxfId="593" priority="19"/>
    <cfRule type="duplicateValues" dxfId="592" priority="20"/>
  </conditionalFormatting>
  <conditionalFormatting sqref="A13:A16 A18 A20 A22 A24">
    <cfRule type="duplicateValues" dxfId="591" priority="8"/>
  </conditionalFormatting>
  <conditionalFormatting sqref="A27">
    <cfRule type="duplicateValues" dxfId="590" priority="3"/>
  </conditionalFormatting>
  <conditionalFormatting sqref="A28:A29">
    <cfRule type="duplicateValues" dxfId="589" priority="5"/>
  </conditionalFormatting>
  <conditionalFormatting sqref="A31:A45 A47:A65">
    <cfRule type="duplicateValues" dxfId="588" priority="351"/>
  </conditionalFormatting>
  <conditionalFormatting sqref="A46">
    <cfRule type="duplicateValues" dxfId="587" priority="1"/>
  </conditionalFormatting>
  <conditionalFormatting sqref="B3:B4">
    <cfRule type="duplicateValues" dxfId="586" priority="27"/>
    <cfRule type="duplicateValues" dxfId="585" priority="28"/>
    <cfRule type="duplicateValues" dxfId="584" priority="29"/>
  </conditionalFormatting>
  <conditionalFormatting sqref="B5:B6">
    <cfRule type="duplicateValues" dxfId="583" priority="15"/>
    <cfRule type="duplicateValues" dxfId="582" priority="16"/>
    <cfRule type="duplicateValues" dxfId="581"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topRight" activeCell="E6" sqref="E6"/>
      <selection pane="bottomLeft" activeCell="E6" sqref="E6"/>
      <selection pane="bottomRight" activeCell="E6" sqref="E6"/>
    </sheetView>
  </sheetViews>
  <sheetFormatPr defaultColWidth="25.625" defaultRowHeight="18.350000000000001"/>
  <cols>
    <col min="1" max="1" width="7.25" style="1" customWidth="1"/>
    <col min="2" max="2" width="27.3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375" style="3" customWidth="1"/>
    <col min="13" max="13" width="44" style="3" bestFit="1" customWidth="1"/>
    <col min="14" max="14" width="34.625" style="3" customWidth="1"/>
    <col min="15" max="16384" width="25.625" style="3"/>
  </cols>
  <sheetData>
    <row r="1" spans="1:13" ht="36" customHeight="1">
      <c r="B1" s="10"/>
      <c r="C1" s="3704"/>
      <c r="D1" s="3704"/>
      <c r="E1" s="3704"/>
      <c r="F1" s="3704"/>
      <c r="G1" s="3704"/>
      <c r="H1" s="3704"/>
    </row>
    <row r="2" spans="1:13" ht="41.3" customHeight="1">
      <c r="A2" s="3719" t="s">
        <v>2336</v>
      </c>
      <c r="B2" s="3720"/>
      <c r="C2" s="3720"/>
      <c r="D2" s="3720"/>
      <c r="E2" s="3720"/>
      <c r="F2" s="3720"/>
      <c r="G2" s="3720"/>
      <c r="H2" s="3721"/>
      <c r="I2" s="46"/>
      <c r="J2" s="47"/>
      <c r="K2" s="46"/>
      <c r="L2" s="4"/>
    </row>
    <row r="3" spans="1:13" ht="23.95" customHeight="1">
      <c r="A3" s="41"/>
      <c r="B3" s="48"/>
      <c r="C3" s="49">
        <f>SUBTOTAL(9,C5:C964)</f>
        <v>211435</v>
      </c>
      <c r="D3" s="50"/>
      <c r="E3" s="50"/>
      <c r="F3" s="48"/>
      <c r="G3" s="51"/>
      <c r="H3" s="3722">
        <f ca="1">TODAY()</f>
        <v>45988</v>
      </c>
      <c r="I3" s="3722"/>
      <c r="J3" s="1198"/>
      <c r="K3" s="52"/>
    </row>
    <row r="4" spans="1:13" s="7" customFormat="1" ht="36.700000000000003">
      <c r="A4" s="53" t="s">
        <v>48</v>
      </c>
      <c r="B4" s="53" t="s">
        <v>49</v>
      </c>
      <c r="C4" s="54" t="s">
        <v>50</v>
      </c>
      <c r="D4" s="53" t="s">
        <v>51</v>
      </c>
      <c r="E4" s="53" t="s">
        <v>55</v>
      </c>
      <c r="F4" s="53" t="s">
        <v>56</v>
      </c>
      <c r="G4" s="55" t="s">
        <v>57</v>
      </c>
      <c r="H4" s="53" t="s">
        <v>58</v>
      </c>
      <c r="I4" s="53" t="s">
        <v>52</v>
      </c>
      <c r="J4" s="53" t="s">
        <v>1256</v>
      </c>
      <c r="K4" s="54" t="s">
        <v>1939</v>
      </c>
      <c r="L4" s="53" t="s">
        <v>382</v>
      </c>
    </row>
    <row r="5" spans="1:13" ht="78.8" customHeight="1">
      <c r="A5" s="17">
        <v>1</v>
      </c>
      <c r="B5" s="23" t="s">
        <v>564</v>
      </c>
      <c r="C5" s="24">
        <v>4000</v>
      </c>
      <c r="D5" s="17" t="s">
        <v>2337</v>
      </c>
      <c r="E5" s="17" t="s">
        <v>65</v>
      </c>
      <c r="F5" s="17" t="s">
        <v>213</v>
      </c>
      <c r="G5" s="21" t="s">
        <v>2338</v>
      </c>
      <c r="H5" s="22" t="s">
        <v>2339</v>
      </c>
      <c r="I5" s="17" t="s">
        <v>22</v>
      </c>
      <c r="J5" s="17" t="s">
        <v>458</v>
      </c>
      <c r="K5" s="24">
        <f t="shared" ref="K5:K36" si="0">C5</f>
        <v>4000</v>
      </c>
      <c r="L5" s="41" t="s">
        <v>22</v>
      </c>
      <c r="M5" s="37">
        <f>SUMIF($I:$I,L5,K:K)</f>
        <v>59380</v>
      </c>
    </row>
    <row r="6" spans="1:13" ht="33.799999999999997" customHeight="1">
      <c r="A6" s="17">
        <v>2</v>
      </c>
      <c r="B6" s="23" t="s">
        <v>567</v>
      </c>
      <c r="C6" s="24">
        <v>3400</v>
      </c>
      <c r="D6" s="17" t="s">
        <v>2337</v>
      </c>
      <c r="E6" s="17" t="s">
        <v>65</v>
      </c>
      <c r="F6" s="17" t="s">
        <v>213</v>
      </c>
      <c r="G6" s="21" t="s">
        <v>2340</v>
      </c>
      <c r="H6" s="22" t="s">
        <v>2341</v>
      </c>
      <c r="I6" s="17" t="s">
        <v>88</v>
      </c>
      <c r="J6" s="17" t="s">
        <v>458</v>
      </c>
      <c r="K6" s="24">
        <f t="shared" si="0"/>
        <v>3400</v>
      </c>
      <c r="L6" s="41" t="s">
        <v>24</v>
      </c>
      <c r="M6" s="37">
        <f>SUMIF($I:$I,L6,K:K)</f>
        <v>50725</v>
      </c>
    </row>
    <row r="7" spans="1:13" ht="79.5" customHeight="1">
      <c r="A7" s="17">
        <v>3</v>
      </c>
      <c r="B7" s="61" t="s">
        <v>2342</v>
      </c>
      <c r="C7" s="24">
        <v>3020</v>
      </c>
      <c r="D7" s="17" t="s">
        <v>2343</v>
      </c>
      <c r="E7" s="17" t="s">
        <v>65</v>
      </c>
      <c r="F7" s="17" t="s">
        <v>213</v>
      </c>
      <c r="G7" s="21" t="s">
        <v>2344</v>
      </c>
      <c r="H7" s="22" t="s">
        <v>2345</v>
      </c>
      <c r="I7" s="17" t="s">
        <v>26</v>
      </c>
      <c r="J7" s="17" t="s">
        <v>458</v>
      </c>
      <c r="K7" s="24">
        <f t="shared" si="0"/>
        <v>3020</v>
      </c>
      <c r="L7" s="38" t="s">
        <v>26</v>
      </c>
      <c r="M7" s="37">
        <f>SUMIF($I:$I,L7,K:K)</f>
        <v>24520</v>
      </c>
    </row>
    <row r="8" spans="1:13" ht="104.3" customHeight="1">
      <c r="A8" s="17">
        <v>4</v>
      </c>
      <c r="B8" s="61" t="s">
        <v>2346</v>
      </c>
      <c r="C8" s="24">
        <v>3150</v>
      </c>
      <c r="D8" s="17" t="s">
        <v>2343</v>
      </c>
      <c r="E8" s="17" t="s">
        <v>65</v>
      </c>
      <c r="F8" s="17" t="s">
        <v>142</v>
      </c>
      <c r="G8" s="22" t="s">
        <v>2347</v>
      </c>
      <c r="H8" s="22" t="s">
        <v>2348</v>
      </c>
      <c r="I8" s="17" t="s">
        <v>26</v>
      </c>
      <c r="J8" s="17" t="s">
        <v>458</v>
      </c>
      <c r="K8" s="24">
        <f t="shared" si="0"/>
        <v>3150</v>
      </c>
      <c r="L8" s="41" t="s">
        <v>18</v>
      </c>
      <c r="M8" s="37">
        <f>SUMIF($I:$I,L8,K:K)</f>
        <v>43580</v>
      </c>
    </row>
    <row r="9" spans="1:13" ht="45" customHeight="1">
      <c r="A9" s="17">
        <v>5</v>
      </c>
      <c r="B9" s="23" t="s">
        <v>1237</v>
      </c>
      <c r="C9" s="24">
        <v>3150</v>
      </c>
      <c r="D9" s="62" t="s">
        <v>2349</v>
      </c>
      <c r="E9" s="17" t="s">
        <v>65</v>
      </c>
      <c r="F9" s="17" t="s">
        <v>968</v>
      </c>
      <c r="G9" s="22" t="s">
        <v>2350</v>
      </c>
      <c r="H9" s="22" t="s">
        <v>2351</v>
      </c>
      <c r="I9" s="17" t="s">
        <v>18</v>
      </c>
      <c r="J9" s="17" t="s">
        <v>1778</v>
      </c>
      <c r="K9" s="24">
        <f t="shared" si="0"/>
        <v>3150</v>
      </c>
      <c r="L9" s="38" t="s">
        <v>88</v>
      </c>
      <c r="M9" s="37">
        <f>SUMIF($I:$I,L9,K:K)</f>
        <v>33230</v>
      </c>
    </row>
    <row r="10" spans="1:13" ht="79.5" customHeight="1">
      <c r="A10" s="17">
        <v>6</v>
      </c>
      <c r="B10" s="17" t="s">
        <v>2352</v>
      </c>
      <c r="C10" s="24">
        <v>3700</v>
      </c>
      <c r="D10" s="62" t="s">
        <v>2349</v>
      </c>
      <c r="E10" s="17" t="s">
        <v>65</v>
      </c>
      <c r="F10" s="17" t="s">
        <v>213</v>
      </c>
      <c r="G10" s="22" t="s">
        <v>2353</v>
      </c>
      <c r="H10" s="22" t="s">
        <v>2354</v>
      </c>
      <c r="I10" s="17" t="s">
        <v>2355</v>
      </c>
      <c r="J10" s="17" t="s">
        <v>458</v>
      </c>
      <c r="K10" s="63">
        <f t="shared" si="0"/>
        <v>3700</v>
      </c>
    </row>
    <row r="11" spans="1:13" ht="78.8" customHeight="1">
      <c r="A11" s="17">
        <v>7</v>
      </c>
      <c r="B11" s="23" t="s">
        <v>1815</v>
      </c>
      <c r="C11" s="24">
        <v>2630</v>
      </c>
      <c r="D11" s="62" t="s">
        <v>2171</v>
      </c>
      <c r="E11" s="17" t="s">
        <v>65</v>
      </c>
      <c r="F11" s="17" t="s">
        <v>164</v>
      </c>
      <c r="G11" s="22" t="s">
        <v>2356</v>
      </c>
      <c r="H11" s="22" t="s">
        <v>2357</v>
      </c>
      <c r="I11" s="17" t="s">
        <v>88</v>
      </c>
      <c r="J11" s="17" t="s">
        <v>1961</v>
      </c>
      <c r="K11" s="24">
        <f t="shared" si="0"/>
        <v>2630</v>
      </c>
      <c r="L11" s="12"/>
      <c r="M11" s="11"/>
    </row>
    <row r="12" spans="1:13" ht="63" customHeight="1">
      <c r="A12" s="17">
        <v>8</v>
      </c>
      <c r="B12" s="23" t="s">
        <v>1459</v>
      </c>
      <c r="C12" s="24">
        <v>3530</v>
      </c>
      <c r="D12" s="62" t="s">
        <v>2171</v>
      </c>
      <c r="E12" s="17" t="s">
        <v>65</v>
      </c>
      <c r="F12" s="17" t="s">
        <v>142</v>
      </c>
      <c r="G12" s="21" t="s">
        <v>2358</v>
      </c>
      <c r="H12" s="22" t="s">
        <v>2359</v>
      </c>
      <c r="I12" s="17" t="s">
        <v>22</v>
      </c>
      <c r="J12" s="17" t="s">
        <v>458</v>
      </c>
      <c r="K12" s="24">
        <f t="shared" si="0"/>
        <v>3530</v>
      </c>
      <c r="L12" s="12"/>
      <c r="M12" s="11"/>
    </row>
    <row r="13" spans="1:13" ht="63" customHeight="1">
      <c r="A13" s="17">
        <v>9</v>
      </c>
      <c r="B13" s="23" t="s">
        <v>1624</v>
      </c>
      <c r="C13" s="24">
        <v>2300</v>
      </c>
      <c r="D13" s="62" t="s">
        <v>2171</v>
      </c>
      <c r="E13" s="17" t="s">
        <v>65</v>
      </c>
      <c r="F13" s="17" t="s">
        <v>164</v>
      </c>
      <c r="G13" s="21" t="s">
        <v>2360</v>
      </c>
      <c r="H13" s="22" t="s">
        <v>2361</v>
      </c>
      <c r="I13" s="17" t="s">
        <v>88</v>
      </c>
      <c r="J13" s="17" t="s">
        <v>1569</v>
      </c>
      <c r="K13" s="24">
        <f t="shared" si="0"/>
        <v>2300</v>
      </c>
      <c r="L13" s="12"/>
      <c r="M13" s="11"/>
    </row>
    <row r="14" spans="1:13" ht="65.25" customHeight="1">
      <c r="A14" s="17">
        <v>10</v>
      </c>
      <c r="B14" s="23" t="s">
        <v>1371</v>
      </c>
      <c r="C14" s="24">
        <v>3900</v>
      </c>
      <c r="D14" s="62" t="s">
        <v>2171</v>
      </c>
      <c r="E14" s="17" t="s">
        <v>65</v>
      </c>
      <c r="F14" s="17" t="s">
        <v>164</v>
      </c>
      <c r="G14" s="21" t="s">
        <v>2360</v>
      </c>
      <c r="H14" s="22" t="s">
        <v>2362</v>
      </c>
      <c r="I14" s="17" t="s">
        <v>18</v>
      </c>
      <c r="J14" s="17" t="s">
        <v>1569</v>
      </c>
      <c r="K14" s="24">
        <f t="shared" si="0"/>
        <v>3900</v>
      </c>
    </row>
    <row r="15" spans="1:13" ht="149.94999999999999" customHeight="1">
      <c r="A15" s="17">
        <v>11</v>
      </c>
      <c r="B15" s="23" t="s">
        <v>2363</v>
      </c>
      <c r="C15" s="24">
        <v>5050</v>
      </c>
      <c r="D15" s="62" t="s">
        <v>2364</v>
      </c>
      <c r="E15" s="17" t="s">
        <v>65</v>
      </c>
      <c r="F15" s="17" t="s">
        <v>142</v>
      </c>
      <c r="G15" s="21" t="s">
        <v>2365</v>
      </c>
      <c r="H15" s="31" t="s">
        <v>2366</v>
      </c>
      <c r="I15" s="17" t="s">
        <v>18</v>
      </c>
      <c r="J15" s="17" t="s">
        <v>458</v>
      </c>
      <c r="K15" s="24">
        <f t="shared" si="0"/>
        <v>5050</v>
      </c>
    </row>
    <row r="16" spans="1:13" ht="102.1" customHeight="1">
      <c r="A16" s="17">
        <v>12</v>
      </c>
      <c r="B16" s="17" t="s">
        <v>2367</v>
      </c>
      <c r="C16" s="20">
        <v>3100</v>
      </c>
      <c r="D16" s="17" t="s">
        <v>2368</v>
      </c>
      <c r="E16" s="17" t="s">
        <v>65</v>
      </c>
      <c r="F16" s="17" t="s">
        <v>213</v>
      </c>
      <c r="G16" s="21" t="s">
        <v>2369</v>
      </c>
      <c r="H16" s="22" t="s">
        <v>2370</v>
      </c>
      <c r="I16" s="17" t="s">
        <v>22</v>
      </c>
      <c r="J16" s="17" t="s">
        <v>2371</v>
      </c>
      <c r="K16" s="17">
        <f t="shared" si="0"/>
        <v>3100</v>
      </c>
    </row>
    <row r="17" spans="1:11" ht="103.6" customHeight="1">
      <c r="A17" s="17">
        <v>13</v>
      </c>
      <c r="B17" s="17" t="s">
        <v>1142</v>
      </c>
      <c r="C17" s="20">
        <v>4330</v>
      </c>
      <c r="D17" s="17" t="s">
        <v>2368</v>
      </c>
      <c r="E17" s="17" t="s">
        <v>65</v>
      </c>
      <c r="F17" s="17" t="s">
        <v>213</v>
      </c>
      <c r="G17" s="21" t="s">
        <v>2372</v>
      </c>
      <c r="H17" s="22" t="s">
        <v>2373</v>
      </c>
      <c r="I17" s="17" t="s">
        <v>18</v>
      </c>
      <c r="J17" s="17" t="s">
        <v>2060</v>
      </c>
      <c r="K17" s="17">
        <f t="shared" si="0"/>
        <v>4330</v>
      </c>
    </row>
    <row r="18" spans="1:11" ht="86.3" customHeight="1">
      <c r="A18" s="17">
        <v>14</v>
      </c>
      <c r="B18" s="17" t="s">
        <v>2374</v>
      </c>
      <c r="C18" s="20">
        <v>3050</v>
      </c>
      <c r="D18" s="17" t="s">
        <v>2368</v>
      </c>
      <c r="E18" s="17" t="s">
        <v>65</v>
      </c>
      <c r="F18" s="17" t="s">
        <v>968</v>
      </c>
      <c r="G18" s="21" t="s">
        <v>2375</v>
      </c>
      <c r="H18" s="22" t="s">
        <v>2376</v>
      </c>
      <c r="I18" s="17" t="s">
        <v>2355</v>
      </c>
      <c r="J18" s="17" t="s">
        <v>1569</v>
      </c>
      <c r="K18" s="17">
        <f t="shared" si="0"/>
        <v>3050</v>
      </c>
    </row>
    <row r="19" spans="1:11" ht="61.5" customHeight="1">
      <c r="A19" s="17">
        <v>15</v>
      </c>
      <c r="B19" s="17" t="s">
        <v>2377</v>
      </c>
      <c r="C19" s="24">
        <v>2950</v>
      </c>
      <c r="D19" s="17" t="s">
        <v>2378</v>
      </c>
      <c r="E19" s="17" t="s">
        <v>65</v>
      </c>
      <c r="F19" s="17" t="s">
        <v>213</v>
      </c>
      <c r="G19" s="25" t="s">
        <v>2379</v>
      </c>
      <c r="H19" s="25" t="s">
        <v>2380</v>
      </c>
      <c r="I19" s="17" t="s">
        <v>2355</v>
      </c>
      <c r="J19" s="17" t="s">
        <v>2381</v>
      </c>
      <c r="K19" s="17">
        <f t="shared" si="0"/>
        <v>2950</v>
      </c>
    </row>
    <row r="20" spans="1:11" ht="86.3" customHeight="1">
      <c r="A20" s="17">
        <v>16</v>
      </c>
      <c r="B20" s="17" t="s">
        <v>2382</v>
      </c>
      <c r="C20" s="20">
        <v>2800</v>
      </c>
      <c r="D20" s="17" t="s">
        <v>2378</v>
      </c>
      <c r="E20" s="17" t="s">
        <v>65</v>
      </c>
      <c r="F20" s="17" t="s">
        <v>782</v>
      </c>
      <c r="G20" s="21" t="s">
        <v>2383</v>
      </c>
      <c r="H20" s="22" t="s">
        <v>2384</v>
      </c>
      <c r="I20" s="17" t="s">
        <v>22</v>
      </c>
      <c r="J20" s="17" t="s">
        <v>2039</v>
      </c>
      <c r="K20" s="17">
        <f t="shared" si="0"/>
        <v>2800</v>
      </c>
    </row>
    <row r="21" spans="1:11" ht="70.5" customHeight="1">
      <c r="A21" s="17">
        <v>17</v>
      </c>
      <c r="B21" s="17" t="s">
        <v>2180</v>
      </c>
      <c r="C21" s="20">
        <v>3350</v>
      </c>
      <c r="D21" s="17" t="s">
        <v>267</v>
      </c>
      <c r="E21" s="17" t="s">
        <v>65</v>
      </c>
      <c r="F21" s="17" t="s">
        <v>213</v>
      </c>
      <c r="G21" s="21" t="s">
        <v>2385</v>
      </c>
      <c r="H21" s="22" t="s">
        <v>2386</v>
      </c>
      <c r="I21" s="17" t="s">
        <v>22</v>
      </c>
      <c r="J21" s="17" t="s">
        <v>2381</v>
      </c>
      <c r="K21" s="17">
        <f t="shared" si="0"/>
        <v>3350</v>
      </c>
    </row>
    <row r="22" spans="1:11" ht="90" customHeight="1">
      <c r="A22" s="17">
        <v>18</v>
      </c>
      <c r="B22" s="17" t="s">
        <v>2387</v>
      </c>
      <c r="C22" s="20">
        <v>2520</v>
      </c>
      <c r="D22" s="17" t="s">
        <v>267</v>
      </c>
      <c r="E22" s="17" t="s">
        <v>65</v>
      </c>
      <c r="F22" s="17" t="s">
        <v>213</v>
      </c>
      <c r="G22" s="21" t="s">
        <v>2388</v>
      </c>
      <c r="H22" s="22" t="s">
        <v>2389</v>
      </c>
      <c r="I22" s="17" t="s">
        <v>18</v>
      </c>
      <c r="J22" s="17" t="s">
        <v>2390</v>
      </c>
      <c r="K22" s="17">
        <f t="shared" si="0"/>
        <v>2520</v>
      </c>
    </row>
    <row r="23" spans="1:11" ht="103.6" customHeight="1">
      <c r="A23" s="17">
        <v>19</v>
      </c>
      <c r="B23" s="17" t="s">
        <v>2391</v>
      </c>
      <c r="C23" s="20">
        <v>4300</v>
      </c>
      <c r="D23" s="17" t="s">
        <v>267</v>
      </c>
      <c r="E23" s="17" t="s">
        <v>65</v>
      </c>
      <c r="F23" s="17" t="s">
        <v>213</v>
      </c>
      <c r="G23" s="21" t="s">
        <v>2392</v>
      </c>
      <c r="H23" s="22" t="s">
        <v>2393</v>
      </c>
      <c r="I23" s="17" t="s">
        <v>2355</v>
      </c>
      <c r="J23" s="23" t="s">
        <v>2394</v>
      </c>
      <c r="K23" s="57">
        <f t="shared" si="0"/>
        <v>4300</v>
      </c>
    </row>
    <row r="24" spans="1:11" ht="36.700000000000003" customHeight="1">
      <c r="A24" s="17">
        <v>20</v>
      </c>
      <c r="B24" s="17" t="s">
        <v>2395</v>
      </c>
      <c r="C24" s="20">
        <v>3090</v>
      </c>
      <c r="D24" s="17" t="s">
        <v>267</v>
      </c>
      <c r="E24" s="17" t="s">
        <v>65</v>
      </c>
      <c r="F24" s="17" t="s">
        <v>213</v>
      </c>
      <c r="G24" s="21" t="s">
        <v>2396</v>
      </c>
      <c r="H24" s="22"/>
      <c r="I24" s="17" t="s">
        <v>2355</v>
      </c>
      <c r="J24" s="17"/>
      <c r="K24" s="57">
        <f t="shared" si="0"/>
        <v>3090</v>
      </c>
    </row>
    <row r="25" spans="1:11" ht="45.7" customHeight="1">
      <c r="A25" s="17">
        <v>21</v>
      </c>
      <c r="B25" s="14" t="s">
        <v>2036</v>
      </c>
      <c r="C25" s="20">
        <v>4350</v>
      </c>
      <c r="D25" s="17" t="s">
        <v>267</v>
      </c>
      <c r="E25" s="17" t="s">
        <v>65</v>
      </c>
      <c r="F25" s="17" t="s">
        <v>142</v>
      </c>
      <c r="G25" s="21" t="s">
        <v>2397</v>
      </c>
      <c r="H25" s="22"/>
      <c r="I25" s="17" t="s">
        <v>26</v>
      </c>
      <c r="J25" s="17" t="s">
        <v>2398</v>
      </c>
      <c r="K25" s="57">
        <f t="shared" si="0"/>
        <v>4350</v>
      </c>
    </row>
    <row r="26" spans="1:11" ht="47.25" customHeight="1">
      <c r="A26" s="17">
        <v>22</v>
      </c>
      <c r="B26" s="17" t="s">
        <v>537</v>
      </c>
      <c r="C26" s="20">
        <v>3250</v>
      </c>
      <c r="D26" s="17" t="s">
        <v>267</v>
      </c>
      <c r="E26" s="17" t="s">
        <v>65</v>
      </c>
      <c r="F26" s="17" t="s">
        <v>213</v>
      </c>
      <c r="G26" s="21" t="s">
        <v>2399</v>
      </c>
      <c r="H26" s="22"/>
      <c r="I26" s="17" t="s">
        <v>2355</v>
      </c>
      <c r="J26" s="17"/>
      <c r="K26" s="57">
        <f t="shared" si="0"/>
        <v>3250</v>
      </c>
    </row>
    <row r="27" spans="1:11" ht="47.25" customHeight="1">
      <c r="A27" s="17">
        <v>23</v>
      </c>
      <c r="B27" s="17" t="s">
        <v>584</v>
      </c>
      <c r="C27" s="20">
        <v>3090</v>
      </c>
      <c r="D27" s="17" t="s">
        <v>267</v>
      </c>
      <c r="E27" s="17" t="s">
        <v>65</v>
      </c>
      <c r="F27" s="17" t="s">
        <v>213</v>
      </c>
      <c r="G27" s="21" t="s">
        <v>2400</v>
      </c>
      <c r="H27" s="22"/>
      <c r="I27" s="17" t="s">
        <v>22</v>
      </c>
      <c r="J27" s="17"/>
      <c r="K27" s="57">
        <f t="shared" si="0"/>
        <v>3090</v>
      </c>
    </row>
    <row r="28" spans="1:11" ht="47.25" customHeight="1">
      <c r="A28" s="17">
        <v>24</v>
      </c>
      <c r="B28" s="17" t="s">
        <v>581</v>
      </c>
      <c r="C28" s="20">
        <v>3500</v>
      </c>
      <c r="D28" s="17" t="s">
        <v>267</v>
      </c>
      <c r="E28" s="17" t="s">
        <v>65</v>
      </c>
      <c r="F28" s="17" t="s">
        <v>213</v>
      </c>
      <c r="G28" s="21" t="s">
        <v>2401</v>
      </c>
      <c r="H28" s="22"/>
      <c r="I28" s="17" t="s">
        <v>88</v>
      </c>
      <c r="J28" s="17"/>
      <c r="K28" s="57">
        <f t="shared" si="0"/>
        <v>3500</v>
      </c>
    </row>
    <row r="29" spans="1:11" ht="47.25" customHeight="1">
      <c r="A29" s="17">
        <v>25</v>
      </c>
      <c r="B29" s="17" t="s">
        <v>315</v>
      </c>
      <c r="C29" s="20">
        <v>3900</v>
      </c>
      <c r="D29" s="17" t="s">
        <v>2402</v>
      </c>
      <c r="E29" s="17" t="s">
        <v>65</v>
      </c>
      <c r="F29" s="17" t="s">
        <v>294</v>
      </c>
      <c r="G29" s="21" t="s">
        <v>2403</v>
      </c>
      <c r="H29" s="22" t="s">
        <v>2404</v>
      </c>
      <c r="I29" s="17" t="s">
        <v>22</v>
      </c>
      <c r="J29" s="17" t="s">
        <v>1569</v>
      </c>
      <c r="K29" s="57">
        <f t="shared" si="0"/>
        <v>3900</v>
      </c>
    </row>
    <row r="30" spans="1:11" ht="91.7">
      <c r="A30" s="17">
        <v>26</v>
      </c>
      <c r="B30" s="17" t="s">
        <v>2405</v>
      </c>
      <c r="C30" s="20">
        <v>3500</v>
      </c>
      <c r="D30" s="17" t="s">
        <v>2402</v>
      </c>
      <c r="E30" s="17" t="s">
        <v>65</v>
      </c>
      <c r="F30" s="17" t="s">
        <v>142</v>
      </c>
      <c r="G30" s="21" t="s">
        <v>2406</v>
      </c>
      <c r="H30" s="22" t="s">
        <v>2407</v>
      </c>
      <c r="I30" s="17" t="s">
        <v>88</v>
      </c>
      <c r="J30" s="17" t="s">
        <v>458</v>
      </c>
      <c r="K30" s="57">
        <f t="shared" si="0"/>
        <v>3500</v>
      </c>
    </row>
    <row r="31" spans="1:11" ht="165.1">
      <c r="A31" s="17">
        <v>27</v>
      </c>
      <c r="B31" s="17" t="s">
        <v>1973</v>
      </c>
      <c r="C31" s="20">
        <v>4200</v>
      </c>
      <c r="D31" s="17" t="s">
        <v>2402</v>
      </c>
      <c r="E31" s="17" t="s">
        <v>65</v>
      </c>
      <c r="F31" s="17" t="s">
        <v>213</v>
      </c>
      <c r="G31" s="21" t="s">
        <v>2408</v>
      </c>
      <c r="H31" s="22" t="s">
        <v>2409</v>
      </c>
      <c r="I31" s="17" t="s">
        <v>18</v>
      </c>
      <c r="J31" s="17" t="s">
        <v>2039</v>
      </c>
      <c r="K31" s="57">
        <f t="shared" si="0"/>
        <v>4200</v>
      </c>
    </row>
    <row r="32" spans="1:11" ht="55.05">
      <c r="A32" s="17">
        <v>28</v>
      </c>
      <c r="B32" s="17" t="s">
        <v>2069</v>
      </c>
      <c r="C32" s="20">
        <v>4250</v>
      </c>
      <c r="D32" s="17" t="s">
        <v>2410</v>
      </c>
      <c r="E32" s="17" t="s">
        <v>65</v>
      </c>
      <c r="F32" s="17" t="s">
        <v>968</v>
      </c>
      <c r="G32" s="21" t="s">
        <v>2411</v>
      </c>
      <c r="H32" s="22" t="s">
        <v>2386</v>
      </c>
      <c r="I32" s="17" t="s">
        <v>2355</v>
      </c>
      <c r="J32" s="17" t="s">
        <v>1986</v>
      </c>
      <c r="K32" s="57">
        <f t="shared" si="0"/>
        <v>4250</v>
      </c>
    </row>
    <row r="33" spans="1:11" ht="73.400000000000006">
      <c r="A33" s="17">
        <v>29</v>
      </c>
      <c r="B33" s="17" t="s">
        <v>2412</v>
      </c>
      <c r="C33" s="20">
        <v>2700</v>
      </c>
      <c r="D33" s="17" t="s">
        <v>2410</v>
      </c>
      <c r="E33" s="17" t="s">
        <v>65</v>
      </c>
      <c r="F33" s="17" t="s">
        <v>294</v>
      </c>
      <c r="G33" s="21" t="s">
        <v>2413</v>
      </c>
      <c r="H33" s="22" t="s">
        <v>2414</v>
      </c>
      <c r="I33" s="17" t="s">
        <v>2355</v>
      </c>
      <c r="J33" s="17" t="s">
        <v>1569</v>
      </c>
      <c r="K33" s="57">
        <f t="shared" si="0"/>
        <v>2700</v>
      </c>
    </row>
    <row r="34" spans="1:11" ht="108" customHeight="1">
      <c r="A34" s="17">
        <v>30</v>
      </c>
      <c r="B34" s="17" t="s">
        <v>1042</v>
      </c>
      <c r="C34" s="20">
        <v>3400</v>
      </c>
      <c r="D34" s="17" t="s">
        <v>2415</v>
      </c>
      <c r="E34" s="17" t="s">
        <v>65</v>
      </c>
      <c r="F34" s="17" t="s">
        <v>213</v>
      </c>
      <c r="G34" s="21" t="s">
        <v>2416</v>
      </c>
      <c r="H34" s="22" t="s">
        <v>2417</v>
      </c>
      <c r="I34" s="17" t="s">
        <v>22</v>
      </c>
      <c r="J34" s="23" t="s">
        <v>2418</v>
      </c>
      <c r="K34" s="57">
        <f t="shared" si="0"/>
        <v>3400</v>
      </c>
    </row>
    <row r="35" spans="1:11" ht="55.05">
      <c r="A35" s="17">
        <v>31</v>
      </c>
      <c r="B35" s="17" t="s">
        <v>1565</v>
      </c>
      <c r="C35" s="20">
        <v>2500</v>
      </c>
      <c r="D35" s="17" t="s">
        <v>2415</v>
      </c>
      <c r="E35" s="17" t="s">
        <v>65</v>
      </c>
      <c r="F35" s="17" t="s">
        <v>213</v>
      </c>
      <c r="G35" s="21" t="s">
        <v>2419</v>
      </c>
      <c r="H35" s="22"/>
      <c r="I35" s="17" t="s">
        <v>88</v>
      </c>
      <c r="J35" s="17" t="s">
        <v>2420</v>
      </c>
      <c r="K35" s="57">
        <f t="shared" si="0"/>
        <v>2500</v>
      </c>
    </row>
    <row r="36" spans="1:11" ht="36" customHeight="1">
      <c r="A36" s="17">
        <v>32</v>
      </c>
      <c r="B36" s="17" t="s">
        <v>2421</v>
      </c>
      <c r="C36" s="24">
        <v>3150</v>
      </c>
      <c r="D36" s="17" t="s">
        <v>2422</v>
      </c>
      <c r="E36" s="17" t="s">
        <v>65</v>
      </c>
      <c r="F36" s="17" t="s">
        <v>213</v>
      </c>
      <c r="G36" s="25" t="s">
        <v>2423</v>
      </c>
      <c r="H36" s="25" t="s">
        <v>2424</v>
      </c>
      <c r="I36" s="17" t="s">
        <v>22</v>
      </c>
      <c r="J36" s="17" t="s">
        <v>2157</v>
      </c>
      <c r="K36" s="57">
        <f t="shared" si="0"/>
        <v>3150</v>
      </c>
    </row>
    <row r="37" spans="1:11" ht="86.95" customHeight="1">
      <c r="A37" s="17">
        <v>33</v>
      </c>
      <c r="B37" s="17" t="s">
        <v>2425</v>
      </c>
      <c r="C37" s="24">
        <v>4700</v>
      </c>
      <c r="D37" s="17" t="s">
        <v>2422</v>
      </c>
      <c r="E37" s="17" t="s">
        <v>65</v>
      </c>
      <c r="F37" s="17" t="s">
        <v>213</v>
      </c>
      <c r="G37" s="25" t="s">
        <v>2426</v>
      </c>
      <c r="H37" s="25" t="s">
        <v>2427</v>
      </c>
      <c r="I37" s="17" t="s">
        <v>18</v>
      </c>
      <c r="J37" s="17" t="s">
        <v>458</v>
      </c>
      <c r="K37" s="57">
        <f t="shared" ref="K37:K65" si="1">C37</f>
        <v>4700</v>
      </c>
    </row>
    <row r="38" spans="1:11" ht="45" customHeight="1">
      <c r="A38" s="17">
        <v>34</v>
      </c>
      <c r="B38" s="17" t="s">
        <v>2428</v>
      </c>
      <c r="C38" s="24">
        <v>3000</v>
      </c>
      <c r="D38" s="17" t="s">
        <v>2429</v>
      </c>
      <c r="E38" s="17" t="s">
        <v>65</v>
      </c>
      <c r="F38" s="17" t="s">
        <v>213</v>
      </c>
      <c r="G38" s="21" t="s">
        <v>2430</v>
      </c>
      <c r="H38" s="34" t="s">
        <v>2431</v>
      </c>
      <c r="I38" s="17" t="s">
        <v>2355</v>
      </c>
      <c r="J38" s="17" t="s">
        <v>458</v>
      </c>
      <c r="K38" s="57">
        <f t="shared" si="1"/>
        <v>3000</v>
      </c>
    </row>
    <row r="39" spans="1:11" ht="45.7" customHeight="1">
      <c r="A39" s="17">
        <v>35</v>
      </c>
      <c r="B39" s="17" t="s">
        <v>1827</v>
      </c>
      <c r="C39" s="24">
        <v>3250</v>
      </c>
      <c r="D39" s="17" t="s">
        <v>2429</v>
      </c>
      <c r="E39" s="17" t="s">
        <v>65</v>
      </c>
      <c r="F39" s="17" t="s">
        <v>213</v>
      </c>
      <c r="G39" s="25" t="s">
        <v>2432</v>
      </c>
      <c r="H39" s="34" t="s">
        <v>2433</v>
      </c>
      <c r="I39" s="17" t="s">
        <v>88</v>
      </c>
      <c r="J39" s="17" t="s">
        <v>458</v>
      </c>
      <c r="K39" s="57">
        <f t="shared" si="1"/>
        <v>3250</v>
      </c>
    </row>
    <row r="40" spans="1:11" ht="39.1" customHeight="1">
      <c r="A40" s="17">
        <v>36</v>
      </c>
      <c r="B40" s="17" t="s">
        <v>2163</v>
      </c>
      <c r="C40" s="24">
        <v>2450</v>
      </c>
      <c r="D40" s="17" t="s">
        <v>2429</v>
      </c>
      <c r="E40" s="17" t="s">
        <v>65</v>
      </c>
      <c r="F40" s="17" t="s">
        <v>213</v>
      </c>
      <c r="G40" s="25" t="s">
        <v>2434</v>
      </c>
      <c r="H40" s="34" t="s">
        <v>2435</v>
      </c>
      <c r="I40" s="17" t="s">
        <v>88</v>
      </c>
      <c r="J40" s="17" t="s">
        <v>458</v>
      </c>
      <c r="K40" s="57">
        <f t="shared" si="1"/>
        <v>2450</v>
      </c>
    </row>
    <row r="41" spans="1:11" ht="91.7">
      <c r="A41" s="17">
        <v>37</v>
      </c>
      <c r="B41" s="17" t="s">
        <v>667</v>
      </c>
      <c r="C41" s="24">
        <v>3100</v>
      </c>
      <c r="D41" s="17" t="s">
        <v>2436</v>
      </c>
      <c r="E41" s="17" t="s">
        <v>65</v>
      </c>
      <c r="F41" s="17" t="s">
        <v>213</v>
      </c>
      <c r="G41" s="25" t="s">
        <v>2437</v>
      </c>
      <c r="H41" s="34" t="s">
        <v>2438</v>
      </c>
      <c r="I41" s="17" t="s">
        <v>22</v>
      </c>
      <c r="J41" s="17" t="s">
        <v>2439</v>
      </c>
      <c r="K41" s="57">
        <f t="shared" si="1"/>
        <v>3100</v>
      </c>
    </row>
    <row r="42" spans="1:11" ht="55.05">
      <c r="A42" s="17">
        <v>38</v>
      </c>
      <c r="B42" s="17" t="s">
        <v>1722</v>
      </c>
      <c r="C42" s="24">
        <v>3650</v>
      </c>
      <c r="D42" s="17" t="s">
        <v>2440</v>
      </c>
      <c r="E42" s="17" t="s">
        <v>65</v>
      </c>
      <c r="F42" s="17" t="s">
        <v>782</v>
      </c>
      <c r="G42" s="25" t="s">
        <v>2441</v>
      </c>
      <c r="H42" s="34" t="s">
        <v>2442</v>
      </c>
      <c r="I42" s="17" t="s">
        <v>22</v>
      </c>
      <c r="J42" s="17" t="s">
        <v>2060</v>
      </c>
      <c r="K42" s="57">
        <f t="shared" si="1"/>
        <v>3650</v>
      </c>
    </row>
    <row r="43" spans="1:11" ht="45.7" customHeight="1">
      <c r="A43" s="17">
        <v>39</v>
      </c>
      <c r="B43" s="17" t="s">
        <v>955</v>
      </c>
      <c r="C43" s="24">
        <v>3550</v>
      </c>
      <c r="D43" s="17" t="s">
        <v>2440</v>
      </c>
      <c r="E43" s="17" t="s">
        <v>65</v>
      </c>
      <c r="F43" s="17" t="s">
        <v>213</v>
      </c>
      <c r="G43" s="25" t="s">
        <v>2443</v>
      </c>
      <c r="H43" s="34" t="s">
        <v>2444</v>
      </c>
      <c r="I43" s="17" t="s">
        <v>2355</v>
      </c>
      <c r="J43" s="17" t="s">
        <v>2439</v>
      </c>
      <c r="K43" s="57">
        <f t="shared" si="1"/>
        <v>3550</v>
      </c>
    </row>
    <row r="44" spans="1:11" ht="113.3" customHeight="1">
      <c r="A44" s="17">
        <v>40</v>
      </c>
      <c r="B44" s="14" t="s">
        <v>2445</v>
      </c>
      <c r="C44" s="24">
        <v>3350</v>
      </c>
      <c r="D44" s="17" t="s">
        <v>2446</v>
      </c>
      <c r="E44" s="17" t="s">
        <v>65</v>
      </c>
      <c r="F44" s="17" t="s">
        <v>213</v>
      </c>
      <c r="G44" s="25" t="s">
        <v>2447</v>
      </c>
      <c r="H44" s="34" t="s">
        <v>2448</v>
      </c>
      <c r="I44" s="17" t="s">
        <v>26</v>
      </c>
      <c r="J44" s="17" t="s">
        <v>2439</v>
      </c>
      <c r="K44" s="57">
        <f t="shared" si="1"/>
        <v>3350</v>
      </c>
    </row>
    <row r="45" spans="1:11" ht="36.700000000000003">
      <c r="A45" s="17">
        <v>41</v>
      </c>
      <c r="B45" s="17" t="s">
        <v>1336</v>
      </c>
      <c r="C45" s="24">
        <v>3400</v>
      </c>
      <c r="D45" s="17" t="s">
        <v>2446</v>
      </c>
      <c r="E45" s="17" t="s">
        <v>65</v>
      </c>
      <c r="F45" s="17" t="s">
        <v>213</v>
      </c>
      <c r="G45" s="25" t="s">
        <v>2449</v>
      </c>
      <c r="H45" s="34" t="s">
        <v>2450</v>
      </c>
      <c r="I45" s="17" t="s">
        <v>22</v>
      </c>
      <c r="J45" s="17" t="s">
        <v>2439</v>
      </c>
      <c r="K45" s="57">
        <f t="shared" si="1"/>
        <v>3400</v>
      </c>
    </row>
    <row r="46" spans="1:11" ht="36.700000000000003">
      <c r="A46" s="17">
        <v>42</v>
      </c>
      <c r="B46" s="17" t="s">
        <v>1277</v>
      </c>
      <c r="C46" s="24">
        <v>2980</v>
      </c>
      <c r="D46" s="17" t="s">
        <v>2451</v>
      </c>
      <c r="E46" s="17" t="s">
        <v>65</v>
      </c>
      <c r="F46" s="17" t="s">
        <v>240</v>
      </c>
      <c r="G46" s="25" t="s">
        <v>2452</v>
      </c>
      <c r="H46" s="34" t="s">
        <v>2453</v>
      </c>
      <c r="I46" s="17" t="s">
        <v>18</v>
      </c>
      <c r="J46" s="17" t="s">
        <v>2454</v>
      </c>
      <c r="K46" s="57">
        <f t="shared" si="1"/>
        <v>2980</v>
      </c>
    </row>
    <row r="47" spans="1:11" ht="55.05">
      <c r="A47" s="17">
        <v>43</v>
      </c>
      <c r="B47" s="17" t="s">
        <v>2455</v>
      </c>
      <c r="C47" s="24">
        <v>4700</v>
      </c>
      <c r="D47" s="17" t="s">
        <v>2451</v>
      </c>
      <c r="E47" s="17" t="s">
        <v>65</v>
      </c>
      <c r="F47" s="23" t="s">
        <v>782</v>
      </c>
      <c r="G47" s="21" t="s">
        <v>2456</v>
      </c>
      <c r="H47" s="34" t="s">
        <v>2457</v>
      </c>
      <c r="I47" s="17" t="s">
        <v>88</v>
      </c>
      <c r="J47" s="17" t="s">
        <v>1569</v>
      </c>
      <c r="K47" s="57">
        <f t="shared" si="1"/>
        <v>4700</v>
      </c>
    </row>
    <row r="48" spans="1:11" ht="36.700000000000003">
      <c r="A48" s="17">
        <v>44</v>
      </c>
      <c r="B48" s="17" t="s">
        <v>2458</v>
      </c>
      <c r="C48" s="24">
        <v>4760</v>
      </c>
      <c r="D48" s="17" t="s">
        <v>2459</v>
      </c>
      <c r="E48" s="17" t="s">
        <v>65</v>
      </c>
      <c r="F48" s="17" t="s">
        <v>213</v>
      </c>
      <c r="G48" s="25" t="s">
        <v>2460</v>
      </c>
      <c r="H48" s="34" t="s">
        <v>2461</v>
      </c>
      <c r="I48" s="17" t="s">
        <v>22</v>
      </c>
      <c r="J48" s="17" t="s">
        <v>2462</v>
      </c>
      <c r="K48" s="57">
        <f t="shared" si="1"/>
        <v>4760</v>
      </c>
    </row>
    <row r="49" spans="1:11" ht="28.55" customHeight="1">
      <c r="A49" s="17">
        <v>45</v>
      </c>
      <c r="B49" s="17" t="s">
        <v>1769</v>
      </c>
      <c r="C49" s="24">
        <v>3150</v>
      </c>
      <c r="D49" s="17" t="s">
        <v>2459</v>
      </c>
      <c r="E49" s="17" t="s">
        <v>65</v>
      </c>
      <c r="F49" s="17" t="s">
        <v>213</v>
      </c>
      <c r="G49" s="25" t="s">
        <v>2463</v>
      </c>
      <c r="H49" s="34"/>
      <c r="I49" s="17" t="s">
        <v>18</v>
      </c>
      <c r="J49" s="17" t="s">
        <v>2439</v>
      </c>
      <c r="K49" s="57">
        <f t="shared" si="1"/>
        <v>3150</v>
      </c>
    </row>
    <row r="50" spans="1:11" ht="77.95" customHeight="1">
      <c r="A50" s="17">
        <v>46</v>
      </c>
      <c r="B50" s="17" t="s">
        <v>2377</v>
      </c>
      <c r="C50" s="24">
        <v>2900</v>
      </c>
      <c r="D50" s="17" t="s">
        <v>2464</v>
      </c>
      <c r="E50" s="17" t="s">
        <v>65</v>
      </c>
      <c r="F50" s="17" t="s">
        <v>213</v>
      </c>
      <c r="G50" s="25" t="s">
        <v>2465</v>
      </c>
      <c r="H50" s="34"/>
      <c r="I50" s="17" t="s">
        <v>2355</v>
      </c>
      <c r="J50" s="17" t="s">
        <v>2466</v>
      </c>
      <c r="K50" s="57">
        <f t="shared" si="1"/>
        <v>2900</v>
      </c>
    </row>
    <row r="51" spans="1:11" ht="77.95" customHeight="1">
      <c r="A51" s="17">
        <v>47</v>
      </c>
      <c r="B51" s="17" t="s">
        <v>2292</v>
      </c>
      <c r="C51" s="24">
        <v>3100</v>
      </c>
      <c r="D51" s="17" t="s">
        <v>2464</v>
      </c>
      <c r="E51" s="17" t="s">
        <v>65</v>
      </c>
      <c r="F51" s="17" t="s">
        <v>213</v>
      </c>
      <c r="G51" s="25" t="s">
        <v>2467</v>
      </c>
      <c r="H51" s="34" t="s">
        <v>2468</v>
      </c>
      <c r="I51" s="17" t="s">
        <v>26</v>
      </c>
      <c r="J51" s="17" t="s">
        <v>458</v>
      </c>
      <c r="K51" s="57">
        <f t="shared" si="1"/>
        <v>3100</v>
      </c>
    </row>
    <row r="52" spans="1:11" ht="77.95" customHeight="1">
      <c r="A52" s="17">
        <v>48</v>
      </c>
      <c r="B52" s="17" t="s">
        <v>2469</v>
      </c>
      <c r="C52" s="24">
        <v>3500</v>
      </c>
      <c r="D52" s="17" t="s">
        <v>2464</v>
      </c>
      <c r="E52" s="17" t="s">
        <v>65</v>
      </c>
      <c r="F52" s="17" t="s">
        <v>213</v>
      </c>
      <c r="G52" s="25" t="s">
        <v>2470</v>
      </c>
      <c r="H52" s="34"/>
      <c r="I52" s="17" t="s">
        <v>18</v>
      </c>
      <c r="J52" s="17" t="s">
        <v>2439</v>
      </c>
      <c r="K52" s="57">
        <f t="shared" si="1"/>
        <v>3500</v>
      </c>
    </row>
    <row r="53" spans="1:11" ht="77.95" customHeight="1">
      <c r="A53" s="17">
        <v>49</v>
      </c>
      <c r="B53" s="17" t="s">
        <v>2316</v>
      </c>
      <c r="C53" s="24">
        <v>3800</v>
      </c>
      <c r="D53" s="17" t="s">
        <v>2464</v>
      </c>
      <c r="E53" s="17" t="s">
        <v>65</v>
      </c>
      <c r="F53" s="17" t="s">
        <v>213</v>
      </c>
      <c r="G53" s="25" t="s">
        <v>2471</v>
      </c>
      <c r="H53" s="34" t="s">
        <v>2472</v>
      </c>
      <c r="I53" s="17" t="s">
        <v>26</v>
      </c>
      <c r="J53" s="17" t="s">
        <v>2439</v>
      </c>
      <c r="K53" s="57">
        <f t="shared" si="1"/>
        <v>3800</v>
      </c>
    </row>
    <row r="54" spans="1:11" ht="73.400000000000006">
      <c r="A54" s="17">
        <v>50</v>
      </c>
      <c r="B54" s="17" t="s">
        <v>1735</v>
      </c>
      <c r="C54" s="24">
        <v>2950</v>
      </c>
      <c r="D54" s="17" t="s">
        <v>2464</v>
      </c>
      <c r="E54" s="17" t="s">
        <v>65</v>
      </c>
      <c r="F54" s="17" t="s">
        <v>968</v>
      </c>
      <c r="G54" s="21" t="s">
        <v>2473</v>
      </c>
      <c r="H54" s="34" t="s">
        <v>2474</v>
      </c>
      <c r="I54" s="17" t="s">
        <v>22</v>
      </c>
      <c r="J54" s="23" t="s">
        <v>2475</v>
      </c>
      <c r="K54" s="57">
        <f t="shared" si="1"/>
        <v>2950</v>
      </c>
    </row>
    <row r="55" spans="1:11" ht="73.400000000000006">
      <c r="A55" s="17">
        <v>51</v>
      </c>
      <c r="B55" s="17" t="s">
        <v>537</v>
      </c>
      <c r="C55" s="24">
        <v>3285</v>
      </c>
      <c r="D55" s="17" t="s">
        <v>2476</v>
      </c>
      <c r="E55" s="17" t="s">
        <v>65</v>
      </c>
      <c r="F55" s="17" t="s">
        <v>213</v>
      </c>
      <c r="G55" s="21" t="s">
        <v>2477</v>
      </c>
      <c r="H55" s="34" t="s">
        <v>2478</v>
      </c>
      <c r="I55" s="17" t="s">
        <v>2355</v>
      </c>
      <c r="J55" s="23" t="s">
        <v>2418</v>
      </c>
      <c r="K55" s="57">
        <f>C55</f>
        <v>3285</v>
      </c>
    </row>
    <row r="56" spans="1:11" ht="49.6" customHeight="1">
      <c r="A56" s="17">
        <v>51</v>
      </c>
      <c r="B56" s="17" t="s">
        <v>1691</v>
      </c>
      <c r="C56" s="20">
        <v>2800</v>
      </c>
      <c r="D56" s="17" t="s">
        <v>267</v>
      </c>
      <c r="E56" s="17" t="s">
        <v>65</v>
      </c>
      <c r="F56" s="17" t="s">
        <v>213</v>
      </c>
      <c r="G56" s="21" t="s">
        <v>2479</v>
      </c>
      <c r="H56" s="22" t="s">
        <v>2480</v>
      </c>
      <c r="I56" s="17" t="s">
        <v>18</v>
      </c>
      <c r="J56" s="17" t="s">
        <v>458</v>
      </c>
      <c r="K56" s="20">
        <f t="shared" si="1"/>
        <v>2800</v>
      </c>
    </row>
    <row r="57" spans="1:11" ht="93.75" customHeight="1">
      <c r="A57" s="17">
        <v>52</v>
      </c>
      <c r="B57" s="17" t="s">
        <v>1267</v>
      </c>
      <c r="C57" s="24">
        <v>5000</v>
      </c>
      <c r="D57" s="17" t="s">
        <v>267</v>
      </c>
      <c r="E57" s="17" t="s">
        <v>65</v>
      </c>
      <c r="F57" s="17" t="s">
        <v>968</v>
      </c>
      <c r="G57" s="64" t="s">
        <v>2481</v>
      </c>
      <c r="H57" s="65" t="s">
        <v>2482</v>
      </c>
      <c r="I57" s="17" t="s">
        <v>88</v>
      </c>
      <c r="J57" s="23" t="s">
        <v>2039</v>
      </c>
      <c r="K57" s="57">
        <f t="shared" si="1"/>
        <v>5000</v>
      </c>
    </row>
    <row r="58" spans="1:11" ht="73.55" customHeight="1">
      <c r="A58" s="17">
        <v>53</v>
      </c>
      <c r="B58" s="17" t="s">
        <v>590</v>
      </c>
      <c r="C58" s="24">
        <v>3450</v>
      </c>
      <c r="D58" s="17" t="s">
        <v>267</v>
      </c>
      <c r="E58" s="17" t="s">
        <v>65</v>
      </c>
      <c r="F58" s="17" t="s">
        <v>213</v>
      </c>
      <c r="G58" s="58" t="s">
        <v>2483</v>
      </c>
      <c r="H58" s="56" t="s">
        <v>2484</v>
      </c>
      <c r="I58" s="17" t="s">
        <v>22</v>
      </c>
      <c r="J58" s="23" t="s">
        <v>2466</v>
      </c>
      <c r="K58" s="57">
        <f t="shared" si="1"/>
        <v>3450</v>
      </c>
    </row>
    <row r="59" spans="1:11" ht="90.7" customHeight="1">
      <c r="A59" s="17">
        <v>54</v>
      </c>
      <c r="B59" s="17" t="s">
        <v>1131</v>
      </c>
      <c r="C59" s="24">
        <v>4750</v>
      </c>
      <c r="D59" s="17" t="s">
        <v>2485</v>
      </c>
      <c r="E59" s="17" t="s">
        <v>65</v>
      </c>
      <c r="F59" s="17" t="s">
        <v>213</v>
      </c>
      <c r="G59" s="22" t="s">
        <v>2486</v>
      </c>
      <c r="H59" s="34" t="s">
        <v>2487</v>
      </c>
      <c r="I59" s="17" t="s">
        <v>22</v>
      </c>
      <c r="J59" s="23" t="s">
        <v>2488</v>
      </c>
      <c r="K59" s="57">
        <f>C59</f>
        <v>4750</v>
      </c>
    </row>
    <row r="60" spans="1:11" ht="55.05">
      <c r="A60" s="17">
        <v>52</v>
      </c>
      <c r="B60" s="17" t="s">
        <v>640</v>
      </c>
      <c r="C60" s="24">
        <v>3150</v>
      </c>
      <c r="D60" s="17" t="s">
        <v>2489</v>
      </c>
      <c r="E60" s="17" t="s">
        <v>65</v>
      </c>
      <c r="F60" s="17" t="s">
        <v>213</v>
      </c>
      <c r="G60" s="21" t="s">
        <v>2490</v>
      </c>
      <c r="H60" s="34" t="s">
        <v>2491</v>
      </c>
      <c r="I60" s="17" t="s">
        <v>2355</v>
      </c>
      <c r="J60" s="23" t="s">
        <v>1569</v>
      </c>
      <c r="K60" s="57">
        <f>C60</f>
        <v>3150</v>
      </c>
    </row>
    <row r="61" spans="1:11">
      <c r="A61" s="17">
        <v>53</v>
      </c>
      <c r="B61" s="17" t="s">
        <v>1294</v>
      </c>
      <c r="C61" s="24">
        <v>3000</v>
      </c>
      <c r="D61" s="17" t="s">
        <v>2489</v>
      </c>
      <c r="E61" s="17" t="s">
        <v>65</v>
      </c>
      <c r="F61" s="17" t="s">
        <v>213</v>
      </c>
      <c r="G61" s="21" t="s">
        <v>2492</v>
      </c>
      <c r="H61" s="34" t="s">
        <v>2493</v>
      </c>
      <c r="I61" s="17" t="s">
        <v>22</v>
      </c>
      <c r="J61" s="23" t="s">
        <v>458</v>
      </c>
      <c r="K61" s="57">
        <f>C61</f>
        <v>3000</v>
      </c>
    </row>
    <row r="62" spans="1:11" ht="128.25" customHeight="1">
      <c r="A62" s="17">
        <v>55</v>
      </c>
      <c r="B62" s="17" t="s">
        <v>2494</v>
      </c>
      <c r="C62" s="20">
        <v>3750</v>
      </c>
      <c r="D62" s="17" t="s">
        <v>2489</v>
      </c>
      <c r="E62" s="17" t="s">
        <v>65</v>
      </c>
      <c r="F62" s="17" t="s">
        <v>213</v>
      </c>
      <c r="G62" s="21" t="s">
        <v>2495</v>
      </c>
      <c r="H62" s="22" t="s">
        <v>2496</v>
      </c>
      <c r="I62" s="17" t="s">
        <v>26</v>
      </c>
      <c r="J62" s="17" t="s">
        <v>2497</v>
      </c>
      <c r="K62" s="20">
        <f>C62</f>
        <v>3750</v>
      </c>
    </row>
    <row r="63" spans="1:11" ht="49.6" customHeight="1">
      <c r="A63" s="17">
        <v>57</v>
      </c>
      <c r="B63" s="17" t="s">
        <v>1751</v>
      </c>
      <c r="C63" s="20">
        <v>3000</v>
      </c>
      <c r="D63" s="17" t="s">
        <v>2498</v>
      </c>
      <c r="E63" s="17" t="s">
        <v>65</v>
      </c>
      <c r="F63" s="17" t="s">
        <v>213</v>
      </c>
      <c r="G63" s="21" t="s">
        <v>2499</v>
      </c>
      <c r="H63" s="22" t="s">
        <v>2500</v>
      </c>
      <c r="I63" s="17" t="s">
        <v>2355</v>
      </c>
      <c r="J63" s="17" t="s">
        <v>1569</v>
      </c>
      <c r="K63" s="20">
        <f>C63</f>
        <v>3000</v>
      </c>
    </row>
    <row r="64" spans="1:11" ht="80.349999999999994" customHeight="1">
      <c r="A64" s="17">
        <v>56</v>
      </c>
      <c r="B64" s="17" t="s">
        <v>2501</v>
      </c>
      <c r="C64" s="24">
        <v>3300</v>
      </c>
      <c r="D64" s="17" t="s">
        <v>2502</v>
      </c>
      <c r="E64" s="17" t="s">
        <v>65</v>
      </c>
      <c r="F64" s="17" t="s">
        <v>164</v>
      </c>
      <c r="G64" s="58" t="s">
        <v>2503</v>
      </c>
      <c r="H64" s="56" t="s">
        <v>2504</v>
      </c>
      <c r="I64" s="17" t="s">
        <v>18</v>
      </c>
      <c r="J64" s="23" t="s">
        <v>1961</v>
      </c>
      <c r="K64" s="57">
        <f t="shared" si="1"/>
        <v>3300</v>
      </c>
    </row>
    <row r="65" spans="1:11" ht="94.6" customHeight="1">
      <c r="A65" s="17">
        <v>57</v>
      </c>
      <c r="B65" s="17" t="s">
        <v>2505</v>
      </c>
      <c r="C65" s="24">
        <v>4550</v>
      </c>
      <c r="D65" s="17" t="s">
        <v>2502</v>
      </c>
      <c r="E65" s="17" t="s">
        <v>65</v>
      </c>
      <c r="F65" s="17" t="s">
        <v>142</v>
      </c>
      <c r="G65" s="58" t="s">
        <v>2506</v>
      </c>
      <c r="H65" s="56" t="s">
        <v>2507</v>
      </c>
      <c r="I65" s="17" t="s">
        <v>2355</v>
      </c>
      <c r="J65" s="23" t="s">
        <v>2466</v>
      </c>
      <c r="K65" s="57">
        <f t="shared" si="1"/>
        <v>4550</v>
      </c>
    </row>
  </sheetData>
  <autoFilter ref="A4:O65" xr:uid="{00000000-0009-0000-0000-00000F000000}"/>
  <mergeCells count="3">
    <mergeCell ref="C1:H1"/>
    <mergeCell ref="A2:H2"/>
    <mergeCell ref="H3:I3"/>
  </mergeCells>
  <conditionalFormatting sqref="B3:B13 B15 B68:B1048576">
    <cfRule type="duplicateValues" dxfId="580" priority="169"/>
    <cfRule type="duplicateValues" dxfId="579" priority="170"/>
    <cfRule type="duplicateValues" dxfId="578" priority="177"/>
  </conditionalFormatting>
  <conditionalFormatting sqref="B14">
    <cfRule type="duplicateValues" dxfId="577" priority="1"/>
    <cfRule type="duplicateValues" dxfId="576" priority="2"/>
    <cfRule type="duplicateValues" dxfId="575"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topRight" activeCell="E6" sqref="E6"/>
      <selection pane="bottomLeft" activeCell="E6" sqref="E6"/>
      <selection pane="bottomRight" activeCell="E6" sqref="E6"/>
    </sheetView>
  </sheetViews>
  <sheetFormatPr defaultColWidth="25.625" defaultRowHeight="18.350000000000001"/>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375" style="3" customWidth="1"/>
    <col min="13" max="13" width="44" style="3" bestFit="1" customWidth="1"/>
    <col min="14" max="14" width="34.625" style="3" customWidth="1"/>
    <col min="15" max="16384" width="25.625" style="3"/>
  </cols>
  <sheetData>
    <row r="1" spans="1:13" ht="44.35" customHeight="1">
      <c r="B1" s="10"/>
      <c r="C1" s="3704"/>
      <c r="D1" s="3704"/>
      <c r="E1" s="3704"/>
      <c r="F1" s="3704"/>
      <c r="G1" s="3704"/>
      <c r="H1" s="3704"/>
    </row>
    <row r="2" spans="1:13" ht="41.3" customHeight="1">
      <c r="A2" s="3719" t="s">
        <v>2508</v>
      </c>
      <c r="B2" s="3720"/>
      <c r="C2" s="3720"/>
      <c r="D2" s="3720"/>
      <c r="E2" s="3720"/>
      <c r="F2" s="3720"/>
      <c r="G2" s="3720"/>
      <c r="H2" s="3721"/>
      <c r="I2" s="46"/>
      <c r="J2" s="46"/>
      <c r="K2" s="46"/>
      <c r="L2" s="4"/>
    </row>
    <row r="3" spans="1:13" ht="41.3" hidden="1" customHeight="1">
      <c r="B3" s="41"/>
      <c r="C3" s="41"/>
      <c r="D3" s="41" t="s">
        <v>2509</v>
      </c>
      <c r="E3" s="41" t="s">
        <v>65</v>
      </c>
      <c r="F3" s="41" t="s">
        <v>275</v>
      </c>
      <c r="G3" s="44"/>
      <c r="H3" s="5"/>
      <c r="I3" s="6"/>
      <c r="J3" s="6"/>
      <c r="K3" s="41"/>
      <c r="L3" s="4"/>
    </row>
    <row r="4" spans="1:13" ht="23.95" customHeight="1">
      <c r="B4" s="48"/>
      <c r="C4" s="49">
        <f>SUBTOTAL(9,C6:C971)</f>
        <v>222660</v>
      </c>
      <c r="D4" s="50"/>
      <c r="E4" s="50"/>
      <c r="F4" s="48"/>
      <c r="G4" s="51"/>
      <c r="H4" s="3725">
        <f ca="1">TODAY()</f>
        <v>45988</v>
      </c>
      <c r="I4" s="3726"/>
      <c r="J4" s="1198"/>
      <c r="K4" s="52"/>
    </row>
    <row r="5" spans="1:13" s="7" customFormat="1" ht="54.7" customHeight="1">
      <c r="A5" s="53" t="s">
        <v>48</v>
      </c>
      <c r="B5" s="53" t="s">
        <v>49</v>
      </c>
      <c r="C5" s="54" t="s">
        <v>50</v>
      </c>
      <c r="D5" s="53" t="s">
        <v>51</v>
      </c>
      <c r="E5" s="53" t="s">
        <v>55</v>
      </c>
      <c r="F5" s="53" t="s">
        <v>56</v>
      </c>
      <c r="G5" s="55" t="s">
        <v>57</v>
      </c>
      <c r="H5" s="53" t="s">
        <v>58</v>
      </c>
      <c r="I5" s="53" t="s">
        <v>52</v>
      </c>
      <c r="J5" s="66" t="s">
        <v>2510</v>
      </c>
      <c r="K5" s="54" t="s">
        <v>1939</v>
      </c>
      <c r="L5" s="53" t="s">
        <v>382</v>
      </c>
    </row>
    <row r="6" spans="1:13" ht="40.6" customHeight="1">
      <c r="A6" s="14">
        <v>1</v>
      </c>
      <c r="B6" s="28" t="s">
        <v>2511</v>
      </c>
      <c r="C6" s="24">
        <v>1830</v>
      </c>
      <c r="D6" s="17" t="s">
        <v>2512</v>
      </c>
      <c r="E6" s="17" t="s">
        <v>65</v>
      </c>
      <c r="F6" s="17" t="s">
        <v>2513</v>
      </c>
      <c r="G6" s="26" t="s">
        <v>2514</v>
      </c>
      <c r="H6" s="42" t="s">
        <v>2515</v>
      </c>
      <c r="I6" s="17" t="s">
        <v>26</v>
      </c>
      <c r="J6" s="17" t="s">
        <v>458</v>
      </c>
      <c r="K6" s="20">
        <f t="shared" ref="K6:K65" si="0">C6</f>
        <v>1830</v>
      </c>
      <c r="L6" s="41" t="s">
        <v>22</v>
      </c>
      <c r="M6" s="37">
        <f>SUMIF($I:$I,L6,K:K)</f>
        <v>60300</v>
      </c>
    </row>
    <row r="7" spans="1:13" ht="82.55" customHeight="1">
      <c r="A7" s="14">
        <v>2</v>
      </c>
      <c r="B7" s="17" t="s">
        <v>2516</v>
      </c>
      <c r="C7" s="24">
        <v>8300</v>
      </c>
      <c r="D7" s="62" t="s">
        <v>2512</v>
      </c>
      <c r="E7" s="17" t="s">
        <v>65</v>
      </c>
      <c r="F7" s="17" t="s">
        <v>213</v>
      </c>
      <c r="G7" s="21" t="s">
        <v>2517</v>
      </c>
      <c r="H7" s="22" t="s">
        <v>2518</v>
      </c>
      <c r="I7" s="17" t="s">
        <v>24</v>
      </c>
      <c r="J7" s="17" t="s">
        <v>1961</v>
      </c>
      <c r="K7" s="20">
        <f t="shared" si="0"/>
        <v>8300</v>
      </c>
      <c r="L7" s="41" t="s">
        <v>24</v>
      </c>
      <c r="M7" s="37">
        <f>SUMIF($I:$I,L7,K:K)</f>
        <v>54730</v>
      </c>
    </row>
    <row r="8" spans="1:13" ht="38.25" customHeight="1">
      <c r="A8" s="17">
        <v>3</v>
      </c>
      <c r="B8" s="17" t="s">
        <v>1557</v>
      </c>
      <c r="C8" s="24">
        <v>3150</v>
      </c>
      <c r="D8" s="17" t="s">
        <v>2512</v>
      </c>
      <c r="E8" s="17" t="s">
        <v>65</v>
      </c>
      <c r="F8" s="17" t="s">
        <v>240</v>
      </c>
      <c r="G8" s="36" t="s">
        <v>2519</v>
      </c>
      <c r="H8" s="36"/>
      <c r="I8" s="17" t="s">
        <v>26</v>
      </c>
      <c r="J8" s="17" t="s">
        <v>2060</v>
      </c>
      <c r="K8" s="20">
        <f t="shared" si="0"/>
        <v>3150</v>
      </c>
      <c r="L8" s="41" t="s">
        <v>18</v>
      </c>
      <c r="M8" s="37">
        <f>SUMIF($I:$I,L8,K:K)</f>
        <v>41300</v>
      </c>
    </row>
    <row r="9" spans="1:13" ht="40.6" customHeight="1">
      <c r="A9" s="14">
        <v>4</v>
      </c>
      <c r="B9" s="28" t="s">
        <v>1406</v>
      </c>
      <c r="C9" s="24">
        <v>2950</v>
      </c>
      <c r="D9" s="17" t="s">
        <v>2520</v>
      </c>
      <c r="E9" s="17" t="s">
        <v>65</v>
      </c>
      <c r="F9" s="17" t="s">
        <v>164</v>
      </c>
      <c r="G9" s="58" t="s">
        <v>2521</v>
      </c>
      <c r="H9" s="42"/>
      <c r="I9" s="17" t="s">
        <v>26</v>
      </c>
      <c r="J9" s="17" t="s">
        <v>1569</v>
      </c>
      <c r="K9" s="20">
        <f t="shared" si="0"/>
        <v>2950</v>
      </c>
      <c r="L9" s="38" t="s">
        <v>26</v>
      </c>
      <c r="M9" s="37">
        <f>SUMIF($I:$I,L9,K:K)</f>
        <v>30580</v>
      </c>
    </row>
    <row r="10" spans="1:13" ht="40.6" customHeight="1">
      <c r="A10" s="14">
        <v>5</v>
      </c>
      <c r="B10" s="17" t="s">
        <v>2522</v>
      </c>
      <c r="C10" s="24">
        <v>2900</v>
      </c>
      <c r="D10" s="62" t="s">
        <v>2523</v>
      </c>
      <c r="E10" s="17" t="s">
        <v>65</v>
      </c>
      <c r="F10" s="17" t="s">
        <v>213</v>
      </c>
      <c r="G10" s="22" t="s">
        <v>2524</v>
      </c>
      <c r="H10" s="22" t="s">
        <v>2525</v>
      </c>
      <c r="I10" s="17" t="s">
        <v>18</v>
      </c>
      <c r="J10" s="17" t="s">
        <v>1961</v>
      </c>
      <c r="K10" s="20">
        <f t="shared" si="0"/>
        <v>2900</v>
      </c>
      <c r="L10" s="38" t="s">
        <v>88</v>
      </c>
      <c r="M10" s="37">
        <f>SUMIF($I:$I,L10,K:K)</f>
        <v>35750</v>
      </c>
    </row>
    <row r="11" spans="1:13" ht="47.25" customHeight="1">
      <c r="A11" s="14">
        <v>6</v>
      </c>
      <c r="B11" s="17" t="s">
        <v>2219</v>
      </c>
      <c r="C11" s="24">
        <v>3500</v>
      </c>
      <c r="D11" s="62" t="s">
        <v>2523</v>
      </c>
      <c r="E11" s="17" t="s">
        <v>65</v>
      </c>
      <c r="F11" s="17" t="s">
        <v>213</v>
      </c>
      <c r="G11" s="22" t="s">
        <v>2526</v>
      </c>
      <c r="H11" s="42" t="s">
        <v>2527</v>
      </c>
      <c r="I11" s="17" t="s">
        <v>88</v>
      </c>
      <c r="J11" s="17" t="s">
        <v>458</v>
      </c>
      <c r="K11" s="20">
        <f t="shared" si="0"/>
        <v>3500</v>
      </c>
    </row>
    <row r="12" spans="1:13" ht="29.25" customHeight="1">
      <c r="A12" s="14">
        <v>7</v>
      </c>
      <c r="B12" s="17" t="s">
        <v>2528</v>
      </c>
      <c r="C12" s="24">
        <v>1850</v>
      </c>
      <c r="D12" s="62" t="s">
        <v>2523</v>
      </c>
      <c r="E12" s="17" t="s">
        <v>65</v>
      </c>
      <c r="F12" s="17" t="s">
        <v>213</v>
      </c>
      <c r="G12" s="22" t="s">
        <v>2529</v>
      </c>
      <c r="H12" s="42" t="s">
        <v>2527</v>
      </c>
      <c r="I12" s="17" t="s">
        <v>18</v>
      </c>
      <c r="J12" s="17" t="s">
        <v>458</v>
      </c>
      <c r="K12" s="20">
        <f t="shared" si="0"/>
        <v>1850</v>
      </c>
    </row>
    <row r="13" spans="1:13" ht="63.7" customHeight="1">
      <c r="A13" s="14">
        <v>8</v>
      </c>
      <c r="B13" s="17" t="s">
        <v>2530</v>
      </c>
      <c r="C13" s="24">
        <v>3100</v>
      </c>
      <c r="D13" s="62" t="s">
        <v>2523</v>
      </c>
      <c r="E13" s="17" t="s">
        <v>65</v>
      </c>
      <c r="F13" s="17" t="s">
        <v>106</v>
      </c>
      <c r="G13" s="22" t="s">
        <v>2531</v>
      </c>
      <c r="H13" s="22" t="s">
        <v>2532</v>
      </c>
      <c r="I13" s="17" t="s">
        <v>22</v>
      </c>
      <c r="J13" s="17" t="s">
        <v>458</v>
      </c>
      <c r="K13" s="20">
        <f t="shared" si="0"/>
        <v>3100</v>
      </c>
    </row>
    <row r="14" spans="1:13" ht="52.5" customHeight="1">
      <c r="A14" s="14">
        <v>9</v>
      </c>
      <c r="B14" s="17" t="s">
        <v>2533</v>
      </c>
      <c r="C14" s="24">
        <v>4400</v>
      </c>
      <c r="D14" s="62" t="s">
        <v>2534</v>
      </c>
      <c r="E14" s="17" t="s">
        <v>65</v>
      </c>
      <c r="F14" s="17" t="s">
        <v>2535</v>
      </c>
      <c r="G14" s="22" t="s">
        <v>2536</v>
      </c>
      <c r="H14" s="22" t="s">
        <v>2537</v>
      </c>
      <c r="I14" s="17" t="s">
        <v>88</v>
      </c>
      <c r="J14" s="17" t="s">
        <v>2538</v>
      </c>
      <c r="K14" s="20">
        <f t="shared" si="0"/>
        <v>4400</v>
      </c>
    </row>
    <row r="15" spans="1:13" ht="29.25" customHeight="1">
      <c r="A15" s="14">
        <v>10</v>
      </c>
      <c r="B15" s="17" t="s">
        <v>1973</v>
      </c>
      <c r="C15" s="24">
        <v>4200</v>
      </c>
      <c r="D15" s="17" t="s">
        <v>2539</v>
      </c>
      <c r="E15" s="17" t="s">
        <v>65</v>
      </c>
      <c r="F15" s="17" t="s">
        <v>213</v>
      </c>
      <c r="G15" s="42" t="s">
        <v>2540</v>
      </c>
      <c r="H15" s="36" t="s">
        <v>2541</v>
      </c>
      <c r="I15" s="17" t="s">
        <v>18</v>
      </c>
      <c r="J15" s="17" t="s">
        <v>458</v>
      </c>
      <c r="K15" s="24">
        <f>C15</f>
        <v>4200</v>
      </c>
    </row>
    <row r="16" spans="1:13" ht="36.700000000000003">
      <c r="A16" s="14">
        <v>11</v>
      </c>
      <c r="B16" s="17" t="s">
        <v>2542</v>
      </c>
      <c r="C16" s="24">
        <v>4750</v>
      </c>
      <c r="D16" s="17" t="s">
        <v>2539</v>
      </c>
      <c r="E16" s="17" t="s">
        <v>65</v>
      </c>
      <c r="F16" s="17" t="s">
        <v>213</v>
      </c>
      <c r="G16" s="22" t="s">
        <v>2543</v>
      </c>
      <c r="H16" s="36" t="s">
        <v>2541</v>
      </c>
      <c r="I16" s="17" t="s">
        <v>22</v>
      </c>
      <c r="J16" s="17" t="s">
        <v>1961</v>
      </c>
      <c r="K16" s="24">
        <f>C16</f>
        <v>4750</v>
      </c>
    </row>
    <row r="17" spans="1:11" ht="52.5" customHeight="1">
      <c r="A17" s="17">
        <v>12</v>
      </c>
      <c r="B17" s="17" t="s">
        <v>1624</v>
      </c>
      <c r="C17" s="24">
        <v>2450</v>
      </c>
      <c r="D17" s="17" t="s">
        <v>2539</v>
      </c>
      <c r="E17" s="17" t="s">
        <v>65</v>
      </c>
      <c r="F17" s="17" t="s">
        <v>213</v>
      </c>
      <c r="G17" s="22" t="s">
        <v>2544</v>
      </c>
      <c r="H17" s="36" t="s">
        <v>2541</v>
      </c>
      <c r="I17" s="17" t="s">
        <v>88</v>
      </c>
      <c r="J17" s="17" t="s">
        <v>2545</v>
      </c>
      <c r="K17" s="24">
        <f>C17</f>
        <v>2450</v>
      </c>
    </row>
    <row r="18" spans="1:11" ht="27" customHeight="1">
      <c r="A18" s="14">
        <v>13</v>
      </c>
      <c r="B18" s="17" t="s">
        <v>2546</v>
      </c>
      <c r="C18" s="24">
        <v>4300</v>
      </c>
      <c r="D18" s="62" t="s">
        <v>2547</v>
      </c>
      <c r="E18" s="17" t="s">
        <v>65</v>
      </c>
      <c r="F18" s="17" t="s">
        <v>213</v>
      </c>
      <c r="G18" s="67" t="s">
        <v>2548</v>
      </c>
      <c r="H18" s="36" t="s">
        <v>2541</v>
      </c>
      <c r="I18" s="17" t="s">
        <v>24</v>
      </c>
      <c r="J18" s="17" t="s">
        <v>1569</v>
      </c>
      <c r="K18" s="20">
        <f t="shared" si="0"/>
        <v>4300</v>
      </c>
    </row>
    <row r="19" spans="1:11" ht="45" customHeight="1">
      <c r="A19" s="17">
        <v>14</v>
      </c>
      <c r="B19" s="17" t="s">
        <v>1952</v>
      </c>
      <c r="C19" s="24">
        <v>3800</v>
      </c>
      <c r="D19" s="62" t="s">
        <v>2547</v>
      </c>
      <c r="E19" s="17" t="s">
        <v>65</v>
      </c>
      <c r="F19" s="17" t="s">
        <v>213</v>
      </c>
      <c r="G19" s="22" t="s">
        <v>2549</v>
      </c>
      <c r="H19" s="36" t="s">
        <v>2550</v>
      </c>
      <c r="I19" s="17" t="s">
        <v>18</v>
      </c>
      <c r="J19" s="17" t="s">
        <v>458</v>
      </c>
      <c r="K19" s="24">
        <f t="shared" si="0"/>
        <v>3800</v>
      </c>
    </row>
    <row r="20" spans="1:11" ht="42.8" customHeight="1">
      <c r="A20" s="17">
        <v>15</v>
      </c>
      <c r="B20" s="17" t="s">
        <v>2140</v>
      </c>
      <c r="C20" s="24">
        <v>3000</v>
      </c>
      <c r="D20" s="62" t="s">
        <v>2547</v>
      </c>
      <c r="E20" s="17" t="s">
        <v>65</v>
      </c>
      <c r="F20" s="17" t="s">
        <v>2551</v>
      </c>
      <c r="G20" s="22" t="s">
        <v>2552</v>
      </c>
      <c r="H20" s="22" t="s">
        <v>2553</v>
      </c>
      <c r="I20" s="17" t="s">
        <v>22</v>
      </c>
      <c r="J20" s="17" t="s">
        <v>1569</v>
      </c>
      <c r="K20" s="24">
        <f t="shared" si="0"/>
        <v>3000</v>
      </c>
    </row>
    <row r="21" spans="1:11" ht="68.3" customHeight="1">
      <c r="A21" s="17">
        <v>16</v>
      </c>
      <c r="B21" s="17" t="s">
        <v>2554</v>
      </c>
      <c r="C21" s="24">
        <v>4300</v>
      </c>
      <c r="D21" s="62" t="s">
        <v>2555</v>
      </c>
      <c r="E21" s="17" t="s">
        <v>65</v>
      </c>
      <c r="F21" s="17" t="s">
        <v>2535</v>
      </c>
      <c r="G21" s="22" t="s">
        <v>2556</v>
      </c>
      <c r="H21" s="42" t="s">
        <v>2557</v>
      </c>
      <c r="I21" s="17" t="s">
        <v>24</v>
      </c>
      <c r="J21" s="17" t="s">
        <v>458</v>
      </c>
      <c r="K21" s="24">
        <f t="shared" si="0"/>
        <v>4300</v>
      </c>
    </row>
    <row r="22" spans="1:11" ht="68.95" customHeight="1">
      <c r="A22" s="17">
        <v>19</v>
      </c>
      <c r="B22" s="17" t="s">
        <v>1262</v>
      </c>
      <c r="C22" s="24">
        <v>4650</v>
      </c>
      <c r="D22" s="17" t="s">
        <v>2558</v>
      </c>
      <c r="E22" s="17" t="s">
        <v>65</v>
      </c>
      <c r="F22" s="17" t="s">
        <v>213</v>
      </c>
      <c r="G22" s="21" t="s">
        <v>2559</v>
      </c>
      <c r="H22" s="22" t="s">
        <v>2560</v>
      </c>
      <c r="I22" s="17" t="s">
        <v>24</v>
      </c>
      <c r="J22" s="17" t="s">
        <v>458</v>
      </c>
      <c r="K22" s="24">
        <f>C22</f>
        <v>4650</v>
      </c>
    </row>
    <row r="23" spans="1:11" ht="58.6" customHeight="1">
      <c r="A23" s="17">
        <v>20</v>
      </c>
      <c r="B23" s="17" t="s">
        <v>2561</v>
      </c>
      <c r="C23" s="24">
        <v>3050</v>
      </c>
      <c r="D23" s="17" t="s">
        <v>2562</v>
      </c>
      <c r="E23" s="17" t="s">
        <v>65</v>
      </c>
      <c r="F23" s="17" t="s">
        <v>213</v>
      </c>
      <c r="G23" s="21" t="s">
        <v>2563</v>
      </c>
      <c r="H23" s="22" t="s">
        <v>2564</v>
      </c>
      <c r="I23" s="17" t="s">
        <v>22</v>
      </c>
      <c r="J23" s="17" t="s">
        <v>2565</v>
      </c>
      <c r="K23" s="24">
        <f>C23</f>
        <v>3050</v>
      </c>
    </row>
    <row r="24" spans="1:11" ht="60.8" customHeight="1">
      <c r="A24" s="17">
        <v>21</v>
      </c>
      <c r="B24" s="17" t="s">
        <v>1391</v>
      </c>
      <c r="C24" s="24">
        <v>4100</v>
      </c>
      <c r="D24" s="17" t="s">
        <v>394</v>
      </c>
      <c r="E24" s="17" t="s">
        <v>65</v>
      </c>
      <c r="F24" s="17" t="s">
        <v>405</v>
      </c>
      <c r="G24" s="21" t="s">
        <v>2566</v>
      </c>
      <c r="H24" s="22" t="s">
        <v>2567</v>
      </c>
      <c r="I24" s="17" t="s">
        <v>88</v>
      </c>
      <c r="J24" s="17" t="s">
        <v>2039</v>
      </c>
      <c r="K24" s="24">
        <f>C24</f>
        <v>4100</v>
      </c>
    </row>
    <row r="25" spans="1:11" ht="45" customHeight="1">
      <c r="A25" s="17">
        <v>22</v>
      </c>
      <c r="B25" s="17" t="s">
        <v>686</v>
      </c>
      <c r="C25" s="24">
        <v>5400</v>
      </c>
      <c r="D25" s="17" t="s">
        <v>2562</v>
      </c>
      <c r="E25" s="17" t="s">
        <v>65</v>
      </c>
      <c r="F25" s="17" t="s">
        <v>2513</v>
      </c>
      <c r="G25" s="21" t="s">
        <v>2568</v>
      </c>
      <c r="H25" s="22" t="s">
        <v>2569</v>
      </c>
      <c r="I25" s="17" t="s">
        <v>18</v>
      </c>
      <c r="J25" s="17" t="s">
        <v>2570</v>
      </c>
      <c r="K25" s="24">
        <f>C25</f>
        <v>5400</v>
      </c>
    </row>
    <row r="26" spans="1:11" ht="32.299999999999997" customHeight="1">
      <c r="A26" s="17">
        <v>23</v>
      </c>
      <c r="B26" s="17" t="s">
        <v>2571</v>
      </c>
      <c r="C26" s="24">
        <v>3050</v>
      </c>
      <c r="D26" s="17" t="s">
        <v>2572</v>
      </c>
      <c r="E26" s="17" t="s">
        <v>65</v>
      </c>
      <c r="F26" s="17" t="s">
        <v>405</v>
      </c>
      <c r="G26" s="36" t="s">
        <v>2573</v>
      </c>
      <c r="H26" s="42" t="s">
        <v>2574</v>
      </c>
      <c r="I26" s="17" t="s">
        <v>24</v>
      </c>
      <c r="J26" s="17" t="s">
        <v>2570</v>
      </c>
      <c r="K26" s="24">
        <f>C26</f>
        <v>3050</v>
      </c>
    </row>
    <row r="27" spans="1:11" ht="63.7" customHeight="1">
      <c r="A27" s="17">
        <v>24</v>
      </c>
      <c r="B27" s="17" t="s">
        <v>2575</v>
      </c>
      <c r="C27" s="24">
        <v>2650</v>
      </c>
      <c r="D27" s="17" t="s">
        <v>2572</v>
      </c>
      <c r="E27" s="17" t="s">
        <v>65</v>
      </c>
      <c r="F27" s="17" t="s">
        <v>2513</v>
      </c>
      <c r="G27" s="21" t="s">
        <v>2576</v>
      </c>
      <c r="H27" s="22" t="s">
        <v>2577</v>
      </c>
      <c r="I27" s="17" t="s">
        <v>26</v>
      </c>
      <c r="J27" s="17" t="s">
        <v>2570</v>
      </c>
      <c r="K27" s="24">
        <f t="shared" si="0"/>
        <v>2650</v>
      </c>
    </row>
    <row r="28" spans="1:11" ht="81" customHeight="1">
      <c r="A28" s="17">
        <v>25</v>
      </c>
      <c r="B28" s="17" t="s">
        <v>674</v>
      </c>
      <c r="C28" s="24">
        <v>4900</v>
      </c>
      <c r="D28" s="17" t="s">
        <v>2578</v>
      </c>
      <c r="E28" s="17" t="s">
        <v>65</v>
      </c>
      <c r="F28" s="17" t="s">
        <v>213</v>
      </c>
      <c r="G28" s="21" t="s">
        <v>2579</v>
      </c>
      <c r="H28" s="22" t="s">
        <v>2580</v>
      </c>
      <c r="I28" s="17" t="s">
        <v>18</v>
      </c>
      <c r="J28" s="17" t="s">
        <v>2157</v>
      </c>
      <c r="K28" s="24">
        <f t="shared" si="0"/>
        <v>4900</v>
      </c>
    </row>
    <row r="29" spans="1:11" ht="37.549999999999997" customHeight="1">
      <c r="A29" s="17">
        <v>26</v>
      </c>
      <c r="B29" s="17" t="s">
        <v>2363</v>
      </c>
      <c r="C29" s="24">
        <v>4750</v>
      </c>
      <c r="D29" s="17" t="s">
        <v>2578</v>
      </c>
      <c r="E29" s="17" t="s">
        <v>65</v>
      </c>
      <c r="F29" s="17" t="s">
        <v>164</v>
      </c>
      <c r="G29" s="68" t="s">
        <v>2581</v>
      </c>
      <c r="H29" s="42" t="s">
        <v>2582</v>
      </c>
      <c r="I29" s="17" t="s">
        <v>26</v>
      </c>
      <c r="J29" s="17" t="s">
        <v>1569</v>
      </c>
      <c r="K29" s="24">
        <f t="shared" si="0"/>
        <v>4750</v>
      </c>
    </row>
    <row r="30" spans="1:11" ht="68.95" customHeight="1">
      <c r="A30" s="17">
        <v>27</v>
      </c>
      <c r="B30" s="17" t="s">
        <v>2583</v>
      </c>
      <c r="C30" s="24">
        <v>5500</v>
      </c>
      <c r="D30" s="17" t="s">
        <v>2578</v>
      </c>
      <c r="E30" s="17" t="s">
        <v>65</v>
      </c>
      <c r="F30" s="17" t="s">
        <v>213</v>
      </c>
      <c r="G30" s="21" t="s">
        <v>2584</v>
      </c>
      <c r="H30" s="22" t="s">
        <v>2585</v>
      </c>
      <c r="I30" s="17" t="s">
        <v>24</v>
      </c>
      <c r="J30" s="17" t="s">
        <v>458</v>
      </c>
      <c r="K30" s="24">
        <f t="shared" si="0"/>
        <v>5500</v>
      </c>
    </row>
    <row r="31" spans="1:11" ht="63.7" customHeight="1">
      <c r="A31" s="17">
        <v>28</v>
      </c>
      <c r="B31" s="17" t="s">
        <v>2458</v>
      </c>
      <c r="C31" s="24">
        <v>4700</v>
      </c>
      <c r="D31" s="17" t="s">
        <v>2586</v>
      </c>
      <c r="E31" s="17" t="s">
        <v>65</v>
      </c>
      <c r="F31" s="17" t="s">
        <v>213</v>
      </c>
      <c r="G31" s="21" t="s">
        <v>2587</v>
      </c>
      <c r="H31" s="22" t="s">
        <v>2588</v>
      </c>
      <c r="I31" s="17" t="s">
        <v>22</v>
      </c>
      <c r="J31" s="17" t="s">
        <v>2589</v>
      </c>
      <c r="K31" s="24">
        <f t="shared" si="0"/>
        <v>4700</v>
      </c>
    </row>
    <row r="32" spans="1:11" ht="68.95" customHeight="1">
      <c r="A32" s="17">
        <v>29</v>
      </c>
      <c r="B32" s="17" t="s">
        <v>2590</v>
      </c>
      <c r="C32" s="24">
        <v>3400</v>
      </c>
      <c r="D32" s="17" t="s">
        <v>2586</v>
      </c>
      <c r="E32" s="17" t="s">
        <v>65</v>
      </c>
      <c r="F32" s="17" t="s">
        <v>213</v>
      </c>
      <c r="G32" s="58" t="s">
        <v>2591</v>
      </c>
      <c r="H32" s="22" t="s">
        <v>2592</v>
      </c>
      <c r="I32" s="17" t="s">
        <v>88</v>
      </c>
      <c r="J32" s="17" t="s">
        <v>2060</v>
      </c>
      <c r="K32" s="24">
        <f t="shared" si="0"/>
        <v>3400</v>
      </c>
    </row>
    <row r="33" spans="1:12" ht="48.75" customHeight="1">
      <c r="A33" s="17">
        <v>30</v>
      </c>
      <c r="B33" s="17" t="s">
        <v>1958</v>
      </c>
      <c r="C33" s="24">
        <v>4000</v>
      </c>
      <c r="D33" s="17" t="s">
        <v>2593</v>
      </c>
      <c r="E33" s="17" t="s">
        <v>65</v>
      </c>
      <c r="F33" s="17" t="s">
        <v>213</v>
      </c>
      <c r="G33" s="21" t="s">
        <v>2594</v>
      </c>
      <c r="H33" s="22" t="s">
        <v>2595</v>
      </c>
      <c r="I33" s="17" t="s">
        <v>22</v>
      </c>
      <c r="J33" s="17" t="s">
        <v>458</v>
      </c>
      <c r="K33" s="24">
        <f t="shared" si="0"/>
        <v>4000</v>
      </c>
      <c r="L33" s="8"/>
    </row>
    <row r="34" spans="1:12" ht="82.55" customHeight="1">
      <c r="A34" s="17">
        <v>31</v>
      </c>
      <c r="B34" s="17" t="s">
        <v>2377</v>
      </c>
      <c r="C34" s="24">
        <v>3000</v>
      </c>
      <c r="D34" s="17" t="s">
        <v>2596</v>
      </c>
      <c r="E34" s="17" t="s">
        <v>65</v>
      </c>
      <c r="F34" s="17" t="s">
        <v>213</v>
      </c>
      <c r="G34" s="21" t="s">
        <v>2597</v>
      </c>
      <c r="H34" s="21" t="s">
        <v>2598</v>
      </c>
      <c r="I34" s="17" t="s">
        <v>24</v>
      </c>
      <c r="J34" s="17" t="s">
        <v>2599</v>
      </c>
      <c r="K34" s="24">
        <f>C34</f>
        <v>3000</v>
      </c>
    </row>
    <row r="35" spans="1:12" ht="43.5" customHeight="1">
      <c r="A35" s="17">
        <v>32</v>
      </c>
      <c r="B35" s="17" t="s">
        <v>1557</v>
      </c>
      <c r="C35" s="24">
        <v>2950</v>
      </c>
      <c r="D35" s="17" t="s">
        <v>2596</v>
      </c>
      <c r="E35" s="17" t="s">
        <v>65</v>
      </c>
      <c r="F35" s="17" t="s">
        <v>2513</v>
      </c>
      <c r="G35" s="21" t="s">
        <v>2600</v>
      </c>
      <c r="H35" s="36"/>
      <c r="I35" s="17" t="s">
        <v>26</v>
      </c>
      <c r="J35" s="17" t="s">
        <v>2060</v>
      </c>
      <c r="K35" s="37">
        <f>C35</f>
        <v>2950</v>
      </c>
    </row>
    <row r="36" spans="1:12" ht="122.95" customHeight="1">
      <c r="A36" s="17">
        <v>33</v>
      </c>
      <c r="B36" s="17" t="s">
        <v>679</v>
      </c>
      <c r="C36" s="24">
        <v>3800</v>
      </c>
      <c r="D36" s="17" t="s">
        <v>2601</v>
      </c>
      <c r="E36" s="17" t="s">
        <v>65</v>
      </c>
      <c r="F36" s="17" t="s">
        <v>213</v>
      </c>
      <c r="G36" s="58" t="s">
        <v>2602</v>
      </c>
      <c r="H36" s="22" t="s">
        <v>2603</v>
      </c>
      <c r="I36" s="17" t="s">
        <v>22</v>
      </c>
      <c r="J36" s="17" t="s">
        <v>458</v>
      </c>
      <c r="K36" s="37">
        <f t="shared" si="0"/>
        <v>3800</v>
      </c>
    </row>
    <row r="37" spans="1:12" ht="73.55" customHeight="1">
      <c r="A37" s="17">
        <v>34</v>
      </c>
      <c r="B37" s="17" t="s">
        <v>2604</v>
      </c>
      <c r="C37" s="24">
        <v>3150</v>
      </c>
      <c r="D37" s="17" t="s">
        <v>2605</v>
      </c>
      <c r="E37" s="17" t="s">
        <v>65</v>
      </c>
      <c r="F37" s="17" t="s">
        <v>213</v>
      </c>
      <c r="G37" s="21" t="s">
        <v>2606</v>
      </c>
      <c r="H37" s="22" t="s">
        <v>2607</v>
      </c>
      <c r="I37" s="17" t="s">
        <v>18</v>
      </c>
      <c r="J37" s="17" t="s">
        <v>458</v>
      </c>
      <c r="K37" s="37">
        <f t="shared" si="0"/>
        <v>3150</v>
      </c>
    </row>
    <row r="38" spans="1:12" ht="47.25" customHeight="1">
      <c r="A38" s="17">
        <v>35</v>
      </c>
      <c r="B38" s="17" t="s">
        <v>640</v>
      </c>
      <c r="C38" s="24">
        <v>3150</v>
      </c>
      <c r="D38" s="17" t="s">
        <v>2605</v>
      </c>
      <c r="E38" s="17" t="s">
        <v>65</v>
      </c>
      <c r="F38" s="17" t="s">
        <v>213</v>
      </c>
      <c r="G38" s="58" t="s">
        <v>2608</v>
      </c>
      <c r="H38" s="22" t="s">
        <v>2609</v>
      </c>
      <c r="I38" s="17" t="s">
        <v>24</v>
      </c>
      <c r="J38" s="17" t="s">
        <v>2538</v>
      </c>
      <c r="K38" s="37">
        <f>C38</f>
        <v>3150</v>
      </c>
    </row>
    <row r="39" spans="1:12" ht="45.7" customHeight="1">
      <c r="A39" s="17">
        <v>36</v>
      </c>
      <c r="B39" s="17" t="s">
        <v>2163</v>
      </c>
      <c r="C39" s="24">
        <v>2450</v>
      </c>
      <c r="D39" s="17" t="s">
        <v>2610</v>
      </c>
      <c r="E39" s="17" t="s">
        <v>65</v>
      </c>
      <c r="F39" s="17" t="s">
        <v>2513</v>
      </c>
      <c r="G39" s="21" t="s">
        <v>2611</v>
      </c>
      <c r="H39" s="22" t="s">
        <v>2612</v>
      </c>
      <c r="I39" s="17" t="s">
        <v>88</v>
      </c>
      <c r="J39" s="17" t="s">
        <v>458</v>
      </c>
      <c r="K39" s="24">
        <f t="shared" si="0"/>
        <v>2450</v>
      </c>
    </row>
    <row r="40" spans="1:12" ht="65.25" customHeight="1">
      <c r="A40" s="17">
        <v>37</v>
      </c>
      <c r="B40" s="17" t="s">
        <v>2613</v>
      </c>
      <c r="C40" s="24">
        <v>4500</v>
      </c>
      <c r="D40" s="17" t="s">
        <v>2610</v>
      </c>
      <c r="E40" s="17" t="s">
        <v>65</v>
      </c>
      <c r="F40" s="17" t="s">
        <v>213</v>
      </c>
      <c r="G40" s="21" t="s">
        <v>2614</v>
      </c>
      <c r="H40" s="22" t="s">
        <v>2615</v>
      </c>
      <c r="I40" s="17" t="s">
        <v>22</v>
      </c>
      <c r="J40" s="17" t="s">
        <v>458</v>
      </c>
      <c r="K40" s="45">
        <f t="shared" ref="K40:K45" si="1">C40</f>
        <v>4500</v>
      </c>
    </row>
    <row r="41" spans="1:12" ht="45.7" customHeight="1">
      <c r="A41" s="17">
        <v>38</v>
      </c>
      <c r="B41" s="17" t="s">
        <v>2616</v>
      </c>
      <c r="C41" s="24">
        <v>3050</v>
      </c>
      <c r="D41" s="17" t="s">
        <v>2617</v>
      </c>
      <c r="E41" s="17" t="s">
        <v>65</v>
      </c>
      <c r="F41" s="17" t="s">
        <v>2551</v>
      </c>
      <c r="G41" s="68" t="s">
        <v>2618</v>
      </c>
      <c r="H41" s="22" t="s">
        <v>2619</v>
      </c>
      <c r="I41" s="17" t="s">
        <v>22</v>
      </c>
      <c r="J41" s="17" t="s">
        <v>1569</v>
      </c>
      <c r="K41" s="45">
        <f t="shared" si="1"/>
        <v>3050</v>
      </c>
    </row>
    <row r="42" spans="1:12" ht="122.3" customHeight="1">
      <c r="A42" s="17">
        <v>39</v>
      </c>
      <c r="B42" s="17" t="s">
        <v>1302</v>
      </c>
      <c r="C42" s="24">
        <v>4900</v>
      </c>
      <c r="D42" s="17" t="s">
        <v>2620</v>
      </c>
      <c r="E42" s="17" t="s">
        <v>65</v>
      </c>
      <c r="F42" s="17" t="s">
        <v>2513</v>
      </c>
      <c r="G42" s="21" t="s">
        <v>2621</v>
      </c>
      <c r="H42" s="22" t="s">
        <v>2622</v>
      </c>
      <c r="I42" s="17" t="s">
        <v>18</v>
      </c>
      <c r="J42" s="17" t="s">
        <v>458</v>
      </c>
      <c r="K42" s="45">
        <f t="shared" si="1"/>
        <v>4900</v>
      </c>
    </row>
    <row r="43" spans="1:12" ht="63.7" customHeight="1">
      <c r="A43" s="17">
        <v>40</v>
      </c>
      <c r="B43" s="17" t="s">
        <v>125</v>
      </c>
      <c r="C43" s="24">
        <v>3900</v>
      </c>
      <c r="D43" s="17" t="s">
        <v>2620</v>
      </c>
      <c r="E43" s="17" t="s">
        <v>65</v>
      </c>
      <c r="F43" s="17" t="s">
        <v>1279</v>
      </c>
      <c r="G43" s="21" t="s">
        <v>2623</v>
      </c>
      <c r="H43" s="21" t="s">
        <v>2624</v>
      </c>
      <c r="I43" s="17" t="s">
        <v>22</v>
      </c>
      <c r="J43" s="17" t="s">
        <v>2625</v>
      </c>
      <c r="K43" s="45">
        <f t="shared" si="1"/>
        <v>3900</v>
      </c>
    </row>
    <row r="44" spans="1:12" ht="75.099999999999994" customHeight="1">
      <c r="A44" s="17">
        <v>41</v>
      </c>
      <c r="B44" s="17" t="s">
        <v>2528</v>
      </c>
      <c r="C44" s="24">
        <v>1850</v>
      </c>
      <c r="D44" s="17" t="s">
        <v>2626</v>
      </c>
      <c r="E44" s="17" t="s">
        <v>65</v>
      </c>
      <c r="F44" s="17" t="s">
        <v>213</v>
      </c>
      <c r="G44" s="21" t="s">
        <v>2627</v>
      </c>
      <c r="H44" s="22" t="s">
        <v>2628</v>
      </c>
      <c r="I44" s="17" t="s">
        <v>18</v>
      </c>
      <c r="J44" s="17" t="s">
        <v>458</v>
      </c>
      <c r="K44" s="37">
        <f>C44</f>
        <v>1850</v>
      </c>
    </row>
    <row r="45" spans="1:12" ht="165.75" customHeight="1">
      <c r="A45" s="17">
        <v>42</v>
      </c>
      <c r="B45" s="17" t="s">
        <v>1710</v>
      </c>
      <c r="C45" s="24">
        <v>4150</v>
      </c>
      <c r="D45" s="17" t="s">
        <v>2629</v>
      </c>
      <c r="E45" s="17" t="s">
        <v>65</v>
      </c>
      <c r="F45" s="17" t="s">
        <v>213</v>
      </c>
      <c r="G45" s="21" t="s">
        <v>2630</v>
      </c>
      <c r="H45" s="22" t="s">
        <v>2631</v>
      </c>
      <c r="I45" s="17" t="s">
        <v>24</v>
      </c>
      <c r="J45" s="17" t="s">
        <v>2039</v>
      </c>
      <c r="K45" s="37">
        <f t="shared" si="1"/>
        <v>4150</v>
      </c>
    </row>
    <row r="46" spans="1:12" ht="83.25" customHeight="1">
      <c r="A46" s="17">
        <v>43</v>
      </c>
      <c r="B46" s="17" t="s">
        <v>1707</v>
      </c>
      <c r="C46" s="24">
        <v>4000</v>
      </c>
      <c r="D46" s="17" t="s">
        <v>2629</v>
      </c>
      <c r="E46" s="17" t="s">
        <v>65</v>
      </c>
      <c r="F46" s="17" t="s">
        <v>213</v>
      </c>
      <c r="G46" s="69" t="s">
        <v>2632</v>
      </c>
      <c r="H46" s="22" t="s">
        <v>2633</v>
      </c>
      <c r="I46" s="17" t="s">
        <v>88</v>
      </c>
      <c r="J46" s="17" t="s">
        <v>2625</v>
      </c>
      <c r="K46" s="37">
        <f t="shared" si="0"/>
        <v>4000</v>
      </c>
      <c r="L46" s="3" t="s">
        <v>2634</v>
      </c>
    </row>
    <row r="47" spans="1:12" ht="92.25" customHeight="1">
      <c r="A47" s="17">
        <v>44</v>
      </c>
      <c r="B47" s="17" t="s">
        <v>636</v>
      </c>
      <c r="C47" s="24">
        <v>3650</v>
      </c>
      <c r="D47" s="17" t="s">
        <v>2629</v>
      </c>
      <c r="E47" s="17" t="s">
        <v>65</v>
      </c>
      <c r="F47" s="17" t="s">
        <v>1279</v>
      </c>
      <c r="G47" s="58" t="s">
        <v>2635</v>
      </c>
      <c r="H47" s="22" t="s">
        <v>2636</v>
      </c>
      <c r="I47" s="17" t="s">
        <v>18</v>
      </c>
      <c r="J47" s="17" t="s">
        <v>2538</v>
      </c>
      <c r="K47" s="37">
        <f t="shared" si="0"/>
        <v>3650</v>
      </c>
      <c r="L47" s="3" t="s">
        <v>2637</v>
      </c>
    </row>
    <row r="48" spans="1:12" ht="64.55" customHeight="1">
      <c r="A48" s="17">
        <v>45</v>
      </c>
      <c r="B48" s="17" t="s">
        <v>1735</v>
      </c>
      <c r="C48" s="24">
        <v>3000</v>
      </c>
      <c r="D48" s="17" t="s">
        <v>2638</v>
      </c>
      <c r="E48" s="17" t="s">
        <v>65</v>
      </c>
      <c r="F48" s="17" t="s">
        <v>213</v>
      </c>
      <c r="G48" s="58" t="s">
        <v>2639</v>
      </c>
      <c r="H48" s="22" t="s">
        <v>2640</v>
      </c>
      <c r="I48" s="17" t="s">
        <v>22</v>
      </c>
      <c r="J48" s="17" t="s">
        <v>2381</v>
      </c>
      <c r="K48" s="37">
        <f>C48</f>
        <v>3000</v>
      </c>
    </row>
    <row r="49" spans="1:12" ht="61.5" customHeight="1">
      <c r="A49" s="17">
        <v>46</v>
      </c>
      <c r="B49" s="17" t="s">
        <v>537</v>
      </c>
      <c r="C49" s="24">
        <v>3280</v>
      </c>
      <c r="D49" s="17" t="s">
        <v>2638</v>
      </c>
      <c r="E49" s="17" t="s">
        <v>65</v>
      </c>
      <c r="F49" s="17" t="s">
        <v>213</v>
      </c>
      <c r="G49" s="32" t="s">
        <v>2641</v>
      </c>
      <c r="H49" s="16" t="s">
        <v>2642</v>
      </c>
      <c r="I49" s="17" t="s">
        <v>24</v>
      </c>
      <c r="J49" s="17" t="s">
        <v>1569</v>
      </c>
      <c r="K49" s="37">
        <f t="shared" si="0"/>
        <v>3280</v>
      </c>
    </row>
    <row r="50" spans="1:12" ht="66.75" customHeight="1">
      <c r="A50" s="17">
        <v>47</v>
      </c>
      <c r="B50" s="17" t="s">
        <v>947</v>
      </c>
      <c r="C50" s="24">
        <v>4500</v>
      </c>
      <c r="D50" s="17" t="s">
        <v>2643</v>
      </c>
      <c r="E50" s="17" t="s">
        <v>65</v>
      </c>
      <c r="F50" s="17" t="s">
        <v>968</v>
      </c>
      <c r="G50" s="70" t="s">
        <v>2644</v>
      </c>
      <c r="H50" s="22" t="s">
        <v>2645</v>
      </c>
      <c r="I50" s="17" t="s">
        <v>22</v>
      </c>
      <c r="J50" s="17" t="s">
        <v>2599</v>
      </c>
      <c r="K50" s="45">
        <f t="shared" si="0"/>
        <v>4500</v>
      </c>
    </row>
    <row r="51" spans="1:12" ht="84.75" customHeight="1">
      <c r="A51" s="17">
        <v>48</v>
      </c>
      <c r="B51" s="17" t="s">
        <v>2646</v>
      </c>
      <c r="C51" s="24">
        <v>4500</v>
      </c>
      <c r="D51" s="17" t="s">
        <v>2647</v>
      </c>
      <c r="E51" s="17" t="s">
        <v>65</v>
      </c>
      <c r="F51" s="17" t="s">
        <v>968</v>
      </c>
      <c r="G51" s="69" t="s">
        <v>2648</v>
      </c>
      <c r="H51" s="22" t="s">
        <v>2649</v>
      </c>
      <c r="I51" s="17" t="s">
        <v>26</v>
      </c>
      <c r="J51" s="17" t="s">
        <v>2599</v>
      </c>
      <c r="K51" s="37">
        <f t="shared" si="0"/>
        <v>4500</v>
      </c>
      <c r="L51" s="3" t="s">
        <v>2650</v>
      </c>
    </row>
    <row r="52" spans="1:12" ht="94.6" customHeight="1">
      <c r="A52" s="17">
        <v>52</v>
      </c>
      <c r="B52" s="17" t="s">
        <v>2542</v>
      </c>
      <c r="C52" s="24">
        <v>4750</v>
      </c>
      <c r="D52" s="17" t="s">
        <v>2651</v>
      </c>
      <c r="E52" s="17" t="s">
        <v>65</v>
      </c>
      <c r="F52" s="17" t="s">
        <v>213</v>
      </c>
      <c r="G52" s="21" t="s">
        <v>2652</v>
      </c>
      <c r="H52" s="22" t="s">
        <v>2653</v>
      </c>
      <c r="I52" s="17" t="s">
        <v>24</v>
      </c>
      <c r="J52" s="17" t="s">
        <v>2039</v>
      </c>
      <c r="K52" s="37">
        <f t="shared" si="0"/>
        <v>4750</v>
      </c>
    </row>
    <row r="53" spans="1:12" ht="54.7" customHeight="1">
      <c r="A53" s="17">
        <v>49</v>
      </c>
      <c r="B53" s="17" t="s">
        <v>2654</v>
      </c>
      <c r="C53" s="24">
        <v>5350</v>
      </c>
      <c r="D53" s="17" t="s">
        <v>2651</v>
      </c>
      <c r="E53" s="17" t="s">
        <v>65</v>
      </c>
      <c r="F53" s="17" t="s">
        <v>240</v>
      </c>
      <c r="G53" s="21" t="s">
        <v>2655</v>
      </c>
      <c r="H53" s="22" t="s">
        <v>2656</v>
      </c>
      <c r="I53" s="17" t="s">
        <v>88</v>
      </c>
      <c r="J53" s="17" t="s">
        <v>2060</v>
      </c>
      <c r="K53" s="37">
        <f t="shared" si="0"/>
        <v>5350</v>
      </c>
    </row>
    <row r="54" spans="1:12" ht="95.95" customHeight="1">
      <c r="A54" s="17">
        <v>50</v>
      </c>
      <c r="B54" s="17" t="s">
        <v>972</v>
      </c>
      <c r="C54" s="24">
        <v>4700</v>
      </c>
      <c r="D54" s="17" t="s">
        <v>2651</v>
      </c>
      <c r="E54" s="17" t="s">
        <v>65</v>
      </c>
      <c r="F54" s="17" t="s">
        <v>164</v>
      </c>
      <c r="G54" s="21" t="s">
        <v>2657</v>
      </c>
      <c r="H54" s="22" t="s">
        <v>2658</v>
      </c>
      <c r="I54" s="17" t="s">
        <v>18</v>
      </c>
      <c r="J54" s="17" t="s">
        <v>1569</v>
      </c>
      <c r="K54" s="37">
        <f>C54</f>
        <v>4700</v>
      </c>
    </row>
    <row r="55" spans="1:12" ht="36.700000000000003">
      <c r="A55" s="17">
        <v>53</v>
      </c>
      <c r="B55" s="17" t="s">
        <v>590</v>
      </c>
      <c r="C55" s="24">
        <v>3500</v>
      </c>
      <c r="D55" s="17" t="s">
        <v>2651</v>
      </c>
      <c r="E55" s="17" t="s">
        <v>65</v>
      </c>
      <c r="F55" s="17" t="s">
        <v>213</v>
      </c>
      <c r="G55" s="21" t="s">
        <v>2659</v>
      </c>
      <c r="H55" s="22" t="s">
        <v>2660</v>
      </c>
      <c r="I55" s="17" t="s">
        <v>22</v>
      </c>
      <c r="J55" s="17" t="s">
        <v>458</v>
      </c>
      <c r="K55" s="37">
        <f t="shared" si="0"/>
        <v>3500</v>
      </c>
    </row>
    <row r="56" spans="1:12" ht="36.700000000000003">
      <c r="A56" s="17">
        <v>51</v>
      </c>
      <c r="B56" s="17" t="s">
        <v>2511</v>
      </c>
      <c r="C56" s="24">
        <v>1850</v>
      </c>
      <c r="D56" s="17" t="s">
        <v>2651</v>
      </c>
      <c r="E56" s="17" t="s">
        <v>65</v>
      </c>
      <c r="F56" s="17" t="s">
        <v>240</v>
      </c>
      <c r="G56" s="21" t="s">
        <v>2661</v>
      </c>
      <c r="H56" s="22" t="s">
        <v>2662</v>
      </c>
      <c r="I56" s="17" t="s">
        <v>26</v>
      </c>
      <c r="J56" s="17" t="s">
        <v>2060</v>
      </c>
      <c r="K56" s="37">
        <f>C56</f>
        <v>1850</v>
      </c>
    </row>
    <row r="57" spans="1:12" ht="38.25" customHeight="1">
      <c r="A57" s="17">
        <v>52</v>
      </c>
      <c r="B57" s="17" t="s">
        <v>2663</v>
      </c>
      <c r="C57" s="24">
        <v>3000</v>
      </c>
      <c r="D57" s="17" t="s">
        <v>2651</v>
      </c>
      <c r="E57" s="17" t="s">
        <v>65</v>
      </c>
      <c r="F57" s="17" t="s">
        <v>2513</v>
      </c>
      <c r="G57" s="21" t="s">
        <v>2664</v>
      </c>
      <c r="H57" s="22" t="s">
        <v>2665</v>
      </c>
      <c r="I57" s="17" t="s">
        <v>22</v>
      </c>
      <c r="J57" s="17" t="s">
        <v>2060</v>
      </c>
      <c r="K57" s="37">
        <f t="shared" si="0"/>
        <v>3000</v>
      </c>
    </row>
    <row r="58" spans="1:12" ht="144" customHeight="1">
      <c r="A58" s="17">
        <v>53</v>
      </c>
      <c r="B58" s="17" t="s">
        <v>816</v>
      </c>
      <c r="C58" s="24">
        <v>2950</v>
      </c>
      <c r="D58" s="17" t="s">
        <v>2651</v>
      </c>
      <c r="E58" s="17" t="s">
        <v>65</v>
      </c>
      <c r="F58" s="17" t="s">
        <v>213</v>
      </c>
      <c r="G58" s="21" t="s">
        <v>2666</v>
      </c>
      <c r="H58" s="22" t="s">
        <v>2667</v>
      </c>
      <c r="I58" s="17" t="s">
        <v>26</v>
      </c>
      <c r="J58" s="17" t="s">
        <v>458</v>
      </c>
      <c r="K58" s="37">
        <f t="shared" si="0"/>
        <v>2950</v>
      </c>
    </row>
    <row r="59" spans="1:12" ht="144" customHeight="1">
      <c r="A59" s="17">
        <v>54</v>
      </c>
      <c r="B59" s="17" t="s">
        <v>2668</v>
      </c>
      <c r="C59" s="24">
        <v>3200</v>
      </c>
      <c r="D59" s="17" t="s">
        <v>2651</v>
      </c>
      <c r="E59" s="17" t="s">
        <v>65</v>
      </c>
      <c r="F59" s="17" t="s">
        <v>213</v>
      </c>
      <c r="G59" s="21" t="s">
        <v>2669</v>
      </c>
      <c r="H59" s="22" t="s">
        <v>2670</v>
      </c>
      <c r="I59" s="17" t="s">
        <v>24</v>
      </c>
      <c r="J59" s="17" t="s">
        <v>458</v>
      </c>
      <c r="K59" s="37">
        <f>C59</f>
        <v>3200</v>
      </c>
    </row>
    <row r="60" spans="1:12" ht="147.75" customHeight="1">
      <c r="A60" s="17">
        <v>55</v>
      </c>
      <c r="B60" s="17" t="s">
        <v>1048</v>
      </c>
      <c r="C60" s="24">
        <v>3600</v>
      </c>
      <c r="D60" s="17" t="s">
        <v>2651</v>
      </c>
      <c r="E60" s="17" t="s">
        <v>65</v>
      </c>
      <c r="F60" s="17" t="s">
        <v>2513</v>
      </c>
      <c r="G60" s="21" t="s">
        <v>2671</v>
      </c>
      <c r="H60" s="22" t="s">
        <v>2672</v>
      </c>
      <c r="I60" s="17" t="s">
        <v>88</v>
      </c>
      <c r="J60" s="17" t="s">
        <v>2157</v>
      </c>
      <c r="K60" s="37">
        <f t="shared" si="0"/>
        <v>3600</v>
      </c>
    </row>
    <row r="61" spans="1:12" ht="56.25" customHeight="1">
      <c r="A61" s="17">
        <v>56</v>
      </c>
      <c r="B61" s="17" t="s">
        <v>2673</v>
      </c>
      <c r="C61" s="24">
        <v>3100</v>
      </c>
      <c r="D61" s="17" t="s">
        <v>2651</v>
      </c>
      <c r="E61" s="17" t="s">
        <v>65</v>
      </c>
      <c r="F61" s="17" t="s">
        <v>213</v>
      </c>
      <c r="G61" s="69" t="s">
        <v>2674</v>
      </c>
      <c r="H61" s="22" t="s">
        <v>2675</v>
      </c>
      <c r="I61" s="17" t="s">
        <v>24</v>
      </c>
      <c r="J61" s="17" t="s">
        <v>2676</v>
      </c>
      <c r="K61" s="37">
        <f t="shared" si="0"/>
        <v>3100</v>
      </c>
    </row>
    <row r="62" spans="1:12" ht="66.75" customHeight="1">
      <c r="A62" s="17">
        <v>57</v>
      </c>
      <c r="B62" s="17" t="s">
        <v>1262</v>
      </c>
      <c r="C62" s="24">
        <v>4650</v>
      </c>
      <c r="D62" s="17" t="s">
        <v>2677</v>
      </c>
      <c r="E62" s="17" t="s">
        <v>65</v>
      </c>
      <c r="F62" s="17" t="s">
        <v>213</v>
      </c>
      <c r="G62" s="21" t="s">
        <v>2678</v>
      </c>
      <c r="H62" s="22" t="s">
        <v>2679</v>
      </c>
      <c r="I62" s="17" t="s">
        <v>22</v>
      </c>
      <c r="J62" s="17" t="s">
        <v>458</v>
      </c>
      <c r="K62" s="37">
        <f t="shared" si="0"/>
        <v>4650</v>
      </c>
    </row>
    <row r="63" spans="1:12" ht="83.25" customHeight="1">
      <c r="A63" s="17">
        <v>58</v>
      </c>
      <c r="B63" s="17" t="s">
        <v>679</v>
      </c>
      <c r="C63" s="24">
        <v>3800</v>
      </c>
      <c r="D63" s="17" t="s">
        <v>2680</v>
      </c>
      <c r="E63" s="17" t="s">
        <v>65</v>
      </c>
      <c r="F63" s="17" t="s">
        <v>213</v>
      </c>
      <c r="G63" s="21" t="s">
        <v>2681</v>
      </c>
      <c r="H63" s="22" t="s">
        <v>2682</v>
      </c>
      <c r="I63" s="17" t="s">
        <v>22</v>
      </c>
      <c r="J63" s="17" t="s">
        <v>458</v>
      </c>
      <c r="K63" s="37">
        <f t="shared" si="0"/>
        <v>3800</v>
      </c>
    </row>
    <row r="64" spans="1:12" ht="56.25" customHeight="1">
      <c r="A64" s="17">
        <v>59</v>
      </c>
      <c r="B64" s="23" t="s">
        <v>2683</v>
      </c>
      <c r="C64" s="24">
        <v>3000</v>
      </c>
      <c r="D64" s="17" t="s">
        <v>2680</v>
      </c>
      <c r="E64" s="17" t="s">
        <v>65</v>
      </c>
      <c r="F64" s="17" t="s">
        <v>213</v>
      </c>
      <c r="G64" s="21" t="s">
        <v>2684</v>
      </c>
      <c r="H64" s="22" t="s">
        <v>2595</v>
      </c>
      <c r="I64" s="17" t="s">
        <v>26</v>
      </c>
      <c r="J64" s="17" t="s">
        <v>458</v>
      </c>
      <c r="K64" s="37">
        <f>C64</f>
        <v>3000</v>
      </c>
    </row>
    <row r="65" spans="1:11" ht="66.099999999999994" customHeight="1">
      <c r="A65" s="17">
        <v>60</v>
      </c>
      <c r="B65" s="23" t="s">
        <v>1565</v>
      </c>
      <c r="C65" s="24">
        <v>2500</v>
      </c>
      <c r="D65" s="17" t="s">
        <v>2680</v>
      </c>
      <c r="E65" s="17" t="s">
        <v>65</v>
      </c>
      <c r="F65" s="17" t="s">
        <v>213</v>
      </c>
      <c r="G65" s="21" t="s">
        <v>2685</v>
      </c>
      <c r="H65" s="71" t="s">
        <v>2686</v>
      </c>
      <c r="I65" s="17" t="s">
        <v>88</v>
      </c>
      <c r="J65" s="17" t="s">
        <v>458</v>
      </c>
      <c r="K65" s="37">
        <f t="shared" si="0"/>
        <v>2500</v>
      </c>
    </row>
    <row r="71" spans="1:11">
      <c r="D71" s="1" t="s">
        <v>263</v>
      </c>
    </row>
  </sheetData>
  <autoFilter ref="A5:O65" xr:uid="{00000000-0009-0000-0000-000010000000}"/>
  <mergeCells count="3">
    <mergeCell ref="C1:H1"/>
    <mergeCell ref="A2:H2"/>
    <mergeCell ref="H4:I4"/>
  </mergeCells>
  <conditionalFormatting sqref="B3:B5 B13:B25 B30 B32:B42 B44:B46 B51:B54 B61:B1048576">
    <cfRule type="duplicateValues" dxfId="574" priority="135"/>
    <cfRule type="duplicateValues" dxfId="573" priority="136"/>
    <cfRule type="duplicateValues" dxfId="572" priority="151"/>
  </conditionalFormatting>
  <conditionalFormatting sqref="B6">
    <cfRule type="duplicateValues" dxfId="571" priority="22"/>
    <cfRule type="duplicateValues" dxfId="570" priority="23"/>
    <cfRule type="duplicateValues" dxfId="569" priority="24"/>
  </conditionalFormatting>
  <conditionalFormatting sqref="B7">
    <cfRule type="duplicateValues" dxfId="568" priority="28"/>
    <cfRule type="duplicateValues" dxfId="567" priority="29"/>
    <cfRule type="duplicateValues" dxfId="566" priority="30"/>
  </conditionalFormatting>
  <conditionalFormatting sqref="B8">
    <cfRule type="duplicateValues" dxfId="565" priority="13"/>
    <cfRule type="duplicateValues" dxfId="564" priority="14"/>
    <cfRule type="duplicateValues" dxfId="563" priority="15"/>
  </conditionalFormatting>
  <conditionalFormatting sqref="B9">
    <cfRule type="duplicateValues" dxfId="562" priority="25"/>
    <cfRule type="duplicateValues" dxfId="561" priority="26"/>
    <cfRule type="duplicateValues" dxfId="560" priority="27"/>
  </conditionalFormatting>
  <conditionalFormatting sqref="B10">
    <cfRule type="duplicateValues" dxfId="559" priority="19"/>
    <cfRule type="duplicateValues" dxfId="558" priority="20"/>
    <cfRule type="duplicateValues" dxfId="557" priority="21"/>
  </conditionalFormatting>
  <conditionalFormatting sqref="B11">
    <cfRule type="duplicateValues" dxfId="556" priority="16"/>
    <cfRule type="duplicateValues" dxfId="555" priority="17"/>
    <cfRule type="duplicateValues" dxfId="554" priority="18"/>
  </conditionalFormatting>
  <conditionalFormatting sqref="B26:B29 B31">
    <cfRule type="duplicateValues" dxfId="553" priority="31"/>
    <cfRule type="duplicateValues" dxfId="552" priority="32"/>
    <cfRule type="duplicateValues" dxfId="551" priority="33"/>
  </conditionalFormatting>
  <conditionalFormatting sqref="B43 B47:B50">
    <cfRule type="duplicateValues" dxfId="550" priority="34"/>
    <cfRule type="duplicateValues" dxfId="549" priority="35"/>
    <cfRule type="duplicateValues" dxfId="548" priority="36"/>
  </conditionalFormatting>
  <conditionalFormatting sqref="B55">
    <cfRule type="duplicateValues" dxfId="547" priority="7"/>
    <cfRule type="duplicateValues" dxfId="546" priority="8"/>
    <cfRule type="duplicateValues" dxfId="545" priority="9"/>
  </conditionalFormatting>
  <conditionalFormatting sqref="B56:B59">
    <cfRule type="duplicateValues" dxfId="544" priority="4"/>
    <cfRule type="duplicateValues" dxfId="543" priority="5"/>
    <cfRule type="duplicateValues" dxfId="542" priority="6"/>
  </conditionalFormatting>
  <conditionalFormatting sqref="B60">
    <cfRule type="duplicateValues" dxfId="541" priority="1"/>
    <cfRule type="duplicateValues" dxfId="540" priority="2"/>
    <cfRule type="duplicateValues" dxfId="539"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7.125" style="359" customWidth="1"/>
    <col min="2" max="2" width="21.375" style="1" customWidth="1"/>
    <col min="3" max="3" width="11.375" style="2" customWidth="1"/>
    <col min="4" max="4" width="20" style="271" customWidth="1"/>
    <col min="5" max="5" width="25.25" style="785" customWidth="1"/>
    <col min="6" max="6" width="15.375" style="1" customWidth="1"/>
    <col min="7" max="7" width="20.37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375" style="3" customWidth="1"/>
    <col min="16" max="16" width="34.625" style="3" customWidth="1"/>
    <col min="17" max="16384" width="25.625" style="3"/>
  </cols>
  <sheetData>
    <row r="1" spans="1:16" ht="17.350000000000001" hidden="1" customHeight="1">
      <c r="B1" s="10"/>
      <c r="C1" s="3704"/>
      <c r="D1" s="3704"/>
      <c r="E1" s="3704"/>
      <c r="F1" s="3704"/>
      <c r="G1" s="3704"/>
      <c r="H1" s="3704"/>
      <c r="I1" s="3704"/>
    </row>
    <row r="2" spans="1:16" ht="27" customHeight="1">
      <c r="A2" s="3684" t="s">
        <v>2687</v>
      </c>
      <c r="B2" s="3684"/>
      <c r="C2" s="3684"/>
      <c r="D2" s="3684"/>
      <c r="E2" s="3684"/>
      <c r="F2" s="3684"/>
      <c r="G2" s="3684"/>
      <c r="H2" s="3684"/>
      <c r="I2" s="3684"/>
      <c r="J2" s="194"/>
      <c r="K2" s="194"/>
      <c r="L2" s="195"/>
      <c r="M2" s="509"/>
      <c r="N2" s="196"/>
      <c r="O2" s="197"/>
    </row>
    <row r="3" spans="1:16" ht="23.95" customHeight="1">
      <c r="A3" s="360"/>
      <c r="B3" s="385"/>
      <c r="C3" s="504">
        <f>SUBTOTAL(9,C5:C206)</f>
        <v>224060</v>
      </c>
      <c r="D3" s="378"/>
      <c r="E3" s="769"/>
      <c r="F3" s="201"/>
      <c r="G3" s="199"/>
      <c r="H3" s="202"/>
      <c r="I3" s="3705">
        <f ca="1">TODAY()</f>
        <v>45988</v>
      </c>
      <c r="J3" s="3705"/>
      <c r="K3" s="203"/>
      <c r="L3" s="203"/>
      <c r="M3" s="510"/>
      <c r="N3" s="197"/>
      <c r="O3" s="197"/>
    </row>
    <row r="4" spans="1:16" s="7" customFormat="1" ht="48.1" customHeight="1">
      <c r="A4" s="361" t="s">
        <v>48</v>
      </c>
      <c r="B4" s="204" t="s">
        <v>1425</v>
      </c>
      <c r="C4" s="205" t="s">
        <v>50</v>
      </c>
      <c r="D4" s="204" t="s">
        <v>51</v>
      </c>
      <c r="E4" s="204" t="s">
        <v>53</v>
      </c>
      <c r="F4" s="204" t="s">
        <v>55</v>
      </c>
      <c r="G4" s="204" t="s">
        <v>56</v>
      </c>
      <c r="H4" s="206" t="s">
        <v>57</v>
      </c>
      <c r="I4" s="204" t="s">
        <v>58</v>
      </c>
      <c r="J4" s="204" t="s">
        <v>52</v>
      </c>
      <c r="K4" s="679" t="s">
        <v>1094</v>
      </c>
      <c r="L4" s="204" t="s">
        <v>1256</v>
      </c>
      <c r="M4" s="511" t="s">
        <v>381</v>
      </c>
      <c r="N4" s="753" t="s">
        <v>382</v>
      </c>
      <c r="O4" s="754">
        <f>SUM(O5:O10)</f>
        <v>171190</v>
      </c>
    </row>
    <row r="5" spans="1:16" ht="110.05">
      <c r="A5" s="362" cm="1">
        <f t="array" ref="A5:A54">_xlfn.SEQUENCE(50,1,1,)</f>
        <v>1</v>
      </c>
      <c r="B5" s="182" t="s">
        <v>2688</v>
      </c>
      <c r="C5" s="688">
        <v>7400</v>
      </c>
      <c r="D5" s="689" t="s">
        <v>267</v>
      </c>
      <c r="E5" s="770"/>
      <c r="F5" s="113" t="s">
        <v>65</v>
      </c>
      <c r="G5" s="182" t="s">
        <v>1000</v>
      </c>
      <c r="H5" s="512" t="s">
        <v>2689</v>
      </c>
      <c r="I5" s="692"/>
      <c r="J5" s="389" t="s">
        <v>24</v>
      </c>
      <c r="K5" s="87" t="s">
        <v>24</v>
      </c>
      <c r="L5" s="349"/>
      <c r="M5" s="755">
        <f t="shared" ref="M5:M31" si="0">C5</f>
        <v>7400</v>
      </c>
      <c r="N5" s="218" t="s">
        <v>22</v>
      </c>
      <c r="O5" s="756">
        <f t="shared" ref="O5:O10" si="1">SUMIF($J:$J,N5,M:M)</f>
        <v>45650</v>
      </c>
      <c r="P5" s="4"/>
    </row>
    <row r="6" spans="1:16" s="434" customFormat="1" ht="36.700000000000003">
      <c r="A6" s="387">
        <v>2</v>
      </c>
      <c r="B6" s="177" t="s">
        <v>1254</v>
      </c>
      <c r="C6" s="186">
        <v>3600</v>
      </c>
      <c r="D6" s="693" t="s">
        <v>267</v>
      </c>
      <c r="E6" s="771"/>
      <c r="F6" s="87" t="s">
        <v>65</v>
      </c>
      <c r="G6" s="177" t="s">
        <v>66</v>
      </c>
      <c r="H6" s="188" t="s">
        <v>2690</v>
      </c>
      <c r="I6" s="147" t="s">
        <v>2691</v>
      </c>
      <c r="J6" s="177" t="s">
        <v>24</v>
      </c>
      <c r="K6" s="177" t="s">
        <v>24</v>
      </c>
      <c r="L6" s="694"/>
      <c r="M6" s="755">
        <f t="shared" si="0"/>
        <v>3600</v>
      </c>
      <c r="N6" s="608" t="s">
        <v>555</v>
      </c>
      <c r="O6" s="757">
        <f t="shared" si="1"/>
        <v>0</v>
      </c>
    </row>
    <row r="7" spans="1:16" s="759" customFormat="1" ht="38.25" customHeight="1">
      <c r="A7" s="687">
        <v>3</v>
      </c>
      <c r="B7" s="182" t="s">
        <v>2692</v>
      </c>
      <c r="C7" s="688">
        <v>2950</v>
      </c>
      <c r="D7" s="689" t="s">
        <v>267</v>
      </c>
      <c r="E7" s="770"/>
      <c r="F7" s="113" t="s">
        <v>65</v>
      </c>
      <c r="G7" s="182" t="s">
        <v>213</v>
      </c>
      <c r="H7" s="290" t="s">
        <v>2693</v>
      </c>
      <c r="I7" s="690"/>
      <c r="J7" s="182" t="s">
        <v>22</v>
      </c>
      <c r="K7" s="177" t="s">
        <v>1325</v>
      </c>
      <c r="L7" s="691"/>
      <c r="M7" s="755">
        <f t="shared" si="0"/>
        <v>2950</v>
      </c>
      <c r="N7" s="218" t="s">
        <v>18</v>
      </c>
      <c r="O7" s="758">
        <f t="shared" si="1"/>
        <v>36750</v>
      </c>
    </row>
    <row r="8" spans="1:16" ht="32.950000000000003" customHeight="1">
      <c r="A8" s="695">
        <v>4</v>
      </c>
      <c r="B8" s="87" t="s">
        <v>2694</v>
      </c>
      <c r="C8" s="120">
        <v>3050</v>
      </c>
      <c r="D8" s="91" t="s">
        <v>267</v>
      </c>
      <c r="E8" s="772"/>
      <c r="F8" s="91" t="s">
        <v>65</v>
      </c>
      <c r="G8" s="115" t="s">
        <v>213</v>
      </c>
      <c r="H8" s="123" t="s">
        <v>2695</v>
      </c>
      <c r="I8" s="697"/>
      <c r="J8" s="91" t="s">
        <v>18</v>
      </c>
      <c r="K8" s="380" t="s">
        <v>18</v>
      </c>
      <c r="L8" s="348"/>
      <c r="M8" s="755">
        <f t="shared" si="0"/>
        <v>3050</v>
      </c>
      <c r="N8" s="760" t="s">
        <v>24</v>
      </c>
      <c r="O8" s="761">
        <f t="shared" si="1"/>
        <v>46390</v>
      </c>
      <c r="P8" s="4"/>
    </row>
    <row r="9" spans="1:16" ht="73.400000000000006">
      <c r="A9" s="695">
        <v>5</v>
      </c>
      <c r="B9" s="115" t="s">
        <v>1026</v>
      </c>
      <c r="C9" s="94">
        <v>7150</v>
      </c>
      <c r="D9" s="133" t="s">
        <v>267</v>
      </c>
      <c r="E9" s="773"/>
      <c r="F9" s="87" t="s">
        <v>65</v>
      </c>
      <c r="G9" s="87" t="s">
        <v>213</v>
      </c>
      <c r="H9" s="93" t="s">
        <v>2696</v>
      </c>
      <c r="I9" s="290"/>
      <c r="J9" s="133" t="s">
        <v>22</v>
      </c>
      <c r="K9" s="133" t="s">
        <v>22</v>
      </c>
      <c r="L9" s="133" t="s">
        <v>1569</v>
      </c>
      <c r="M9" s="755">
        <f t="shared" si="0"/>
        <v>7150</v>
      </c>
      <c r="N9" s="762" t="s">
        <v>26</v>
      </c>
      <c r="O9" s="757">
        <f t="shared" si="1"/>
        <v>6000</v>
      </c>
      <c r="P9" s="4"/>
    </row>
    <row r="10" spans="1:16" s="759" customFormat="1" ht="98.35" customHeight="1">
      <c r="A10" s="699">
        <v>6</v>
      </c>
      <c r="B10" s="115" t="s">
        <v>2697</v>
      </c>
      <c r="C10" s="94">
        <v>4200</v>
      </c>
      <c r="D10" s="133" t="s">
        <v>267</v>
      </c>
      <c r="E10" s="773"/>
      <c r="F10" s="87" t="s">
        <v>65</v>
      </c>
      <c r="G10" s="87" t="s">
        <v>558</v>
      </c>
      <c r="H10" s="93" t="s">
        <v>2698</v>
      </c>
      <c r="I10" s="388" t="s">
        <v>2699</v>
      </c>
      <c r="J10" s="87" t="s">
        <v>18</v>
      </c>
      <c r="K10" s="87" t="s">
        <v>18</v>
      </c>
      <c r="L10" s="133"/>
      <c r="M10" s="755">
        <f t="shared" si="0"/>
        <v>4200</v>
      </c>
      <c r="N10" s="218" t="s">
        <v>88</v>
      </c>
      <c r="O10" s="758">
        <f t="shared" si="1"/>
        <v>36400</v>
      </c>
    </row>
    <row r="11" spans="1:16" s="759" customFormat="1" ht="95.3" customHeight="1">
      <c r="A11" s="699">
        <v>7</v>
      </c>
      <c r="B11" s="180" t="s">
        <v>311</v>
      </c>
      <c r="C11" s="190">
        <v>3950</v>
      </c>
      <c r="D11" s="702" t="s">
        <v>267</v>
      </c>
      <c r="E11" s="774"/>
      <c r="F11" s="91" t="s">
        <v>65</v>
      </c>
      <c r="G11" s="180" t="s">
        <v>2700</v>
      </c>
      <c r="H11" s="703" t="s">
        <v>2701</v>
      </c>
      <c r="I11" s="703" t="s">
        <v>2702</v>
      </c>
      <c r="J11" s="180" t="s">
        <v>22</v>
      </c>
      <c r="K11" s="180" t="s">
        <v>22</v>
      </c>
      <c r="L11" s="704" t="s">
        <v>1564</v>
      </c>
      <c r="M11" s="755">
        <f t="shared" si="0"/>
        <v>3950</v>
      </c>
    </row>
    <row r="12" spans="1:16" s="759" customFormat="1" ht="88.5" customHeight="1">
      <c r="A12" s="706">
        <v>8</v>
      </c>
      <c r="B12" s="177" t="s">
        <v>677</v>
      </c>
      <c r="C12" s="186">
        <v>2950</v>
      </c>
      <c r="D12" s="693" t="s">
        <v>267</v>
      </c>
      <c r="E12" s="771"/>
      <c r="F12" s="87" t="s">
        <v>65</v>
      </c>
      <c r="G12" s="177" t="s">
        <v>240</v>
      </c>
      <c r="H12" s="290" t="s">
        <v>2703</v>
      </c>
      <c r="I12" s="290" t="s">
        <v>2704</v>
      </c>
      <c r="J12" s="698" t="s">
        <v>26</v>
      </c>
      <c r="K12" s="177" t="s">
        <v>524</v>
      </c>
      <c r="L12" s="177" t="s">
        <v>1564</v>
      </c>
      <c r="M12" s="755">
        <f t="shared" si="0"/>
        <v>2950</v>
      </c>
      <c r="N12" s="433"/>
      <c r="O12" s="433"/>
    </row>
    <row r="13" spans="1:16" s="759" customFormat="1" ht="169.5" customHeight="1">
      <c r="A13" s="699">
        <v>9</v>
      </c>
      <c r="B13" s="115" t="s">
        <v>2705</v>
      </c>
      <c r="C13" s="120">
        <v>10300</v>
      </c>
      <c r="D13" s="693" t="s">
        <v>267</v>
      </c>
      <c r="E13" s="775"/>
      <c r="F13" s="91" t="s">
        <v>65</v>
      </c>
      <c r="G13" s="91" t="s">
        <v>213</v>
      </c>
      <c r="H13" s="119" t="s">
        <v>2706</v>
      </c>
      <c r="I13" s="707" t="s">
        <v>2707</v>
      </c>
      <c r="J13" s="91" t="s">
        <v>22</v>
      </c>
      <c r="K13" s="91" t="s">
        <v>22</v>
      </c>
      <c r="L13" s="133"/>
      <c r="M13" s="755">
        <f t="shared" si="0"/>
        <v>10300</v>
      </c>
    </row>
    <row r="14" spans="1:16" s="759" customFormat="1" ht="68.95" customHeight="1">
      <c r="A14" s="706">
        <v>10</v>
      </c>
      <c r="B14" s="177" t="s">
        <v>1793</v>
      </c>
      <c r="C14" s="186">
        <v>2600</v>
      </c>
      <c r="D14" s="693" t="s">
        <v>267</v>
      </c>
      <c r="E14" s="771"/>
      <c r="F14" s="87" t="s">
        <v>65</v>
      </c>
      <c r="G14" s="177" t="s">
        <v>213</v>
      </c>
      <c r="H14" s="290" t="s">
        <v>2708</v>
      </c>
      <c r="I14" s="290"/>
      <c r="J14" s="698" t="s">
        <v>24</v>
      </c>
      <c r="K14" s="177" t="s">
        <v>24</v>
      </c>
      <c r="L14" s="177"/>
      <c r="M14" s="755">
        <f t="shared" si="0"/>
        <v>2600</v>
      </c>
      <c r="N14" s="433"/>
      <c r="O14" s="433"/>
    </row>
    <row r="15" spans="1:16" s="759" customFormat="1" ht="73.400000000000006">
      <c r="A15" s="706">
        <v>11</v>
      </c>
      <c r="B15" s="87" t="s">
        <v>1233</v>
      </c>
      <c r="C15" s="94">
        <v>5870</v>
      </c>
      <c r="D15" s="133" t="s">
        <v>267</v>
      </c>
      <c r="E15" s="773"/>
      <c r="F15" s="91" t="s">
        <v>65</v>
      </c>
      <c r="G15" s="91" t="s">
        <v>213</v>
      </c>
      <c r="H15" s="93" t="s">
        <v>2709</v>
      </c>
      <c r="I15" s="392" t="s">
        <v>2710</v>
      </c>
      <c r="J15" s="87" t="s">
        <v>24</v>
      </c>
      <c r="K15" s="87" t="s">
        <v>24</v>
      </c>
      <c r="L15" s="350"/>
      <c r="M15" s="755">
        <f t="shared" si="0"/>
        <v>5870</v>
      </c>
    </row>
    <row r="16" spans="1:16" s="759" customFormat="1" ht="183.4">
      <c r="A16" s="706">
        <v>12</v>
      </c>
      <c r="B16" s="177" t="s">
        <v>2711</v>
      </c>
      <c r="C16" s="186">
        <v>22400</v>
      </c>
      <c r="D16" s="693" t="s">
        <v>267</v>
      </c>
      <c r="E16" s="771"/>
      <c r="F16" s="87" t="s">
        <v>65</v>
      </c>
      <c r="G16" s="177" t="s">
        <v>462</v>
      </c>
      <c r="H16" s="290" t="s">
        <v>2712</v>
      </c>
      <c r="I16" s="93" t="s">
        <v>2713</v>
      </c>
      <c r="J16" s="698" t="s">
        <v>88</v>
      </c>
      <c r="K16" s="177" t="s">
        <v>524</v>
      </c>
      <c r="L16" s="177"/>
      <c r="M16" s="755">
        <f t="shared" si="0"/>
        <v>22400</v>
      </c>
      <c r="N16" s="433"/>
      <c r="O16" s="433"/>
    </row>
    <row r="17" spans="1:15" s="759" customFormat="1" ht="41.95" customHeight="1">
      <c r="A17" s="708">
        <v>13</v>
      </c>
      <c r="B17" s="709" t="s">
        <v>2714</v>
      </c>
      <c r="C17" s="710" t="s">
        <v>716</v>
      </c>
      <c r="D17" s="711" t="s">
        <v>354</v>
      </c>
      <c r="E17" s="776"/>
      <c r="F17" s="712" t="s">
        <v>65</v>
      </c>
      <c r="G17" s="709" t="s">
        <v>213</v>
      </c>
      <c r="H17" s="713"/>
      <c r="I17" s="714"/>
      <c r="J17" s="715" t="s">
        <v>88</v>
      </c>
      <c r="K17" s="709"/>
      <c r="L17" s="709"/>
      <c r="M17" s="755" t="str">
        <f t="shared" si="0"/>
        <v>HỦY</v>
      </c>
      <c r="N17" s="433"/>
      <c r="O17" s="433"/>
    </row>
    <row r="18" spans="1:15" s="759" customFormat="1" ht="77.3" customHeight="1">
      <c r="A18" s="706">
        <v>14</v>
      </c>
      <c r="B18" s="177" t="s">
        <v>607</v>
      </c>
      <c r="C18" s="186">
        <v>3400</v>
      </c>
      <c r="D18" s="693" t="s">
        <v>267</v>
      </c>
      <c r="E18" s="771"/>
      <c r="F18" s="87" t="s">
        <v>65</v>
      </c>
      <c r="G18" s="177" t="s">
        <v>213</v>
      </c>
      <c r="H18" s="728" t="s">
        <v>2715</v>
      </c>
      <c r="I18" s="93" t="s">
        <v>2716</v>
      </c>
      <c r="J18" s="698" t="s">
        <v>22</v>
      </c>
      <c r="K18" s="181" t="s">
        <v>22</v>
      </c>
      <c r="L18" s="177"/>
      <c r="M18" s="755">
        <f t="shared" si="0"/>
        <v>3400</v>
      </c>
      <c r="N18" s="433"/>
      <c r="O18" s="433"/>
    </row>
    <row r="19" spans="1:15" s="1" customFormat="1" ht="76.599999999999994" customHeight="1">
      <c r="A19" s="723">
        <v>15</v>
      </c>
      <c r="B19" s="113" t="s">
        <v>955</v>
      </c>
      <c r="C19" s="724">
        <v>3550</v>
      </c>
      <c r="D19" s="113" t="s">
        <v>267</v>
      </c>
      <c r="E19" s="777"/>
      <c r="F19" s="87" t="s">
        <v>65</v>
      </c>
      <c r="G19" s="87" t="s">
        <v>213</v>
      </c>
      <c r="H19" s="1009" t="s">
        <v>2717</v>
      </c>
      <c r="I19" s="388"/>
      <c r="J19" s="87" t="s">
        <v>24</v>
      </c>
      <c r="K19" s="129" t="s">
        <v>24</v>
      </c>
      <c r="L19" s="350"/>
      <c r="M19" s="755">
        <f t="shared" si="0"/>
        <v>3550</v>
      </c>
      <c r="N19" s="763"/>
      <c r="O19" s="763"/>
    </row>
    <row r="20" spans="1:15" s="1" customFormat="1" ht="113.3" customHeight="1">
      <c r="A20" s="723">
        <v>16</v>
      </c>
      <c r="B20" s="113" t="s">
        <v>897</v>
      </c>
      <c r="C20" s="724">
        <v>20000</v>
      </c>
      <c r="D20" s="113" t="s">
        <v>267</v>
      </c>
      <c r="E20" s="778"/>
      <c r="F20" s="91" t="s">
        <v>65</v>
      </c>
      <c r="G20" s="343" t="s">
        <v>2718</v>
      </c>
      <c r="H20" s="1233" t="s">
        <v>2719</v>
      </c>
      <c r="I20" s="729" t="s">
        <v>2720</v>
      </c>
      <c r="J20" s="113" t="s">
        <v>18</v>
      </c>
      <c r="K20" s="125" t="s">
        <v>18</v>
      </c>
      <c r="L20" s="125" t="s">
        <v>1564</v>
      </c>
      <c r="M20" s="755">
        <f t="shared" si="0"/>
        <v>20000</v>
      </c>
      <c r="N20" s="433"/>
      <c r="O20" s="433"/>
    </row>
    <row r="21" spans="1:15" s="1" customFormat="1" ht="120.75" customHeight="1">
      <c r="A21" s="723">
        <v>17</v>
      </c>
      <c r="B21" s="87" t="s">
        <v>2721</v>
      </c>
      <c r="C21" s="118">
        <v>2400</v>
      </c>
      <c r="D21" s="87" t="s">
        <v>267</v>
      </c>
      <c r="E21" s="777"/>
      <c r="F21" s="87" t="s">
        <v>65</v>
      </c>
      <c r="G21" s="177" t="s">
        <v>213</v>
      </c>
      <c r="H21" s="188" t="s">
        <v>2722</v>
      </c>
      <c r="I21" s="392"/>
      <c r="J21" s="87" t="s">
        <v>24</v>
      </c>
      <c r="K21" s="87" t="s">
        <v>24</v>
      </c>
      <c r="L21" s="87"/>
      <c r="M21" s="755">
        <f t="shared" si="0"/>
        <v>2400</v>
      </c>
      <c r="N21" s="433"/>
      <c r="O21" s="433"/>
    </row>
    <row r="22" spans="1:15" s="434" customFormat="1" ht="109.55" customHeight="1">
      <c r="A22" s="706">
        <v>18</v>
      </c>
      <c r="B22" s="730" t="s">
        <v>315</v>
      </c>
      <c r="C22" s="731">
        <v>4000</v>
      </c>
      <c r="D22" s="732" t="s">
        <v>267</v>
      </c>
      <c r="E22" s="774"/>
      <c r="F22" s="91" t="s">
        <v>65</v>
      </c>
      <c r="G22" s="180" t="s">
        <v>117</v>
      </c>
      <c r="H22" s="184" t="s">
        <v>2723</v>
      </c>
      <c r="I22" s="733" t="s">
        <v>2724</v>
      </c>
      <c r="J22" s="130" t="s">
        <v>22</v>
      </c>
      <c r="K22" s="704" t="s">
        <v>1325</v>
      </c>
      <c r="L22" s="734"/>
      <c r="M22" s="755">
        <f t="shared" si="0"/>
        <v>4000</v>
      </c>
      <c r="N22" s="433"/>
      <c r="O22" s="433"/>
    </row>
    <row r="23" spans="1:15" s="1" customFormat="1" ht="99.7" customHeight="1">
      <c r="A23" s="723">
        <v>19</v>
      </c>
      <c r="B23" s="87" t="s">
        <v>2725</v>
      </c>
      <c r="C23" s="118">
        <v>2900</v>
      </c>
      <c r="D23" s="87" t="s">
        <v>267</v>
      </c>
      <c r="E23" s="777"/>
      <c r="F23" s="87" t="s">
        <v>65</v>
      </c>
      <c r="G23" s="177" t="s">
        <v>1271</v>
      </c>
      <c r="H23" s="188" t="s">
        <v>2726</v>
      </c>
      <c r="I23" s="392"/>
      <c r="J23" s="87" t="s">
        <v>24</v>
      </c>
      <c r="K23" s="87" t="s">
        <v>24</v>
      </c>
      <c r="L23" s="87"/>
      <c r="M23" s="755">
        <f t="shared" si="0"/>
        <v>2900</v>
      </c>
      <c r="N23" s="433"/>
      <c r="O23" s="433"/>
    </row>
    <row r="24" spans="1:15" s="1" customFormat="1" ht="80.349999999999994" customHeight="1">
      <c r="A24" s="723">
        <v>20</v>
      </c>
      <c r="B24" s="177" t="s">
        <v>1142</v>
      </c>
      <c r="C24" s="118">
        <v>4350</v>
      </c>
      <c r="D24" s="87" t="s">
        <v>267</v>
      </c>
      <c r="E24" s="777">
        <v>13.1</v>
      </c>
      <c r="F24" s="87" t="s">
        <v>65</v>
      </c>
      <c r="G24" s="87" t="s">
        <v>558</v>
      </c>
      <c r="H24" s="93" t="s">
        <v>2727</v>
      </c>
      <c r="I24" s="388" t="s">
        <v>2728</v>
      </c>
      <c r="J24" s="87" t="s">
        <v>22</v>
      </c>
      <c r="K24" s="87" t="s">
        <v>22</v>
      </c>
      <c r="L24" s="87"/>
      <c r="M24" s="755">
        <f t="shared" si="0"/>
        <v>4350</v>
      </c>
      <c r="N24" s="433"/>
      <c r="O24" s="433"/>
    </row>
    <row r="25" spans="1:15" s="434" customFormat="1" ht="71.349999999999994" customHeight="1">
      <c r="A25" s="736">
        <v>21</v>
      </c>
      <c r="B25" s="177" t="s">
        <v>2729</v>
      </c>
      <c r="C25" s="186">
        <v>3150</v>
      </c>
      <c r="D25" s="87" t="s">
        <v>267</v>
      </c>
      <c r="E25" s="771">
        <v>13.1</v>
      </c>
      <c r="F25" s="87" t="s">
        <v>65</v>
      </c>
      <c r="G25" s="177" t="s">
        <v>213</v>
      </c>
      <c r="H25" s="188" t="s">
        <v>2730</v>
      </c>
      <c r="I25" s="155"/>
      <c r="J25" s="87" t="s">
        <v>18</v>
      </c>
      <c r="K25" s="177" t="s">
        <v>18</v>
      </c>
      <c r="L25" s="388"/>
      <c r="M25" s="755">
        <f t="shared" si="0"/>
        <v>3150</v>
      </c>
      <c r="N25" s="433"/>
      <c r="O25" s="433"/>
    </row>
    <row r="26" spans="1:15" s="1" customFormat="1" ht="59.3" customHeight="1">
      <c r="A26" s="723">
        <v>22</v>
      </c>
      <c r="B26" s="177" t="s">
        <v>1350</v>
      </c>
      <c r="C26" s="118">
        <v>2800</v>
      </c>
      <c r="D26" s="87" t="s">
        <v>267</v>
      </c>
      <c r="E26" s="777"/>
      <c r="F26" s="87" t="s">
        <v>65</v>
      </c>
      <c r="G26" s="87" t="s">
        <v>213</v>
      </c>
      <c r="H26" s="155" t="s">
        <v>2731</v>
      </c>
      <c r="I26" s="388"/>
      <c r="J26" s="87" t="s">
        <v>22</v>
      </c>
      <c r="K26" s="87" t="s">
        <v>22</v>
      </c>
      <c r="L26" s="87"/>
      <c r="M26" s="755">
        <f t="shared" si="0"/>
        <v>2800</v>
      </c>
      <c r="N26" s="763"/>
      <c r="O26" s="763"/>
    </row>
    <row r="27" spans="1:15" s="1" customFormat="1" ht="103.6" customHeight="1">
      <c r="A27" s="723">
        <v>23</v>
      </c>
      <c r="B27" s="177" t="s">
        <v>1707</v>
      </c>
      <c r="C27" s="118">
        <v>4020</v>
      </c>
      <c r="D27" s="693" t="s">
        <v>267</v>
      </c>
      <c r="E27" s="777">
        <v>14.1</v>
      </c>
      <c r="F27" s="87" t="s">
        <v>65</v>
      </c>
      <c r="G27" s="87" t="s">
        <v>213</v>
      </c>
      <c r="H27" s="188" t="s">
        <v>2732</v>
      </c>
      <c r="I27" s="392" t="s">
        <v>2733</v>
      </c>
      <c r="J27" s="87" t="s">
        <v>24</v>
      </c>
      <c r="K27" s="87" t="s">
        <v>24</v>
      </c>
      <c r="L27" s="87"/>
      <c r="M27" s="755">
        <f t="shared" si="0"/>
        <v>4020</v>
      </c>
      <c r="N27" s="433"/>
      <c r="O27" s="433"/>
    </row>
    <row r="28" spans="1:15" s="763" customFormat="1" ht="33.799999999999997" customHeight="1">
      <c r="A28" s="700">
        <v>24</v>
      </c>
      <c r="B28" s="737" t="s">
        <v>2734</v>
      </c>
      <c r="C28" s="716" t="s">
        <v>716</v>
      </c>
      <c r="D28" s="701" t="s">
        <v>2735</v>
      </c>
      <c r="E28" s="779"/>
      <c r="F28" s="701" t="s">
        <v>65</v>
      </c>
      <c r="G28" s="701" t="s">
        <v>117</v>
      </c>
      <c r="H28" s="739" t="s">
        <v>716</v>
      </c>
      <c r="I28" s="705" t="s">
        <v>2699</v>
      </c>
      <c r="J28" s="701" t="s">
        <v>18</v>
      </c>
      <c r="K28" s="701" t="s">
        <v>18</v>
      </c>
      <c r="L28" s="701"/>
      <c r="M28" s="755" t="str">
        <f t="shared" si="0"/>
        <v>HỦY</v>
      </c>
      <c r="N28" s="433"/>
      <c r="O28" s="433"/>
    </row>
    <row r="29" spans="1:15" s="434" customFormat="1" ht="37.549999999999997" customHeight="1">
      <c r="A29" s="725">
        <v>25</v>
      </c>
      <c r="B29" s="709" t="s">
        <v>1606</v>
      </c>
      <c r="C29" s="710" t="s">
        <v>716</v>
      </c>
      <c r="D29" s="711" t="s">
        <v>2736</v>
      </c>
      <c r="E29" s="776">
        <v>12.1</v>
      </c>
      <c r="F29" s="712" t="s">
        <v>65</v>
      </c>
      <c r="G29" s="709" t="s">
        <v>2700</v>
      </c>
      <c r="H29" s="740" t="s">
        <v>2737</v>
      </c>
      <c r="I29" s="726"/>
      <c r="J29" s="712" t="s">
        <v>26</v>
      </c>
      <c r="K29" s="709" t="s">
        <v>524</v>
      </c>
      <c r="L29" s="727"/>
      <c r="M29" s="755" t="str">
        <f t="shared" si="0"/>
        <v>HỦY</v>
      </c>
      <c r="N29" s="433"/>
      <c r="O29" s="433"/>
    </row>
    <row r="30" spans="1:15" s="434" customFormat="1" ht="37.549999999999997" customHeight="1">
      <c r="A30" s="717">
        <v>26</v>
      </c>
      <c r="B30" s="718" t="s">
        <v>2738</v>
      </c>
      <c r="C30" s="719" t="s">
        <v>716</v>
      </c>
      <c r="D30" s="720" t="s">
        <v>2739</v>
      </c>
      <c r="E30" s="780"/>
      <c r="F30" s="102" t="s">
        <v>65</v>
      </c>
      <c r="G30" s="608" t="s">
        <v>2700</v>
      </c>
      <c r="H30" s="670"/>
      <c r="I30" s="721"/>
      <c r="J30" s="112" t="s">
        <v>24</v>
      </c>
      <c r="K30" s="718" t="s">
        <v>24</v>
      </c>
      <c r="L30" s="722"/>
      <c r="M30" s="755" t="str">
        <f t="shared" si="0"/>
        <v>HỦY</v>
      </c>
      <c r="N30" s="433"/>
      <c r="O30" s="433"/>
    </row>
    <row r="31" spans="1:15" s="1" customFormat="1" ht="78.8" customHeight="1">
      <c r="A31" s="723">
        <v>27</v>
      </c>
      <c r="B31" s="177" t="s">
        <v>1557</v>
      </c>
      <c r="C31" s="118">
        <v>2950</v>
      </c>
      <c r="D31" s="693" t="s">
        <v>267</v>
      </c>
      <c r="E31" s="777"/>
      <c r="F31" s="87" t="s">
        <v>65</v>
      </c>
      <c r="G31" s="87" t="s">
        <v>213</v>
      </c>
      <c r="H31" s="188" t="s">
        <v>2740</v>
      </c>
      <c r="I31" s="388"/>
      <c r="J31" s="87" t="s">
        <v>24</v>
      </c>
      <c r="K31" s="87" t="s">
        <v>24</v>
      </c>
      <c r="L31" s="87"/>
      <c r="M31" s="755">
        <f t="shared" si="0"/>
        <v>2950</v>
      </c>
      <c r="N31" s="433"/>
      <c r="O31" s="433"/>
    </row>
    <row r="32" spans="1:15" s="1" customFormat="1" ht="74.25" customHeight="1">
      <c r="A32" s="745">
        <v>28</v>
      </c>
      <c r="B32" s="730" t="s">
        <v>1461</v>
      </c>
      <c r="C32" s="746">
        <v>2500</v>
      </c>
      <c r="D32" s="130" t="s">
        <v>267</v>
      </c>
      <c r="E32" s="781"/>
      <c r="F32" s="130" t="s">
        <v>65</v>
      </c>
      <c r="G32" s="130" t="s">
        <v>462</v>
      </c>
      <c r="H32" s="131" t="s">
        <v>2741</v>
      </c>
      <c r="I32" s="513" t="s">
        <v>2742</v>
      </c>
      <c r="J32" s="130" t="s">
        <v>22</v>
      </c>
      <c r="K32" s="130" t="s">
        <v>22</v>
      </c>
      <c r="L32" s="130"/>
      <c r="M32" s="755"/>
      <c r="N32" s="433"/>
      <c r="O32" s="433"/>
    </row>
    <row r="33" spans="1:16" s="434" customFormat="1" ht="91.55" customHeight="1">
      <c r="A33" s="706">
        <v>29</v>
      </c>
      <c r="B33" s="177" t="s">
        <v>1139</v>
      </c>
      <c r="C33" s="186">
        <v>4030</v>
      </c>
      <c r="D33" s="693" t="s">
        <v>267</v>
      </c>
      <c r="E33" s="771"/>
      <c r="F33" s="87" t="s">
        <v>65</v>
      </c>
      <c r="G33" s="177" t="s">
        <v>1271</v>
      </c>
      <c r="H33" s="188" t="s">
        <v>2743</v>
      </c>
      <c r="I33" s="747" t="s">
        <v>2744</v>
      </c>
      <c r="J33" s="87" t="s">
        <v>24</v>
      </c>
      <c r="K33" s="177" t="s">
        <v>24</v>
      </c>
      <c r="L33" s="388"/>
      <c r="M33" s="764">
        <f>C33</f>
        <v>4030</v>
      </c>
      <c r="N33" s="433"/>
      <c r="O33" s="433"/>
    </row>
    <row r="34" spans="1:16" s="1" customFormat="1" ht="61.5" customHeight="1">
      <c r="A34" s="723">
        <v>30</v>
      </c>
      <c r="B34" s="182" t="s">
        <v>2248</v>
      </c>
      <c r="C34" s="724">
        <v>1800</v>
      </c>
      <c r="D34" s="113" t="s">
        <v>267</v>
      </c>
      <c r="E34" s="782"/>
      <c r="F34" s="87" t="s">
        <v>65</v>
      </c>
      <c r="G34" s="87" t="s">
        <v>213</v>
      </c>
      <c r="H34" s="513" t="s">
        <v>2745</v>
      </c>
      <c r="I34" s="744" t="s">
        <v>2746</v>
      </c>
      <c r="J34" s="113" t="s">
        <v>18</v>
      </c>
      <c r="K34" s="113" t="s">
        <v>18</v>
      </c>
      <c r="L34" s="113"/>
      <c r="M34" s="755"/>
      <c r="N34" s="433"/>
      <c r="O34" s="433"/>
    </row>
    <row r="35" spans="1:16" s="1" customFormat="1" ht="101.25" customHeight="1">
      <c r="A35" s="745">
        <v>31</v>
      </c>
      <c r="B35" s="730" t="s">
        <v>2747</v>
      </c>
      <c r="C35" s="746">
        <v>3050</v>
      </c>
      <c r="D35" s="130" t="s">
        <v>267</v>
      </c>
      <c r="E35" s="781"/>
      <c r="F35" s="91" t="s">
        <v>65</v>
      </c>
      <c r="G35" s="115" t="s">
        <v>213</v>
      </c>
      <c r="H35" s="184" t="s">
        <v>2748</v>
      </c>
      <c r="I35" s="707"/>
      <c r="J35" s="126" t="s">
        <v>18</v>
      </c>
      <c r="K35" s="130" t="s">
        <v>18</v>
      </c>
      <c r="L35" s="113"/>
      <c r="M35" s="755"/>
      <c r="N35" s="433"/>
      <c r="O35" s="433"/>
    </row>
    <row r="36" spans="1:16" s="434" customFormat="1" ht="84.1" customHeight="1">
      <c r="A36" s="706">
        <v>32</v>
      </c>
      <c r="B36" s="177" t="s">
        <v>2749</v>
      </c>
      <c r="C36" s="186">
        <v>2600</v>
      </c>
      <c r="D36" s="87" t="s">
        <v>267</v>
      </c>
      <c r="E36" s="771"/>
      <c r="F36" s="87" t="s">
        <v>65</v>
      </c>
      <c r="G36" s="177" t="s">
        <v>664</v>
      </c>
      <c r="H36" s="188" t="s">
        <v>2750</v>
      </c>
      <c r="I36" s="147"/>
      <c r="J36" s="177" t="s">
        <v>18</v>
      </c>
      <c r="K36" s="177" t="s">
        <v>18</v>
      </c>
      <c r="L36" s="390"/>
      <c r="M36" s="765">
        <f>C36</f>
        <v>2600</v>
      </c>
      <c r="N36" s="433"/>
      <c r="O36" s="433"/>
    </row>
    <row r="37" spans="1:16" s="1" customFormat="1" ht="46.55" customHeight="1">
      <c r="A37" s="741">
        <v>33</v>
      </c>
      <c r="B37" s="748" t="s">
        <v>2751</v>
      </c>
      <c r="C37" s="749">
        <v>3750</v>
      </c>
      <c r="D37" s="750" t="s">
        <v>716</v>
      </c>
      <c r="E37" s="783"/>
      <c r="F37" s="750" t="s">
        <v>65</v>
      </c>
      <c r="G37" s="750" t="s">
        <v>2752</v>
      </c>
      <c r="H37" s="743"/>
      <c r="I37" s="751"/>
      <c r="J37" s="750" t="s">
        <v>18</v>
      </c>
      <c r="K37" s="750" t="s">
        <v>18</v>
      </c>
      <c r="L37" s="742"/>
      <c r="M37" s="755">
        <f>C37</f>
        <v>3750</v>
      </c>
      <c r="N37" s="433"/>
      <c r="O37" s="433"/>
      <c r="P37" s="1" t="s">
        <v>2753</v>
      </c>
    </row>
    <row r="38" spans="1:16" s="336" customFormat="1" ht="104.3" customHeight="1">
      <c r="A38" s="786">
        <v>34</v>
      </c>
      <c r="B38" s="87" t="s">
        <v>1606</v>
      </c>
      <c r="C38" s="94">
        <v>3050</v>
      </c>
      <c r="D38" s="133" t="s">
        <v>267</v>
      </c>
      <c r="E38" s="777"/>
      <c r="F38" s="87" t="s">
        <v>65</v>
      </c>
      <c r="G38" s="87" t="s">
        <v>213</v>
      </c>
      <c r="H38" s="93" t="s">
        <v>2754</v>
      </c>
      <c r="I38" s="787"/>
      <c r="J38" s="87" t="s">
        <v>26</v>
      </c>
      <c r="K38" s="87" t="s">
        <v>24</v>
      </c>
      <c r="M38" s="788">
        <f>C38</f>
        <v>3050</v>
      </c>
    </row>
    <row r="39" spans="1:16" s="336" customFormat="1" ht="68.3" customHeight="1">
      <c r="A39" s="789">
        <v>35</v>
      </c>
      <c r="B39" s="113" t="s">
        <v>1722</v>
      </c>
      <c r="C39" s="114">
        <v>3650</v>
      </c>
      <c r="D39" s="384" t="s">
        <v>267</v>
      </c>
      <c r="E39" s="790" t="s">
        <v>2755</v>
      </c>
      <c r="F39" s="87" t="s">
        <v>65</v>
      </c>
      <c r="G39" s="87" t="s">
        <v>213</v>
      </c>
      <c r="H39" s="340" t="s">
        <v>2756</v>
      </c>
      <c r="I39" s="791"/>
      <c r="J39" s="113" t="s">
        <v>22</v>
      </c>
      <c r="K39" s="113" t="s">
        <v>22</v>
      </c>
      <c r="M39" s="788">
        <f>C39</f>
        <v>3650</v>
      </c>
    </row>
    <row r="40" spans="1:16" s="336" customFormat="1" ht="73.55" customHeight="1">
      <c r="A40" s="786">
        <v>36</v>
      </c>
      <c r="B40" s="125" t="s">
        <v>2046</v>
      </c>
      <c r="C40" s="114">
        <v>3340</v>
      </c>
      <c r="D40" s="113" t="s">
        <v>267</v>
      </c>
      <c r="E40" s="790"/>
      <c r="F40" s="113" t="s">
        <v>65</v>
      </c>
      <c r="G40" s="125" t="s">
        <v>213</v>
      </c>
      <c r="H40" s="792" t="s">
        <v>2757</v>
      </c>
      <c r="I40" s="793"/>
      <c r="J40" s="113" t="s">
        <v>88</v>
      </c>
      <c r="K40" s="113" t="s">
        <v>524</v>
      </c>
      <c r="M40" s="788"/>
    </row>
    <row r="41" spans="1:16" s="336" customFormat="1" ht="69.8" customHeight="1">
      <c r="A41" s="789">
        <v>37</v>
      </c>
      <c r="B41" s="113" t="s">
        <v>1073</v>
      </c>
      <c r="C41" s="114">
        <v>2980</v>
      </c>
      <c r="D41" s="113" t="s">
        <v>267</v>
      </c>
      <c r="E41" s="790"/>
      <c r="F41" s="87" t="s">
        <v>65</v>
      </c>
      <c r="G41" s="87" t="s">
        <v>240</v>
      </c>
      <c r="H41" s="340" t="s">
        <v>2758</v>
      </c>
      <c r="I41" s="795" t="s">
        <v>2759</v>
      </c>
      <c r="J41" s="113" t="s">
        <v>1666</v>
      </c>
      <c r="K41" s="113" t="s">
        <v>524</v>
      </c>
      <c r="M41" s="788"/>
    </row>
    <row r="42" spans="1:16" s="336" customFormat="1" ht="79.5" customHeight="1">
      <c r="A42" s="789">
        <v>38</v>
      </c>
      <c r="B42" s="796" t="s">
        <v>2760</v>
      </c>
      <c r="C42" s="114">
        <v>3070</v>
      </c>
      <c r="D42" s="113" t="s">
        <v>267</v>
      </c>
      <c r="E42" s="790" t="s">
        <v>2761</v>
      </c>
      <c r="F42" s="87" t="s">
        <v>65</v>
      </c>
      <c r="G42" s="87" t="s">
        <v>213</v>
      </c>
      <c r="H42" s="340" t="s">
        <v>2762</v>
      </c>
      <c r="I42" s="791"/>
      <c r="J42" s="113" t="s">
        <v>24</v>
      </c>
      <c r="K42" s="113" t="s">
        <v>24</v>
      </c>
      <c r="M42" s="788">
        <f>C42</f>
        <v>3070</v>
      </c>
    </row>
    <row r="43" spans="1:16" s="336" customFormat="1" ht="184.6" customHeight="1">
      <c r="A43" s="797">
        <v>39</v>
      </c>
      <c r="B43" s="91" t="s">
        <v>738</v>
      </c>
      <c r="C43" s="94">
        <v>14000</v>
      </c>
      <c r="D43" s="87" t="s">
        <v>267</v>
      </c>
      <c r="E43" s="777" t="s">
        <v>2763</v>
      </c>
      <c r="F43" s="87" t="s">
        <v>65</v>
      </c>
      <c r="G43" s="87" t="s">
        <v>462</v>
      </c>
      <c r="H43" s="93" t="s">
        <v>2764</v>
      </c>
      <c r="I43" s="798">
        <f>16000-2000-350-1000-1100-1488-2000-600-4600</f>
        <v>2862</v>
      </c>
      <c r="J43" s="87" t="s">
        <v>88</v>
      </c>
      <c r="K43" s="87" t="s">
        <v>18</v>
      </c>
      <c r="L43" s="799"/>
      <c r="M43" s="788">
        <f>C43</f>
        <v>14000</v>
      </c>
    </row>
    <row r="44" spans="1:16" s="336" customFormat="1" ht="102.75" customHeight="1">
      <c r="A44" s="797">
        <v>40</v>
      </c>
      <c r="B44" s="91" t="s">
        <v>1113</v>
      </c>
      <c r="C44" s="800">
        <v>4000</v>
      </c>
      <c r="D44" s="130" t="s">
        <v>267</v>
      </c>
      <c r="E44" s="781" t="s">
        <v>2765</v>
      </c>
      <c r="F44" s="130" t="s">
        <v>65</v>
      </c>
      <c r="G44" s="126" t="s">
        <v>213</v>
      </c>
      <c r="H44" s="131" t="s">
        <v>2766</v>
      </c>
      <c r="I44" s="801"/>
      <c r="J44" s="130" t="s">
        <v>24</v>
      </c>
      <c r="K44" s="113" t="s">
        <v>24</v>
      </c>
      <c r="M44" s="788">
        <f>C44</f>
        <v>4000</v>
      </c>
    </row>
    <row r="45" spans="1:16" s="336" customFormat="1" ht="90.7" customHeight="1">
      <c r="A45" s="786">
        <v>41</v>
      </c>
      <c r="B45" s="87" t="s">
        <v>544</v>
      </c>
      <c r="C45" s="94">
        <v>4050</v>
      </c>
      <c r="D45" s="87" t="s">
        <v>267</v>
      </c>
      <c r="E45" s="133" t="s">
        <v>2767</v>
      </c>
      <c r="F45" s="87" t="s">
        <v>65</v>
      </c>
      <c r="G45" s="87" t="s">
        <v>1271</v>
      </c>
      <c r="H45" s="93" t="s">
        <v>2768</v>
      </c>
      <c r="I45" s="802"/>
      <c r="J45" s="87" t="s">
        <v>88</v>
      </c>
      <c r="K45" s="125" t="s">
        <v>24</v>
      </c>
      <c r="M45" s="788"/>
    </row>
    <row r="46" spans="1:16" s="336" customFormat="1" ht="70.5" customHeight="1">
      <c r="A46" s="786">
        <v>42</v>
      </c>
      <c r="B46" s="87" t="s">
        <v>2769</v>
      </c>
      <c r="C46" s="94">
        <v>1850</v>
      </c>
      <c r="D46" s="87" t="s">
        <v>267</v>
      </c>
      <c r="E46" s="777" t="s">
        <v>2770</v>
      </c>
      <c r="F46" s="87" t="s">
        <v>65</v>
      </c>
      <c r="G46" s="87" t="s">
        <v>213</v>
      </c>
      <c r="H46" s="93" t="s">
        <v>2771</v>
      </c>
      <c r="I46" s="290" t="s">
        <v>2772</v>
      </c>
      <c r="J46" s="87" t="s">
        <v>18</v>
      </c>
      <c r="K46" s="125" t="s">
        <v>18</v>
      </c>
      <c r="M46" s="788"/>
    </row>
    <row r="47" spans="1:16" s="336" customFormat="1" ht="70.5" customHeight="1">
      <c r="A47" s="786">
        <v>43</v>
      </c>
      <c r="B47" s="87" t="s">
        <v>607</v>
      </c>
      <c r="C47" s="94">
        <v>3100</v>
      </c>
      <c r="D47" s="133" t="s">
        <v>267</v>
      </c>
      <c r="E47" s="777" t="s">
        <v>2773</v>
      </c>
      <c r="F47" s="87" t="s">
        <v>65</v>
      </c>
      <c r="G47" s="87" t="s">
        <v>66</v>
      </c>
      <c r="H47" s="119" t="s">
        <v>2774</v>
      </c>
      <c r="I47" s="290" t="s">
        <v>2775</v>
      </c>
      <c r="J47" s="87" t="s">
        <v>22</v>
      </c>
      <c r="K47" s="125" t="s">
        <v>22</v>
      </c>
      <c r="M47" s="788">
        <f>C47</f>
        <v>3100</v>
      </c>
    </row>
    <row r="48" spans="1:16" s="336" customFormat="1" ht="64.55" customHeight="1">
      <c r="A48" s="789">
        <v>44</v>
      </c>
      <c r="B48" s="816" t="s">
        <v>537</v>
      </c>
      <c r="C48" s="114">
        <v>3200</v>
      </c>
      <c r="D48" s="113" t="s">
        <v>267</v>
      </c>
      <c r="E48" s="790"/>
      <c r="F48" s="113" t="s">
        <v>65</v>
      </c>
      <c r="G48" s="339" t="s">
        <v>213</v>
      </c>
      <c r="H48" s="93" t="s">
        <v>2776</v>
      </c>
      <c r="I48" s="823"/>
      <c r="J48" s="125" t="s">
        <v>22</v>
      </c>
      <c r="K48" s="125" t="s">
        <v>22</v>
      </c>
      <c r="M48" s="788"/>
    </row>
    <row r="49" spans="1:16" s="336" customFormat="1" ht="34.5" customHeight="1">
      <c r="A49" s="789">
        <v>45</v>
      </c>
      <c r="B49" s="814" t="s">
        <v>1265</v>
      </c>
      <c r="C49" s="114">
        <v>2200</v>
      </c>
      <c r="D49" s="113" t="s">
        <v>267</v>
      </c>
      <c r="E49" s="815" t="s">
        <v>2777</v>
      </c>
      <c r="F49" s="113" t="s">
        <v>65</v>
      </c>
      <c r="G49" s="339" t="s">
        <v>213</v>
      </c>
      <c r="H49" s="93" t="s">
        <v>2778</v>
      </c>
      <c r="I49" s="824" t="s">
        <v>292</v>
      </c>
      <c r="J49" s="125" t="s">
        <v>26</v>
      </c>
      <c r="K49" s="125" t="s">
        <v>524</v>
      </c>
      <c r="M49" s="788"/>
    </row>
    <row r="50" spans="1:16" s="336" customFormat="1" ht="88.5" customHeight="1">
      <c r="A50" s="789">
        <v>46</v>
      </c>
      <c r="B50" s="125" t="s">
        <v>1815</v>
      </c>
      <c r="C50" s="114">
        <v>2630</v>
      </c>
      <c r="D50" s="113" t="s">
        <v>267</v>
      </c>
      <c r="E50" s="113" t="s">
        <v>2779</v>
      </c>
      <c r="F50" s="113" t="s">
        <v>65</v>
      </c>
      <c r="G50" s="339" t="s">
        <v>213</v>
      </c>
      <c r="H50" s="93" t="s">
        <v>2780</v>
      </c>
      <c r="I50" s="825"/>
      <c r="J50" s="125" t="s">
        <v>88</v>
      </c>
      <c r="K50" s="125" t="s">
        <v>24</v>
      </c>
      <c r="M50" s="788"/>
    </row>
    <row r="51" spans="1:16" s="336" customFormat="1" ht="70.5" customHeight="1">
      <c r="A51" s="789">
        <v>47</v>
      </c>
      <c r="B51" s="125" t="s">
        <v>2781</v>
      </c>
      <c r="C51" s="114">
        <v>3020</v>
      </c>
      <c r="D51" s="113" t="s">
        <v>267</v>
      </c>
      <c r="E51" s="113" t="s">
        <v>2782</v>
      </c>
      <c r="F51" s="113" t="s">
        <v>65</v>
      </c>
      <c r="G51" s="339" t="s">
        <v>213</v>
      </c>
      <c r="H51" s="119" t="s">
        <v>2783</v>
      </c>
      <c r="I51" s="285" t="s">
        <v>292</v>
      </c>
      <c r="J51" s="125" t="s">
        <v>26</v>
      </c>
      <c r="K51" s="125" t="s">
        <v>524</v>
      </c>
      <c r="M51" s="788"/>
    </row>
    <row r="52" spans="1:16" s="835" customFormat="1">
      <c r="A52" s="828">
        <v>48</v>
      </c>
      <c r="B52" s="829" t="s">
        <v>667</v>
      </c>
      <c r="C52" s="830" t="s">
        <v>716</v>
      </c>
      <c r="D52" s="831" t="s">
        <v>2784</v>
      </c>
      <c r="E52" s="831"/>
      <c r="F52" s="831" t="s">
        <v>65</v>
      </c>
      <c r="G52" s="832" t="s">
        <v>213</v>
      </c>
      <c r="H52" s="833" t="s">
        <v>2785</v>
      </c>
      <c r="I52" s="834"/>
      <c r="J52" s="829" t="s">
        <v>22</v>
      </c>
      <c r="K52" s="829" t="s">
        <v>22</v>
      </c>
      <c r="M52" s="836"/>
    </row>
    <row r="53" spans="1:16" s="336" customFormat="1" ht="70.5" customHeight="1">
      <c r="A53" s="789">
        <v>49</v>
      </c>
      <c r="B53" s="177" t="s">
        <v>1188</v>
      </c>
      <c r="C53" s="186">
        <v>5250</v>
      </c>
      <c r="D53" s="693" t="s">
        <v>267</v>
      </c>
      <c r="E53" s="771"/>
      <c r="F53" s="87" t="s">
        <v>65</v>
      </c>
      <c r="G53" s="177" t="s">
        <v>213</v>
      </c>
      <c r="H53" s="93" t="s">
        <v>2786</v>
      </c>
      <c r="I53" s="147" t="s">
        <v>2787</v>
      </c>
      <c r="J53" s="177" t="s">
        <v>18</v>
      </c>
      <c r="K53" s="177" t="s">
        <v>18</v>
      </c>
      <c r="M53" s="788"/>
    </row>
    <row r="54" spans="1:16" s="841" customFormat="1" ht="91.7">
      <c r="A54" s="840">
        <v>50</v>
      </c>
      <c r="B54" s="843" t="s">
        <v>738</v>
      </c>
      <c r="C54" s="844">
        <v>17000</v>
      </c>
      <c r="D54" s="845" t="s">
        <v>394</v>
      </c>
      <c r="E54" s="845"/>
      <c r="F54" s="845" t="s">
        <v>65</v>
      </c>
      <c r="G54" s="846" t="s">
        <v>213</v>
      </c>
      <c r="H54" s="684" t="s">
        <v>2788</v>
      </c>
      <c r="I54" s="847" t="s">
        <v>2789</v>
      </c>
      <c r="J54" s="843" t="s">
        <v>88</v>
      </c>
      <c r="K54" s="843" t="s">
        <v>2790</v>
      </c>
      <c r="M54" s="842"/>
    </row>
    <row r="55" spans="1:16" s="358" customFormat="1" ht="70.5" hidden="1" customHeight="1">
      <c r="A55" s="817"/>
      <c r="B55" s="818" t="s">
        <v>1830</v>
      </c>
      <c r="C55" s="819" t="s">
        <v>716</v>
      </c>
      <c r="D55" s="386" t="s">
        <v>2784</v>
      </c>
      <c r="E55" s="386"/>
      <c r="F55" s="386" t="s">
        <v>65</v>
      </c>
      <c r="G55" s="826" t="s">
        <v>213</v>
      </c>
      <c r="H55" s="355" t="s">
        <v>2791</v>
      </c>
      <c r="I55" s="827"/>
      <c r="J55" s="818" t="s">
        <v>24</v>
      </c>
      <c r="K55" s="818" t="s">
        <v>24</v>
      </c>
      <c r="M55" s="822"/>
    </row>
    <row r="56" spans="1:16" s="358" customFormat="1" ht="70.5" hidden="1" customHeight="1">
      <c r="A56" s="817"/>
      <c r="B56" s="818" t="s">
        <v>962</v>
      </c>
      <c r="C56" s="819" t="s">
        <v>716</v>
      </c>
      <c r="D56" s="386" t="s">
        <v>2792</v>
      </c>
      <c r="E56" s="386" t="s">
        <v>2782</v>
      </c>
      <c r="F56" s="386" t="s">
        <v>65</v>
      </c>
      <c r="G56" s="818" t="s">
        <v>1271</v>
      </c>
      <c r="H56" s="820" t="s">
        <v>2793</v>
      </c>
      <c r="I56" s="821" t="s">
        <v>2794</v>
      </c>
      <c r="J56" s="818" t="s">
        <v>24</v>
      </c>
      <c r="K56" s="386" t="s">
        <v>24</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92" t="s">
        <v>1531</v>
      </c>
      <c r="E58" s="3693"/>
      <c r="F58" s="3694"/>
      <c r="G58" s="3694"/>
      <c r="H58" s="3694"/>
      <c r="I58" s="3695"/>
      <c r="M58" s="667"/>
      <c r="N58" s="3"/>
      <c r="O58" s="3"/>
      <c r="P58" s="3"/>
    </row>
    <row r="59" spans="1:16" s="1" customFormat="1">
      <c r="A59" s="359"/>
      <c r="C59" s="2"/>
      <c r="D59" s="3696"/>
      <c r="E59" s="3694"/>
      <c r="F59" s="3694"/>
      <c r="G59" s="3694"/>
      <c r="H59" s="3694"/>
      <c r="I59" s="3697"/>
      <c r="M59" s="667"/>
      <c r="N59" s="3"/>
      <c r="O59" s="3"/>
      <c r="P59" s="3"/>
    </row>
    <row r="60" spans="1:16" s="1" customFormat="1">
      <c r="A60" s="359"/>
      <c r="C60" s="2"/>
      <c r="D60" s="3696"/>
      <c r="E60" s="3694"/>
      <c r="F60" s="3694"/>
      <c r="G60" s="3694"/>
      <c r="H60" s="3694"/>
      <c r="I60" s="3697"/>
      <c r="M60" s="667"/>
      <c r="N60" s="3"/>
      <c r="O60" s="3"/>
      <c r="P60" s="3"/>
    </row>
    <row r="61" spans="1:16" s="1" customFormat="1">
      <c r="A61" s="359"/>
      <c r="C61" s="2"/>
      <c r="D61" s="3698"/>
      <c r="E61" s="3699"/>
      <c r="F61" s="3699"/>
      <c r="G61" s="3699"/>
      <c r="H61" s="3699"/>
      <c r="I61" s="3700"/>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8" priority="510"/>
  </conditionalFormatting>
  <conditionalFormatting sqref="A4">
    <cfRule type="duplicateValues" dxfId="537" priority="21"/>
  </conditionalFormatting>
  <conditionalFormatting sqref="A6">
    <cfRule type="duplicateValues" dxfId="536" priority="478"/>
  </conditionalFormatting>
  <conditionalFormatting sqref="A7">
    <cfRule type="duplicateValues" dxfId="535" priority="11"/>
  </conditionalFormatting>
  <conditionalFormatting sqref="A8">
    <cfRule type="duplicateValues" dxfId="534" priority="10"/>
  </conditionalFormatting>
  <conditionalFormatting sqref="A9">
    <cfRule type="duplicateValues" dxfId="533" priority="17"/>
  </conditionalFormatting>
  <conditionalFormatting sqref="A10">
    <cfRule type="duplicateValues" dxfId="532" priority="9"/>
  </conditionalFormatting>
  <conditionalFormatting sqref="A11:A12 A14 A16:A18">
    <cfRule type="duplicateValues" dxfId="531" priority="497"/>
  </conditionalFormatting>
  <conditionalFormatting sqref="A19">
    <cfRule type="duplicateValues" dxfId="530" priority="6"/>
  </conditionalFormatting>
  <conditionalFormatting sqref="A21 A23">
    <cfRule type="duplicateValues" dxfId="529" priority="4"/>
  </conditionalFormatting>
  <conditionalFormatting sqref="A22">
    <cfRule type="duplicateValues" dxfId="528" priority="5"/>
  </conditionalFormatting>
  <conditionalFormatting sqref="A24">
    <cfRule type="duplicateValues" dxfId="527" priority="2"/>
  </conditionalFormatting>
  <conditionalFormatting sqref="A25">
    <cfRule type="duplicateValues" dxfId="526" priority="3"/>
  </conditionalFormatting>
  <conditionalFormatting sqref="A36">
    <cfRule type="duplicateValues" dxfId="525" priority="1"/>
  </conditionalFormatting>
  <conditionalFormatting sqref="B3">
    <cfRule type="duplicateValues" dxfId="524" priority="25"/>
    <cfRule type="duplicateValues" dxfId="523" priority="26"/>
    <cfRule type="duplicateValues" dxfId="522" priority="27"/>
  </conditionalFormatting>
  <conditionalFormatting sqref="B4">
    <cfRule type="duplicateValues" dxfId="521" priority="18"/>
    <cfRule type="duplicateValues" dxfId="520" priority="19"/>
    <cfRule type="duplicateValues" dxfId="519"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topRight"/>
      <selection pane="bottomLeft"/>
      <selection pane="bottomRight"/>
    </sheetView>
  </sheetViews>
  <sheetFormatPr defaultColWidth="25.625" defaultRowHeight="18.350000000000001"/>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37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375" style="3" customWidth="1"/>
    <col min="16" max="16" width="34.625" style="3" customWidth="1"/>
    <col min="17" max="16384" width="25.625" style="3"/>
  </cols>
  <sheetData>
    <row r="1" spans="1:15" ht="17.350000000000001" hidden="1" customHeight="1">
      <c r="B1" s="10"/>
      <c r="C1" s="3704"/>
      <c r="D1" s="3704"/>
      <c r="E1" s="3704"/>
      <c r="F1" s="3704"/>
      <c r="G1" s="3704"/>
      <c r="H1" s="3704"/>
      <c r="I1" s="3704"/>
    </row>
    <row r="2" spans="1:15" ht="39.75" customHeight="1">
      <c r="A2" s="3684" t="s">
        <v>2795</v>
      </c>
      <c r="B2" s="3684"/>
      <c r="C2" s="3684"/>
      <c r="D2" s="3684"/>
      <c r="E2" s="3684"/>
      <c r="F2" s="3684"/>
      <c r="G2" s="3684"/>
      <c r="H2" s="3684"/>
      <c r="I2" s="3684"/>
      <c r="J2" s="194"/>
      <c r="K2" s="194"/>
      <c r="L2" s="195"/>
      <c r="M2" s="509"/>
      <c r="N2" s="196"/>
      <c r="O2" s="197"/>
    </row>
    <row r="3" spans="1:15" ht="23.95" customHeight="1">
      <c r="A3" s="360"/>
      <c r="B3" s="385"/>
      <c r="C3" s="504">
        <f>SUBTOTAL(9,C5:C199)</f>
        <v>207387</v>
      </c>
      <c r="D3" s="378"/>
      <c r="E3" s="378"/>
      <c r="F3" s="201"/>
      <c r="G3" s="199"/>
      <c r="H3" s="202"/>
      <c r="I3" s="3705">
        <f ca="1">TODAY()</f>
        <v>45988</v>
      </c>
      <c r="J3" s="3705"/>
      <c r="K3" s="203"/>
      <c r="L3" s="203"/>
      <c r="M3" s="510"/>
      <c r="N3" s="197"/>
      <c r="O3" s="197"/>
    </row>
    <row r="4" spans="1:15" s="7" customFormat="1" ht="48.1" customHeight="1">
      <c r="A4" s="361" t="s">
        <v>48</v>
      </c>
      <c r="B4" s="204" t="s">
        <v>1425</v>
      </c>
      <c r="C4" s="205" t="s">
        <v>50</v>
      </c>
      <c r="D4" s="204" t="s">
        <v>51</v>
      </c>
      <c r="E4" s="204" t="s">
        <v>53</v>
      </c>
      <c r="F4" s="204" t="s">
        <v>55</v>
      </c>
      <c r="G4" s="204" t="s">
        <v>56</v>
      </c>
      <c r="H4" s="206" t="s">
        <v>57</v>
      </c>
      <c r="I4" s="204" t="s">
        <v>58</v>
      </c>
      <c r="J4" s="204" t="s">
        <v>52</v>
      </c>
      <c r="K4" s="204" t="s">
        <v>1094</v>
      </c>
      <c r="L4" s="204" t="s">
        <v>1256</v>
      </c>
      <c r="M4" s="511" t="s">
        <v>381</v>
      </c>
      <c r="N4" s="325" t="s">
        <v>382</v>
      </c>
      <c r="O4" s="207">
        <f>SUM(O5:O11)</f>
        <v>134450</v>
      </c>
    </row>
    <row r="5" spans="1:15" s="333" customFormat="1" ht="293.45">
      <c r="A5" s="553" cm="1">
        <f t="array" ref="A5:A39">_xlfn.SEQUENCE(35,1,1,)</f>
        <v>1</v>
      </c>
      <c r="B5" s="554" t="s">
        <v>2796</v>
      </c>
      <c r="C5" s="555">
        <v>26500</v>
      </c>
      <c r="D5" s="556" t="s">
        <v>267</v>
      </c>
      <c r="E5" s="533" t="s">
        <v>2797</v>
      </c>
      <c r="F5" s="554" t="s">
        <v>65</v>
      </c>
      <c r="G5" s="557" t="s">
        <v>664</v>
      </c>
      <c r="H5" s="558" t="s">
        <v>2798</v>
      </c>
      <c r="I5" s="559" t="s">
        <v>2799</v>
      </c>
      <c r="J5" s="556" t="s">
        <v>2800</v>
      </c>
      <c r="K5" s="554" t="s">
        <v>18</v>
      </c>
      <c r="L5" s="556"/>
      <c r="M5" s="560">
        <f>C5</f>
        <v>26500</v>
      </c>
      <c r="N5" s="561" t="s">
        <v>22</v>
      </c>
      <c r="O5" s="562">
        <f t="shared" ref="O5:O10" si="0">SUMIF($J:$J,N5,M:M)</f>
        <v>57350</v>
      </c>
    </row>
    <row r="6" spans="1:15" s="542" customFormat="1" ht="86.3" customHeight="1">
      <c r="A6" s="530">
        <v>2</v>
      </c>
      <c r="B6" s="531" t="s">
        <v>649</v>
      </c>
      <c r="C6" s="532">
        <v>4300</v>
      </c>
      <c r="D6" s="533" t="s">
        <v>267</v>
      </c>
      <c r="E6" s="534" t="s">
        <v>2801</v>
      </c>
      <c r="F6" s="535" t="s">
        <v>65</v>
      </c>
      <c r="G6" s="536" t="s">
        <v>213</v>
      </c>
      <c r="H6" s="537" t="s">
        <v>2802</v>
      </c>
      <c r="I6" s="538" t="s">
        <v>2803</v>
      </c>
      <c r="J6" s="533" t="s">
        <v>24</v>
      </c>
      <c r="K6" s="531" t="s">
        <v>24</v>
      </c>
      <c r="L6" s="539"/>
      <c r="M6" s="540">
        <f>C6</f>
        <v>4300</v>
      </c>
      <c r="N6" s="535" t="s">
        <v>555</v>
      </c>
      <c r="O6" s="541">
        <f t="shared" si="0"/>
        <v>0</v>
      </c>
    </row>
    <row r="7" spans="1:15" s="552" customFormat="1" ht="153.69999999999999" customHeight="1">
      <c r="A7" s="530">
        <v>3</v>
      </c>
      <c r="B7" s="543" t="s">
        <v>1631</v>
      </c>
      <c r="C7" s="544">
        <v>7300</v>
      </c>
      <c r="D7" s="543" t="s">
        <v>267</v>
      </c>
      <c r="E7" s="543" t="s">
        <v>2804</v>
      </c>
      <c r="F7" s="545" t="s">
        <v>65</v>
      </c>
      <c r="G7" s="543" t="s">
        <v>968</v>
      </c>
      <c r="H7" s="546" t="s">
        <v>2805</v>
      </c>
      <c r="I7" s="547" t="s">
        <v>2806</v>
      </c>
      <c r="J7" s="545" t="s">
        <v>18</v>
      </c>
      <c r="K7" s="548" t="s">
        <v>18</v>
      </c>
      <c r="L7" s="535" t="s">
        <v>1564</v>
      </c>
      <c r="M7" s="549">
        <f>C7</f>
        <v>7300</v>
      </c>
      <c r="N7" s="550" t="s">
        <v>26</v>
      </c>
      <c r="O7" s="551">
        <f t="shared" si="0"/>
        <v>7800</v>
      </c>
    </row>
    <row r="8" spans="1:15" s="333" customFormat="1" ht="225.7" customHeight="1">
      <c r="A8" s="567">
        <v>4</v>
      </c>
      <c r="B8" s="545" t="s">
        <v>2807</v>
      </c>
      <c r="C8" s="568">
        <v>12000</v>
      </c>
      <c r="D8" s="569" t="s">
        <v>267</v>
      </c>
      <c r="E8" s="569" t="s">
        <v>2808</v>
      </c>
      <c r="F8" s="545" t="s">
        <v>65</v>
      </c>
      <c r="G8" s="570" t="s">
        <v>213</v>
      </c>
      <c r="H8" s="571" t="s">
        <v>2809</v>
      </c>
      <c r="I8" s="572" t="s">
        <v>2810</v>
      </c>
      <c r="J8" s="569" t="s">
        <v>22</v>
      </c>
      <c r="K8" s="569" t="s">
        <v>22</v>
      </c>
      <c r="L8" s="569"/>
      <c r="M8" s="573">
        <f t="shared" ref="M8" si="1">C8</f>
        <v>12000</v>
      </c>
      <c r="N8" s="574" t="s">
        <v>18</v>
      </c>
      <c r="O8" s="562">
        <f t="shared" si="0"/>
        <v>18800</v>
      </c>
    </row>
    <row r="9" spans="1:15" s="333" customFormat="1" ht="70.5" customHeight="1">
      <c r="A9" s="567">
        <v>5</v>
      </c>
      <c r="B9" s="545" t="s">
        <v>1254</v>
      </c>
      <c r="C9" s="568">
        <v>4420</v>
      </c>
      <c r="D9" s="569" t="s">
        <v>267</v>
      </c>
      <c r="E9" s="569" t="s">
        <v>2811</v>
      </c>
      <c r="F9" s="545" t="s">
        <v>65</v>
      </c>
      <c r="G9" s="570" t="s">
        <v>66</v>
      </c>
      <c r="H9" s="571" t="s">
        <v>2812</v>
      </c>
      <c r="I9" s="572"/>
      <c r="J9" s="569" t="s">
        <v>24</v>
      </c>
      <c r="K9" s="570" t="s">
        <v>24</v>
      </c>
      <c r="L9" s="556" t="s">
        <v>1569</v>
      </c>
      <c r="M9" s="630">
        <f t="shared" ref="M9:M32" si="2">C9</f>
        <v>4420</v>
      </c>
      <c r="N9" s="611" t="s">
        <v>88</v>
      </c>
      <c r="O9" s="562">
        <f t="shared" si="0"/>
        <v>34960</v>
      </c>
    </row>
    <row r="10" spans="1:15" s="564" customFormat="1" ht="102.75" customHeight="1">
      <c r="A10" s="563">
        <v>6</v>
      </c>
      <c r="B10" s="354" t="s">
        <v>2813</v>
      </c>
      <c r="C10" s="353" t="s">
        <v>716</v>
      </c>
      <c r="D10" s="381" t="s">
        <v>2814</v>
      </c>
      <c r="E10" s="381">
        <v>7.12</v>
      </c>
      <c r="F10" s="354" t="s">
        <v>65</v>
      </c>
      <c r="G10" s="381" t="s">
        <v>1305</v>
      </c>
      <c r="H10" s="566" t="s">
        <v>2815</v>
      </c>
      <c r="I10" s="565" t="s">
        <v>2816</v>
      </c>
      <c r="J10" s="352" t="s">
        <v>88</v>
      </c>
      <c r="K10" s="628" t="s">
        <v>24</v>
      </c>
      <c r="L10" s="381"/>
      <c r="M10" s="631" t="str">
        <f t="shared" si="2"/>
        <v>HỦY</v>
      </c>
      <c r="N10" s="535" t="s">
        <v>24</v>
      </c>
      <c r="O10" s="610">
        <f t="shared" si="0"/>
        <v>15540</v>
      </c>
    </row>
    <row r="11" spans="1:15" s="552" customFormat="1" ht="74.25" customHeight="1">
      <c r="A11" s="575">
        <v>7</v>
      </c>
      <c r="B11" s="576" t="s">
        <v>1128</v>
      </c>
      <c r="C11" s="577">
        <v>4800</v>
      </c>
      <c r="D11" s="578" t="s">
        <v>267</v>
      </c>
      <c r="E11" s="578" t="s">
        <v>2817</v>
      </c>
      <c r="F11" s="545" t="s">
        <v>65</v>
      </c>
      <c r="G11" s="569" t="s">
        <v>142</v>
      </c>
      <c r="H11" s="579" t="s">
        <v>2818</v>
      </c>
      <c r="I11" s="580" t="s">
        <v>2819</v>
      </c>
      <c r="J11" s="581" t="s">
        <v>88</v>
      </c>
      <c r="K11" s="629" t="s">
        <v>24</v>
      </c>
      <c r="L11" s="556" t="s">
        <v>458</v>
      </c>
      <c r="M11" s="630">
        <f t="shared" si="2"/>
        <v>4800</v>
      </c>
      <c r="O11" s="582"/>
    </row>
    <row r="12" spans="1:15" s="552" customFormat="1" ht="74.25" customHeight="1">
      <c r="A12" s="575">
        <v>8</v>
      </c>
      <c r="B12" s="576" t="s">
        <v>1452</v>
      </c>
      <c r="C12" s="577">
        <v>2300</v>
      </c>
      <c r="D12" s="578" t="s">
        <v>267</v>
      </c>
      <c r="E12" s="578" t="s">
        <v>2820</v>
      </c>
      <c r="F12" s="545" t="s">
        <v>65</v>
      </c>
      <c r="G12" s="569" t="s">
        <v>213</v>
      </c>
      <c r="H12" s="579" t="s">
        <v>2821</v>
      </c>
      <c r="I12" s="580" t="s">
        <v>2822</v>
      </c>
      <c r="J12" s="581" t="s">
        <v>26</v>
      </c>
      <c r="K12" s="629" t="s">
        <v>24</v>
      </c>
      <c r="L12" s="556" t="s">
        <v>1564</v>
      </c>
      <c r="M12" s="630">
        <f t="shared" si="2"/>
        <v>2300</v>
      </c>
      <c r="O12" s="582"/>
    </row>
    <row r="13" spans="1:15" s="552" customFormat="1" ht="74.25" customHeight="1">
      <c r="A13" s="575">
        <v>9</v>
      </c>
      <c r="B13" s="576" t="s">
        <v>2823</v>
      </c>
      <c r="C13" s="577">
        <v>2800</v>
      </c>
      <c r="D13" s="585" t="s">
        <v>267</v>
      </c>
      <c r="E13" s="585" t="s">
        <v>2824</v>
      </c>
      <c r="F13" s="545" t="s">
        <v>65</v>
      </c>
      <c r="G13" s="569" t="s">
        <v>213</v>
      </c>
      <c r="H13" s="579" t="s">
        <v>2825</v>
      </c>
      <c r="I13" s="586"/>
      <c r="J13" s="581" t="s">
        <v>24</v>
      </c>
      <c r="K13" s="629" t="s">
        <v>24</v>
      </c>
      <c r="L13" s="556"/>
      <c r="M13" s="630">
        <f t="shared" si="2"/>
        <v>2800</v>
      </c>
      <c r="O13" s="582"/>
    </row>
    <row r="14" spans="1:15" s="552" customFormat="1" ht="92.25" customHeight="1">
      <c r="A14" s="575">
        <v>10</v>
      </c>
      <c r="B14" s="576" t="s">
        <v>1707</v>
      </c>
      <c r="C14" s="584">
        <v>4020</v>
      </c>
      <c r="D14" s="556" t="s">
        <v>267</v>
      </c>
      <c r="E14" s="556" t="s">
        <v>2826</v>
      </c>
      <c r="F14" s="554" t="s">
        <v>65</v>
      </c>
      <c r="G14" s="556" t="s">
        <v>213</v>
      </c>
      <c r="H14" s="558" t="s">
        <v>2827</v>
      </c>
      <c r="I14" s="580" t="s">
        <v>2828</v>
      </c>
      <c r="J14" s="554" t="s">
        <v>24</v>
      </c>
      <c r="K14" s="591" t="s">
        <v>24</v>
      </c>
      <c r="L14" s="556"/>
      <c r="M14" s="613">
        <f t="shared" si="2"/>
        <v>4020</v>
      </c>
      <c r="O14" s="582"/>
    </row>
    <row r="15" spans="1:15" s="552" customFormat="1" ht="93.1" customHeight="1">
      <c r="A15" s="575">
        <v>11</v>
      </c>
      <c r="B15" s="554" t="s">
        <v>1498</v>
      </c>
      <c r="C15" s="584">
        <v>4200</v>
      </c>
      <c r="D15" s="556" t="s">
        <v>267</v>
      </c>
      <c r="E15" s="556" t="s">
        <v>2829</v>
      </c>
      <c r="F15" s="554" t="s">
        <v>65</v>
      </c>
      <c r="G15" s="556" t="s">
        <v>1305</v>
      </c>
      <c r="H15" s="558" t="s">
        <v>2830</v>
      </c>
      <c r="I15" s="580"/>
      <c r="J15" s="554" t="s">
        <v>18</v>
      </c>
      <c r="K15" s="554" t="s">
        <v>18</v>
      </c>
      <c r="L15" s="585"/>
      <c r="M15" s="583">
        <f t="shared" si="2"/>
        <v>4200</v>
      </c>
      <c r="O15" s="582"/>
    </row>
    <row r="16" spans="1:15" s="552" customFormat="1" ht="93.1" customHeight="1">
      <c r="A16" s="575">
        <v>12</v>
      </c>
      <c r="B16" s="554" t="s">
        <v>2831</v>
      </c>
      <c r="C16" s="584">
        <v>4860</v>
      </c>
      <c r="D16" s="556" t="s">
        <v>267</v>
      </c>
      <c r="E16" s="556" t="s">
        <v>2832</v>
      </c>
      <c r="F16" s="554" t="s">
        <v>65</v>
      </c>
      <c r="G16" s="556" t="s">
        <v>1445</v>
      </c>
      <c r="H16" s="571" t="s">
        <v>2833</v>
      </c>
      <c r="I16" s="580" t="s">
        <v>2834</v>
      </c>
      <c r="J16" s="554" t="s">
        <v>88</v>
      </c>
      <c r="K16" s="591" t="s">
        <v>24</v>
      </c>
      <c r="L16" s="556"/>
      <c r="M16" s="613">
        <f t="shared" si="2"/>
        <v>4860</v>
      </c>
      <c r="O16" s="582"/>
    </row>
    <row r="17" spans="1:15" s="552" customFormat="1" ht="98.35" customHeight="1">
      <c r="A17" s="575">
        <v>13</v>
      </c>
      <c r="B17" s="554" t="s">
        <v>1191</v>
      </c>
      <c r="C17" s="555">
        <v>5000</v>
      </c>
      <c r="D17" s="557" t="s">
        <v>267</v>
      </c>
      <c r="E17" s="557" t="s">
        <v>2835</v>
      </c>
      <c r="F17" s="554" t="s">
        <v>65</v>
      </c>
      <c r="G17" s="556" t="s">
        <v>2311</v>
      </c>
      <c r="H17" s="571" t="s">
        <v>2836</v>
      </c>
      <c r="I17" s="588" t="s">
        <v>2837</v>
      </c>
      <c r="J17" s="589" t="s">
        <v>22</v>
      </c>
      <c r="K17" s="591" t="s">
        <v>1325</v>
      </c>
      <c r="L17" s="556"/>
      <c r="M17" s="613">
        <f>C17</f>
        <v>5000</v>
      </c>
      <c r="O17" s="582"/>
    </row>
    <row r="18" spans="1:15" s="552" customFormat="1" ht="97.5" customHeight="1">
      <c r="A18" s="590">
        <v>14</v>
      </c>
      <c r="B18" s="554" t="s">
        <v>1134</v>
      </c>
      <c r="C18" s="555">
        <v>3300</v>
      </c>
      <c r="D18" s="557" t="s">
        <v>267</v>
      </c>
      <c r="E18" s="556" t="s">
        <v>2838</v>
      </c>
      <c r="F18" s="591" t="s">
        <v>65</v>
      </c>
      <c r="G18" s="556" t="s">
        <v>2311</v>
      </c>
      <c r="H18" s="592" t="s">
        <v>2839</v>
      </c>
      <c r="I18" s="593" t="s">
        <v>2840</v>
      </c>
      <c r="J18" s="554" t="s">
        <v>26</v>
      </c>
      <c r="K18" s="591" t="s">
        <v>1325</v>
      </c>
      <c r="L18" s="556"/>
      <c r="M18" s="613">
        <f t="shared" si="2"/>
        <v>3300</v>
      </c>
      <c r="O18" s="582"/>
    </row>
    <row r="19" spans="1:15" s="552" customFormat="1" ht="82.55" customHeight="1">
      <c r="A19" s="590">
        <v>15</v>
      </c>
      <c r="B19" s="554" t="s">
        <v>2841</v>
      </c>
      <c r="C19" s="555">
        <v>5200</v>
      </c>
      <c r="D19" s="557" t="s">
        <v>267</v>
      </c>
      <c r="E19" s="599" t="s">
        <v>2842</v>
      </c>
      <c r="F19" s="554" t="s">
        <v>65</v>
      </c>
      <c r="G19" s="600" t="s">
        <v>782</v>
      </c>
      <c r="H19" s="601" t="s">
        <v>2843</v>
      </c>
      <c r="I19" s="533" t="s">
        <v>2844</v>
      </c>
      <c r="J19" s="589" t="s">
        <v>88</v>
      </c>
      <c r="K19" s="591" t="s">
        <v>24</v>
      </c>
      <c r="L19" s="556"/>
      <c r="M19" s="613">
        <f>C19</f>
        <v>5200</v>
      </c>
      <c r="O19" s="598"/>
    </row>
    <row r="20" spans="1:15" s="552" customFormat="1" ht="133.5" customHeight="1">
      <c r="A20" s="575">
        <v>16</v>
      </c>
      <c r="B20" s="594" t="s">
        <v>1631</v>
      </c>
      <c r="C20" s="577">
        <v>7300</v>
      </c>
      <c r="D20" s="557" t="s">
        <v>267</v>
      </c>
      <c r="E20" s="595" t="s">
        <v>2845</v>
      </c>
      <c r="F20" s="596" t="s">
        <v>65</v>
      </c>
      <c r="G20" s="556" t="s">
        <v>1445</v>
      </c>
      <c r="H20" s="597" t="s">
        <v>2846</v>
      </c>
      <c r="I20" s="588"/>
      <c r="J20" s="576" t="s">
        <v>18</v>
      </c>
      <c r="K20" s="596" t="s">
        <v>18</v>
      </c>
      <c r="L20" s="556" t="s">
        <v>2060</v>
      </c>
      <c r="M20" s="627">
        <f t="shared" si="2"/>
        <v>7300</v>
      </c>
      <c r="O20" s="598"/>
    </row>
    <row r="21" spans="1:15" s="552" customFormat="1" ht="109.55" customHeight="1">
      <c r="A21" s="590">
        <v>17</v>
      </c>
      <c r="B21" s="554" t="s">
        <v>2847</v>
      </c>
      <c r="C21" s="555">
        <v>7250</v>
      </c>
      <c r="D21" s="557" t="s">
        <v>267</v>
      </c>
      <c r="E21" s="602" t="s">
        <v>2848</v>
      </c>
      <c r="F21" s="554" t="s">
        <v>65</v>
      </c>
      <c r="G21" s="578" t="s">
        <v>2849</v>
      </c>
      <c r="H21" s="603" t="s">
        <v>2850</v>
      </c>
      <c r="I21" s="533" t="s">
        <v>2851</v>
      </c>
      <c r="J21" s="554" t="s">
        <v>22</v>
      </c>
      <c r="K21" s="591" t="s">
        <v>22</v>
      </c>
      <c r="L21" s="556" t="s">
        <v>2060</v>
      </c>
      <c r="M21" s="613">
        <f>C21</f>
        <v>7250</v>
      </c>
      <c r="O21" s="582"/>
    </row>
    <row r="22" spans="1:15" s="552" customFormat="1" ht="90" customHeight="1">
      <c r="A22" s="575">
        <v>18</v>
      </c>
      <c r="B22" s="554" t="s">
        <v>2061</v>
      </c>
      <c r="C22" s="555">
        <v>5050</v>
      </c>
      <c r="D22" s="604" t="s">
        <v>267</v>
      </c>
      <c r="E22" s="604"/>
      <c r="F22" s="554" t="s">
        <v>65</v>
      </c>
      <c r="G22" s="600" t="s">
        <v>213</v>
      </c>
      <c r="H22" s="605" t="s">
        <v>2852</v>
      </c>
      <c r="I22" s="606" t="s">
        <v>2853</v>
      </c>
      <c r="J22" s="589" t="s">
        <v>22</v>
      </c>
      <c r="K22" s="591" t="s">
        <v>22</v>
      </c>
      <c r="L22" s="556"/>
      <c r="M22" s="613">
        <f>C22</f>
        <v>5050</v>
      </c>
      <c r="O22" s="598"/>
    </row>
    <row r="23" spans="1:15" s="552" customFormat="1" ht="88.5" customHeight="1">
      <c r="A23" s="575">
        <v>19</v>
      </c>
      <c r="B23" s="554" t="s">
        <v>1743</v>
      </c>
      <c r="C23" s="555">
        <v>3100</v>
      </c>
      <c r="D23" s="604" t="s">
        <v>1640</v>
      </c>
      <c r="E23" s="604"/>
      <c r="F23" s="554" t="s">
        <v>65</v>
      </c>
      <c r="G23" s="600" t="s">
        <v>240</v>
      </c>
      <c r="H23" s="605" t="s">
        <v>2854</v>
      </c>
      <c r="I23" s="606" t="s">
        <v>2855</v>
      </c>
      <c r="J23" s="589" t="s">
        <v>88</v>
      </c>
      <c r="K23" s="591" t="s">
        <v>524</v>
      </c>
      <c r="L23" s="556"/>
      <c r="M23" s="613">
        <f>C23</f>
        <v>3100</v>
      </c>
      <c r="O23" s="582"/>
    </row>
    <row r="24" spans="1:15" s="552" customFormat="1" ht="88.5" customHeight="1">
      <c r="A24" s="575">
        <v>20</v>
      </c>
      <c r="B24" s="554" t="s">
        <v>1265</v>
      </c>
      <c r="C24" s="555">
        <v>2200</v>
      </c>
      <c r="D24" s="604" t="s">
        <v>1640</v>
      </c>
      <c r="E24" s="604" t="s">
        <v>2856</v>
      </c>
      <c r="F24" s="554" t="s">
        <v>65</v>
      </c>
      <c r="G24" s="600" t="s">
        <v>213</v>
      </c>
      <c r="H24" s="605" t="s">
        <v>2857</v>
      </c>
      <c r="I24" s="606"/>
      <c r="J24" s="589" t="s">
        <v>26</v>
      </c>
      <c r="K24" s="591" t="s">
        <v>24</v>
      </c>
      <c r="L24" s="556"/>
      <c r="M24" s="613">
        <f>C24</f>
        <v>2200</v>
      </c>
      <c r="O24" s="582"/>
    </row>
    <row r="25" spans="1:15" s="640" customFormat="1" ht="185.95" customHeight="1">
      <c r="A25" s="632">
        <v>21</v>
      </c>
      <c r="B25" s="633" t="s">
        <v>1461</v>
      </c>
      <c r="C25" s="634">
        <v>17000</v>
      </c>
      <c r="D25" s="635" t="s">
        <v>1640</v>
      </c>
      <c r="E25" s="635" t="s">
        <v>2858</v>
      </c>
      <c r="F25" s="633" t="s">
        <v>65</v>
      </c>
      <c r="G25" s="636" t="s">
        <v>462</v>
      </c>
      <c r="H25" s="601" t="s">
        <v>2859</v>
      </c>
      <c r="I25" s="580" t="s">
        <v>2860</v>
      </c>
      <c r="J25" s="637" t="s">
        <v>22</v>
      </c>
      <c r="K25" s="638" t="s">
        <v>22</v>
      </c>
      <c r="L25" s="602"/>
      <c r="M25" s="639">
        <f t="shared" si="2"/>
        <v>17000</v>
      </c>
      <c r="O25" s="641"/>
    </row>
    <row r="26" spans="1:15" s="552" customFormat="1" ht="146.75">
      <c r="A26" s="575">
        <v>22</v>
      </c>
      <c r="B26" s="554" t="s">
        <v>738</v>
      </c>
      <c r="C26" s="555">
        <v>17000</v>
      </c>
      <c r="D26" s="604" t="s">
        <v>267</v>
      </c>
      <c r="E26" s="604" t="s">
        <v>2861</v>
      </c>
      <c r="F26" s="554" t="s">
        <v>65</v>
      </c>
      <c r="G26" s="600" t="s">
        <v>213</v>
      </c>
      <c r="H26" s="605" t="s">
        <v>2862</v>
      </c>
      <c r="I26" s="580"/>
      <c r="J26" s="589" t="s">
        <v>88</v>
      </c>
      <c r="K26" s="591" t="s">
        <v>18</v>
      </c>
      <c r="L26" s="556"/>
      <c r="M26" s="613">
        <f>C26</f>
        <v>17000</v>
      </c>
      <c r="O26" s="582"/>
    </row>
    <row r="27" spans="1:15" s="333" customFormat="1" ht="146.75">
      <c r="A27" s="643">
        <v>23</v>
      </c>
      <c r="B27" s="554" t="s">
        <v>1722</v>
      </c>
      <c r="C27" s="555">
        <v>3650</v>
      </c>
      <c r="D27" s="556" t="s">
        <v>267</v>
      </c>
      <c r="E27" s="556" t="s">
        <v>2863</v>
      </c>
      <c r="F27" s="554" t="s">
        <v>65</v>
      </c>
      <c r="G27" s="600" t="s">
        <v>2849</v>
      </c>
      <c r="H27" s="558" t="s">
        <v>2864</v>
      </c>
      <c r="I27" s="606"/>
      <c r="J27" s="589" t="s">
        <v>22</v>
      </c>
      <c r="K27" s="591" t="s">
        <v>22</v>
      </c>
      <c r="L27" s="578"/>
      <c r="M27" s="613">
        <f t="shared" si="2"/>
        <v>3650</v>
      </c>
      <c r="N27" s="644"/>
      <c r="O27" s="644"/>
    </row>
    <row r="28" spans="1:15" s="626" customFormat="1" ht="45" hidden="1" customHeight="1">
      <c r="A28" s="614">
        <v>24</v>
      </c>
      <c r="B28" s="615" t="s">
        <v>1707</v>
      </c>
      <c r="C28" s="616" t="s">
        <v>716</v>
      </c>
      <c r="D28" s="617" t="s">
        <v>2865</v>
      </c>
      <c r="E28" s="617" t="s">
        <v>2863</v>
      </c>
      <c r="F28" s="618" t="s">
        <v>65</v>
      </c>
      <c r="G28" s="619" t="s">
        <v>213</v>
      </c>
      <c r="H28" s="620"/>
      <c r="I28" s="621"/>
      <c r="J28" s="622" t="s">
        <v>24</v>
      </c>
      <c r="K28" s="615" t="s">
        <v>24</v>
      </c>
      <c r="L28" s="623"/>
      <c r="M28" s="624" t="str">
        <f>C28</f>
        <v>HỦY</v>
      </c>
      <c r="N28" s="625"/>
      <c r="O28" s="625"/>
    </row>
    <row r="29" spans="1:15" s="542" customFormat="1" ht="45" customHeight="1">
      <c r="A29" s="645">
        <v>25</v>
      </c>
      <c r="B29" s="646" t="s">
        <v>1042</v>
      </c>
      <c r="C29" s="647">
        <v>3400</v>
      </c>
      <c r="D29" s="648" t="s">
        <v>267</v>
      </c>
      <c r="E29" s="648" t="s">
        <v>2866</v>
      </c>
      <c r="F29" s="554" t="s">
        <v>65</v>
      </c>
      <c r="G29" s="535" t="s">
        <v>213</v>
      </c>
      <c r="H29" s="649" t="s">
        <v>2867</v>
      </c>
      <c r="I29" s="650"/>
      <c r="J29" s="651" t="s">
        <v>22</v>
      </c>
      <c r="K29" s="646" t="s">
        <v>22</v>
      </c>
      <c r="L29" s="533"/>
      <c r="M29" s="613">
        <f t="shared" si="2"/>
        <v>3400</v>
      </c>
      <c r="N29" s="644"/>
      <c r="O29" s="644"/>
    </row>
    <row r="30" spans="1:15" s="661" customFormat="1" ht="95.3" customHeight="1">
      <c r="A30" s="665">
        <v>26</v>
      </c>
      <c r="B30" s="545" t="s">
        <v>572</v>
      </c>
      <c r="C30" s="662">
        <v>2787</v>
      </c>
      <c r="D30" s="545" t="s">
        <v>267</v>
      </c>
      <c r="E30" s="545" t="s">
        <v>2868</v>
      </c>
      <c r="F30" s="545" t="s">
        <v>65</v>
      </c>
      <c r="G30" s="581" t="s">
        <v>66</v>
      </c>
      <c r="H30" s="571" t="s">
        <v>2869</v>
      </c>
      <c r="I30" s="660"/>
      <c r="J30" s="554" t="s">
        <v>555</v>
      </c>
      <c r="K30" s="554" t="s">
        <v>524</v>
      </c>
      <c r="L30" s="554" t="s">
        <v>2210</v>
      </c>
      <c r="M30" s="613"/>
      <c r="N30" s="644"/>
      <c r="O30" s="644"/>
    </row>
    <row r="31" spans="1:15" s="659" customFormat="1" ht="204.8" customHeight="1">
      <c r="A31" s="673">
        <v>27</v>
      </c>
      <c r="B31" s="653" t="s">
        <v>829</v>
      </c>
      <c r="C31" s="664">
        <v>28300</v>
      </c>
      <c r="D31" s="653" t="s">
        <v>394</v>
      </c>
      <c r="E31" s="653" t="s">
        <v>2870</v>
      </c>
      <c r="F31" s="653" t="s">
        <v>65</v>
      </c>
      <c r="G31" s="653" t="s">
        <v>462</v>
      </c>
      <c r="H31" s="654" t="s">
        <v>2871</v>
      </c>
      <c r="I31" s="655" t="s">
        <v>2872</v>
      </c>
      <c r="J31" s="656" t="s">
        <v>2873</v>
      </c>
      <c r="K31" s="652" t="s">
        <v>524</v>
      </c>
      <c r="L31" s="653"/>
      <c r="M31" s="657">
        <f t="shared" si="2"/>
        <v>28300</v>
      </c>
      <c r="N31" s="658"/>
      <c r="O31" s="658"/>
    </row>
    <row r="32" spans="1:15" s="333" customFormat="1" ht="89.35" customHeight="1">
      <c r="A32" s="643">
        <v>28</v>
      </c>
      <c r="B32" s="545" t="s">
        <v>125</v>
      </c>
      <c r="C32" s="568">
        <v>4000</v>
      </c>
      <c r="D32" s="545" t="s">
        <v>267</v>
      </c>
      <c r="E32" s="545"/>
      <c r="F32" s="545" t="s">
        <v>65</v>
      </c>
      <c r="G32" s="545" t="s">
        <v>2849</v>
      </c>
      <c r="H32" s="678" t="s">
        <v>2874</v>
      </c>
      <c r="I32" s="678" t="s">
        <v>2875</v>
      </c>
      <c r="J32" s="554" t="s">
        <v>22</v>
      </c>
      <c r="K32" s="554" t="s">
        <v>22</v>
      </c>
      <c r="L32" s="674"/>
      <c r="M32" s="613">
        <f t="shared" si="2"/>
        <v>4000</v>
      </c>
      <c r="N32" s="644"/>
      <c r="O32" s="644"/>
    </row>
    <row r="33" spans="1:15" s="661" customFormat="1" ht="86.3" customHeight="1">
      <c r="A33" s="677">
        <v>29</v>
      </c>
      <c r="B33" s="554" t="s">
        <v>1631</v>
      </c>
      <c r="C33" s="675">
        <v>7300</v>
      </c>
      <c r="D33" s="554" t="s">
        <v>267</v>
      </c>
      <c r="E33" s="554"/>
      <c r="F33" s="554" t="s">
        <v>65</v>
      </c>
      <c r="G33" s="554" t="s">
        <v>213</v>
      </c>
      <c r="H33" s="649" t="s">
        <v>2876</v>
      </c>
      <c r="I33" s="650" t="s">
        <v>2877</v>
      </c>
      <c r="J33" s="589" t="s">
        <v>18</v>
      </c>
      <c r="K33" s="554" t="s">
        <v>18</v>
      </c>
      <c r="L33" s="554"/>
      <c r="M33" s="676"/>
      <c r="N33" s="644"/>
      <c r="O33" s="644"/>
    </row>
    <row r="34" spans="1:15" s="659" customFormat="1" ht="71.349999999999994" customHeight="1">
      <c r="A34" s="681">
        <v>30</v>
      </c>
      <c r="B34" s="682" t="s">
        <v>2061</v>
      </c>
      <c r="C34" s="683">
        <v>5050</v>
      </c>
      <c r="D34" s="682" t="s">
        <v>394</v>
      </c>
      <c r="E34" s="682"/>
      <c r="F34" s="682" t="s">
        <v>65</v>
      </c>
      <c r="G34" s="682" t="s">
        <v>213</v>
      </c>
      <c r="H34" s="684" t="s">
        <v>2878</v>
      </c>
      <c r="I34" s="682"/>
      <c r="J34" s="685" t="s">
        <v>22</v>
      </c>
      <c r="K34" s="682" t="s">
        <v>1325</v>
      </c>
      <c r="L34" s="682"/>
      <c r="M34" s="686"/>
      <c r="N34" s="658"/>
      <c r="O34" s="658"/>
    </row>
    <row r="35" spans="1:15" s="434" customFormat="1" ht="82.55" customHeight="1">
      <c r="A35" s="668">
        <v>31</v>
      </c>
      <c r="B35" s="680" t="s">
        <v>1254</v>
      </c>
      <c r="C35" s="193">
        <v>3000</v>
      </c>
      <c r="D35" s="607" t="s">
        <v>2879</v>
      </c>
      <c r="E35" s="669"/>
      <c r="F35" s="102" t="s">
        <v>65</v>
      </c>
      <c r="G35" s="608" t="s">
        <v>66</v>
      </c>
      <c r="H35" s="670" t="s">
        <v>2690</v>
      </c>
      <c r="I35" s="672"/>
      <c r="J35" s="608" t="s">
        <v>24</v>
      </c>
      <c r="K35" s="608" t="s">
        <v>24</v>
      </c>
      <c r="L35" s="612"/>
      <c r="M35" s="667"/>
      <c r="N35" s="433"/>
      <c r="O35" s="433"/>
    </row>
    <row r="36" spans="1:15" ht="99.7" customHeight="1">
      <c r="A36" s="671">
        <v>32</v>
      </c>
      <c r="B36" s="609"/>
      <c r="C36" s="666"/>
      <c r="D36" s="609"/>
      <c r="E36" s="609"/>
      <c r="F36" s="609"/>
      <c r="G36" s="642" t="s">
        <v>462</v>
      </c>
      <c r="H36" s="663" t="s">
        <v>2880</v>
      </c>
      <c r="I36" s="609"/>
      <c r="J36" s="609"/>
      <c r="K36" s="609"/>
      <c r="L36" s="609"/>
      <c r="M36" s="506"/>
      <c r="N36" s="433"/>
      <c r="O36" s="433"/>
    </row>
    <row r="37" spans="1:15">
      <c r="A37" s="360">
        <v>33</v>
      </c>
      <c r="B37" s="41"/>
      <c r="C37" s="37"/>
      <c r="D37" s="90"/>
      <c r="E37" s="90"/>
      <c r="F37" s="37"/>
      <c r="G37" s="41"/>
      <c r="H37" s="507" t="s">
        <v>2881</v>
      </c>
      <c r="I37" s="505"/>
      <c r="J37" s="41"/>
      <c r="K37" s="41"/>
      <c r="L37" s="41"/>
      <c r="M37" s="506"/>
      <c r="N37" s="433"/>
      <c r="O37" s="433"/>
    </row>
    <row r="38" spans="1:15">
      <c r="A38" s="360">
        <v>34</v>
      </c>
      <c r="B38" s="39"/>
      <c r="C38" s="37"/>
      <c r="D38" s="90"/>
      <c r="E38" s="90"/>
      <c r="F38" s="41"/>
      <c r="G38" s="41"/>
      <c r="H38" s="44" t="s">
        <v>2882</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27" t="s">
        <v>1531</v>
      </c>
      <c r="E42" s="3728"/>
      <c r="F42" s="3729"/>
      <c r="G42" s="3729"/>
      <c r="H42" s="3729"/>
      <c r="I42" s="3695"/>
      <c r="M42" s="508"/>
      <c r="N42" s="3"/>
      <c r="O42" s="3"/>
    </row>
    <row r="43" spans="1:15" s="1" customFormat="1">
      <c r="A43" s="359"/>
      <c r="C43" s="2"/>
      <c r="D43" s="3696"/>
      <c r="E43" s="3694"/>
      <c r="F43" s="3694"/>
      <c r="G43" s="3694"/>
      <c r="H43" s="3694"/>
      <c r="I43" s="3697"/>
      <c r="M43" s="508"/>
      <c r="N43" s="3"/>
      <c r="O43" s="3"/>
    </row>
    <row r="44" spans="1:15" s="1" customFormat="1">
      <c r="A44" s="359"/>
      <c r="C44" s="2"/>
      <c r="D44" s="3696"/>
      <c r="E44" s="3694"/>
      <c r="F44" s="3694"/>
      <c r="G44" s="3694"/>
      <c r="H44" s="3694"/>
      <c r="I44" s="3697"/>
      <c r="M44" s="508"/>
      <c r="N44" s="3"/>
      <c r="O44" s="3"/>
    </row>
    <row r="45" spans="1:15" s="1" customFormat="1">
      <c r="A45" s="359"/>
      <c r="C45" s="2"/>
      <c r="D45" s="3698"/>
      <c r="E45" s="3699"/>
      <c r="F45" s="3699"/>
      <c r="G45" s="3699"/>
      <c r="H45" s="3699"/>
      <c r="I45" s="3700"/>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8" priority="472"/>
  </conditionalFormatting>
  <conditionalFormatting sqref="A4">
    <cfRule type="duplicateValues" dxfId="517" priority="16"/>
  </conditionalFormatting>
  <conditionalFormatting sqref="A6 A27">
    <cfRule type="duplicateValues" dxfId="516" priority="26"/>
  </conditionalFormatting>
  <conditionalFormatting sqref="A7">
    <cfRule type="duplicateValues" dxfId="515" priority="25"/>
  </conditionalFormatting>
  <conditionalFormatting sqref="A8">
    <cfRule type="duplicateValues" dxfId="514" priority="27"/>
  </conditionalFormatting>
  <conditionalFormatting sqref="A9">
    <cfRule type="duplicateValues" dxfId="513" priority="7"/>
  </conditionalFormatting>
  <conditionalFormatting sqref="A11">
    <cfRule type="duplicateValues" dxfId="512" priority="6"/>
  </conditionalFormatting>
  <conditionalFormatting sqref="A13">
    <cfRule type="duplicateValues" dxfId="511" priority="5"/>
  </conditionalFormatting>
  <conditionalFormatting sqref="A14">
    <cfRule type="duplicateValues" dxfId="510" priority="4"/>
  </conditionalFormatting>
  <conditionalFormatting sqref="A16">
    <cfRule type="duplicateValues" dxfId="509" priority="3"/>
  </conditionalFormatting>
  <conditionalFormatting sqref="A22">
    <cfRule type="duplicateValues" dxfId="508" priority="466"/>
  </conditionalFormatting>
  <conditionalFormatting sqref="A26">
    <cfRule type="duplicateValues" dxfId="507" priority="1"/>
  </conditionalFormatting>
  <conditionalFormatting sqref="B3">
    <cfRule type="duplicateValues" dxfId="506" priority="28"/>
    <cfRule type="duplicateValues" dxfId="505" priority="29"/>
    <cfRule type="duplicateValues" dxfId="504" priority="30"/>
  </conditionalFormatting>
  <conditionalFormatting sqref="B4">
    <cfRule type="duplicateValues" dxfId="503" priority="13"/>
    <cfRule type="duplicateValues" dxfId="502" priority="14"/>
    <cfRule type="duplicateValues" dxfId="501"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37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350000000000001" customHeight="1">
      <c r="B1" s="10"/>
      <c r="C1" s="3671"/>
      <c r="D1" s="3671"/>
      <c r="E1" s="3671"/>
      <c r="F1" s="3671"/>
      <c r="G1" s="3671"/>
      <c r="H1" s="3671"/>
      <c r="I1" s="3671"/>
    </row>
    <row r="2" spans="1:14" ht="34.5" customHeight="1">
      <c r="A2" s="3684" t="s">
        <v>2883</v>
      </c>
      <c r="B2" s="3684"/>
      <c r="C2" s="3684"/>
      <c r="D2" s="3684"/>
      <c r="E2" s="3684"/>
      <c r="F2" s="3684"/>
      <c r="G2" s="3684"/>
      <c r="H2" s="3684"/>
      <c r="I2" s="3684"/>
      <c r="J2" s="1176"/>
      <c r="K2" s="805"/>
      <c r="L2" s="1180"/>
      <c r="M2" s="287"/>
    </row>
    <row r="3" spans="1:14" ht="36" customHeight="1">
      <c r="A3" s="360"/>
      <c r="B3" s="385"/>
      <c r="C3" s="1177">
        <f>SUBTOTAL(9,C6:C324)</f>
        <v>229669</v>
      </c>
      <c r="D3" s="849"/>
      <c r="E3" s="849"/>
      <c r="F3" s="199"/>
      <c r="G3" s="199"/>
      <c r="H3" s="202"/>
      <c r="I3" s="3686">
        <f ca="1">TODAY()</f>
        <v>45988</v>
      </c>
      <c r="J3" s="3686"/>
      <c r="K3" s="808"/>
      <c r="L3" s="287"/>
      <c r="M3" s="287"/>
    </row>
    <row r="4" spans="1:14" s="7" customFormat="1" ht="34">
      <c r="A4" s="810" t="s">
        <v>48</v>
      </c>
      <c r="B4" s="679" t="s">
        <v>380</v>
      </c>
      <c r="C4" s="1178" t="s">
        <v>50</v>
      </c>
      <c r="D4" s="679" t="s">
        <v>51</v>
      </c>
      <c r="E4" s="679" t="s">
        <v>53</v>
      </c>
      <c r="F4" s="679" t="s">
        <v>55</v>
      </c>
      <c r="G4" s="679" t="s">
        <v>56</v>
      </c>
      <c r="H4" s="812" t="s">
        <v>57</v>
      </c>
      <c r="I4" s="679" t="s">
        <v>58</v>
      </c>
      <c r="J4" s="679" t="s">
        <v>52</v>
      </c>
      <c r="K4" s="813" t="s">
        <v>381</v>
      </c>
      <c r="L4" s="753" t="s">
        <v>382</v>
      </c>
      <c r="M4" s="1181" t="e">
        <f>SUM(#REF!)</f>
        <v>#REF!</v>
      </c>
    </row>
    <row r="5" spans="1:14" s="467" customFormat="1" ht="65.25" customHeight="1">
      <c r="A5" s="786" cm="1">
        <f t="array" ref="A5:A64">_xlfn.SEQUENCE(60,1,1,)</f>
        <v>1</v>
      </c>
      <c r="B5" s="87" t="s">
        <v>320</v>
      </c>
      <c r="C5" s="1146">
        <v>12800</v>
      </c>
      <c r="D5" s="133" t="s">
        <v>267</v>
      </c>
      <c r="E5" s="133" t="s">
        <v>2884</v>
      </c>
      <c r="F5" s="87" t="s">
        <v>65</v>
      </c>
      <c r="G5" s="87" t="s">
        <v>558</v>
      </c>
      <c r="H5" s="188" t="s">
        <v>857</v>
      </c>
      <c r="I5" s="87" t="s">
        <v>858</v>
      </c>
      <c r="J5" s="87" t="s">
        <v>88</v>
      </c>
      <c r="K5" s="1204"/>
      <c r="L5" s="87"/>
      <c r="M5" s="1214">
        <f>C5</f>
        <v>12800</v>
      </c>
      <c r="N5" s="139"/>
    </row>
    <row r="6" spans="1:14" s="367" customFormat="1" ht="160.5" customHeight="1">
      <c r="A6" s="786">
        <v>2</v>
      </c>
      <c r="B6" s="87" t="s">
        <v>859</v>
      </c>
      <c r="C6" s="1146">
        <v>14370</v>
      </c>
      <c r="D6" s="133" t="s">
        <v>267</v>
      </c>
      <c r="E6" s="133" t="s">
        <v>2885</v>
      </c>
      <c r="F6" s="87" t="s">
        <v>65</v>
      </c>
      <c r="G6" s="87" t="s">
        <v>558</v>
      </c>
      <c r="H6" s="188" t="s">
        <v>2886</v>
      </c>
      <c r="I6" s="133" t="s">
        <v>862</v>
      </c>
      <c r="J6" s="87" t="s">
        <v>88</v>
      </c>
      <c r="K6" s="1204"/>
      <c r="L6" s="1211"/>
      <c r="M6" s="1151"/>
      <c r="N6" s="336"/>
    </row>
    <row r="7" spans="1:14" s="367" customFormat="1" ht="69.8" customHeight="1">
      <c r="A7" s="786">
        <v>3</v>
      </c>
      <c r="B7" s="87" t="s">
        <v>407</v>
      </c>
      <c r="C7" s="1146">
        <v>7000</v>
      </c>
      <c r="D7" s="133" t="s">
        <v>267</v>
      </c>
      <c r="E7" s="133" t="s">
        <v>2887</v>
      </c>
      <c r="F7" s="87" t="s">
        <v>65</v>
      </c>
      <c r="G7" s="87" t="s">
        <v>213</v>
      </c>
      <c r="H7" s="188" t="s">
        <v>2888</v>
      </c>
      <c r="I7" s="403"/>
      <c r="J7" s="87" t="s">
        <v>88</v>
      </c>
      <c r="K7" s="1204"/>
      <c r="L7" s="1211">
        <v>12000</v>
      </c>
      <c r="M7" s="1151"/>
      <c r="N7" s="336"/>
    </row>
    <row r="8" spans="1:14" s="1219" customFormat="1">
      <c r="A8" s="1220">
        <v>4</v>
      </c>
      <c r="B8" s="1221" t="s">
        <v>865</v>
      </c>
      <c r="C8" s="1222" t="s">
        <v>710</v>
      </c>
      <c r="D8" s="1223" t="s">
        <v>866</v>
      </c>
      <c r="E8" s="1223"/>
      <c r="F8" s="1221" t="s">
        <v>65</v>
      </c>
      <c r="G8" s="1221" t="s">
        <v>558</v>
      </c>
      <c r="H8" s="1229"/>
      <c r="I8" s="1221"/>
      <c r="J8" s="1221" t="s">
        <v>22</v>
      </c>
      <c r="K8" s="1224"/>
      <c r="L8" s="1221"/>
      <c r="M8" s="1218" t="str">
        <f>C8</f>
        <v>hủy</v>
      </c>
      <c r="N8" s="376"/>
    </row>
    <row r="9" spans="1:14" s="1" customFormat="1" ht="59.95" customHeight="1">
      <c r="A9" s="786">
        <v>5</v>
      </c>
      <c r="B9" s="87" t="s">
        <v>816</v>
      </c>
      <c r="C9" s="1146">
        <v>400</v>
      </c>
      <c r="D9" s="133" t="s">
        <v>868</v>
      </c>
      <c r="E9" s="133" t="s">
        <v>267</v>
      </c>
      <c r="F9" s="87" t="s">
        <v>869</v>
      </c>
      <c r="G9" s="87" t="s">
        <v>213</v>
      </c>
      <c r="H9" s="1230" t="s">
        <v>2889</v>
      </c>
      <c r="I9" s="87" t="s">
        <v>871</v>
      </c>
      <c r="J9" s="87" t="s">
        <v>26</v>
      </c>
      <c r="K9" s="1204"/>
      <c r="L9" s="87"/>
      <c r="M9" s="1147"/>
      <c r="N9" s="3"/>
    </row>
    <row r="10" spans="1:14" s="336" customFormat="1" ht="221.95" customHeight="1">
      <c r="A10" s="786">
        <v>6</v>
      </c>
      <c r="B10" s="87" t="s">
        <v>853</v>
      </c>
      <c r="C10" s="1146">
        <v>12500</v>
      </c>
      <c r="D10" s="133" t="s">
        <v>267</v>
      </c>
      <c r="E10" s="133" t="s">
        <v>2890</v>
      </c>
      <c r="F10" s="87" t="s">
        <v>65</v>
      </c>
      <c r="G10" s="87" t="s">
        <v>1000</v>
      </c>
      <c r="H10" s="93" t="s">
        <v>2891</v>
      </c>
      <c r="I10" s="1227"/>
      <c r="J10" s="87" t="s">
        <v>18</v>
      </c>
      <c r="K10" s="1204"/>
      <c r="L10" s="87">
        <f>12500-1000-830-200-500-2600-100-1000-1000-1000-2275</f>
        <v>1995</v>
      </c>
      <c r="M10" s="367"/>
    </row>
    <row r="11" spans="1:14" s="336" customFormat="1" ht="102.1" customHeight="1">
      <c r="A11" s="797">
        <v>7</v>
      </c>
      <c r="B11" s="91" t="s">
        <v>407</v>
      </c>
      <c r="C11" s="1140">
        <v>8895</v>
      </c>
      <c r="D11" s="133" t="s">
        <v>267</v>
      </c>
      <c r="E11" s="380" t="s">
        <v>2892</v>
      </c>
      <c r="F11" s="91" t="s">
        <v>65</v>
      </c>
      <c r="G11" s="87" t="s">
        <v>1179</v>
      </c>
      <c r="H11" s="184" t="s">
        <v>2893</v>
      </c>
      <c r="I11" s="1227"/>
      <c r="J11" s="91" t="s">
        <v>88</v>
      </c>
      <c r="K11" s="1206"/>
      <c r="L11" s="1228">
        <f>C11-1900-3950</f>
        <v>3045</v>
      </c>
      <c r="M11" s="367"/>
    </row>
    <row r="12" spans="1:14" s="367" customFormat="1" ht="158.30000000000001" customHeight="1">
      <c r="A12" s="786">
        <v>8</v>
      </c>
      <c r="B12" s="87" t="s">
        <v>320</v>
      </c>
      <c r="C12" s="1146">
        <v>12800</v>
      </c>
      <c r="D12" s="133" t="s">
        <v>267</v>
      </c>
      <c r="E12" s="133" t="s">
        <v>2894</v>
      </c>
      <c r="F12" s="87" t="s">
        <v>65</v>
      </c>
      <c r="G12" s="87" t="s">
        <v>213</v>
      </c>
      <c r="H12" s="188" t="s">
        <v>2895</v>
      </c>
      <c r="I12" s="1227"/>
      <c r="J12" s="91" t="s">
        <v>88</v>
      </c>
      <c r="K12" s="1204"/>
      <c r="L12" s="1211">
        <f>12800-3200-3700-550</f>
        <v>5350</v>
      </c>
      <c r="N12" s="336"/>
    </row>
    <row r="13" spans="1:14" ht="153" customHeight="1">
      <c r="A13" s="786">
        <v>9</v>
      </c>
      <c r="B13" s="87" t="s">
        <v>812</v>
      </c>
      <c r="C13" s="1146">
        <v>8895</v>
      </c>
      <c r="D13" s="133" t="s">
        <v>267</v>
      </c>
      <c r="E13" s="133" t="s">
        <v>2896</v>
      </c>
      <c r="F13" s="87" t="s">
        <v>65</v>
      </c>
      <c r="G13" s="87" t="s">
        <v>1179</v>
      </c>
      <c r="H13" s="188" t="s">
        <v>2897</v>
      </c>
      <c r="I13" s="1227"/>
      <c r="J13" s="87" t="s">
        <v>88</v>
      </c>
      <c r="K13" s="1226"/>
      <c r="L13" s="1248">
        <f>8900-1200-325-1000-2000</f>
        <v>4375</v>
      </c>
      <c r="M13" s="1"/>
      <c r="N13" s="1225">
        <f>13200-L13-L12</f>
        <v>3475</v>
      </c>
    </row>
    <row r="14" spans="1:14" s="1251" customFormat="1" ht="183.1" customHeight="1">
      <c r="A14" s="1242">
        <v>10</v>
      </c>
      <c r="B14" s="158" t="s">
        <v>2898</v>
      </c>
      <c r="C14" s="1243">
        <v>14370</v>
      </c>
      <c r="D14" s="1244" t="s">
        <v>267</v>
      </c>
      <c r="E14" s="1244" t="s">
        <v>2899</v>
      </c>
      <c r="F14" s="158" t="s">
        <v>65</v>
      </c>
      <c r="G14" s="158" t="s">
        <v>213</v>
      </c>
      <c r="H14" s="1245" t="s">
        <v>2900</v>
      </c>
      <c r="I14" s="1246" t="s">
        <v>2901</v>
      </c>
      <c r="J14" s="158" t="s">
        <v>88</v>
      </c>
      <c r="K14" s="1247"/>
      <c r="L14" s="1248">
        <f>1978+4975+1886+1421+1000+1000-14370</f>
        <v>-2110</v>
      </c>
      <c r="M14" s="1249"/>
      <c r="N14" s="1250"/>
    </row>
    <row r="15" spans="1:14" s="1249" customFormat="1" ht="111.1" customHeight="1">
      <c r="A15" s="1242">
        <v>11</v>
      </c>
      <c r="B15" s="158" t="s">
        <v>407</v>
      </c>
      <c r="C15" s="1243">
        <v>8750</v>
      </c>
      <c r="D15" s="1244" t="s">
        <v>267</v>
      </c>
      <c r="E15" s="1244" t="s">
        <v>2902</v>
      </c>
      <c r="F15" s="158" t="s">
        <v>65</v>
      </c>
      <c r="G15" s="158" t="s">
        <v>164</v>
      </c>
      <c r="H15" s="1252" t="s">
        <v>2903</v>
      </c>
      <c r="I15" s="1253" t="s">
        <v>2904</v>
      </c>
      <c r="J15" s="310" t="s">
        <v>88</v>
      </c>
      <c r="K15" s="1247"/>
      <c r="L15" s="158"/>
      <c r="N15" s="1251"/>
    </row>
    <row r="16" spans="1:14" s="1249" customFormat="1" ht="238.45">
      <c r="A16" s="1262">
        <v>12</v>
      </c>
      <c r="B16" s="310" t="s">
        <v>765</v>
      </c>
      <c r="C16" s="1263">
        <v>20217</v>
      </c>
      <c r="D16" s="1244" t="s">
        <v>267</v>
      </c>
      <c r="E16" s="1264" t="s">
        <v>2905</v>
      </c>
      <c r="F16" s="310" t="s">
        <v>65</v>
      </c>
      <c r="G16" s="310" t="s">
        <v>869</v>
      </c>
      <c r="H16" s="1265" t="s">
        <v>2906</v>
      </c>
      <c r="I16" s="1266" t="s">
        <v>2907</v>
      </c>
      <c r="J16" s="310" t="s">
        <v>88</v>
      </c>
      <c r="K16" s="1267"/>
      <c r="L16" s="1268">
        <f>C16-6000-600-1100-2500-4200-650-300-500-1000-1000-2000-350</f>
        <v>17</v>
      </c>
      <c r="N16" s="1251"/>
    </row>
    <row r="17" spans="1:14" s="1249" customFormat="1" ht="144.69999999999999" customHeight="1">
      <c r="A17" s="1255">
        <v>13</v>
      </c>
      <c r="B17" s="1256" t="s">
        <v>859</v>
      </c>
      <c r="C17" s="1257">
        <v>14370</v>
      </c>
      <c r="D17" s="1244" t="s">
        <v>267</v>
      </c>
      <c r="E17" s="1258" t="s">
        <v>2908</v>
      </c>
      <c r="F17" s="1256" t="s">
        <v>65</v>
      </c>
      <c r="G17" s="1256" t="s">
        <v>213</v>
      </c>
      <c r="H17" s="1259" t="s">
        <v>2909</v>
      </c>
      <c r="I17" s="1269"/>
      <c r="J17" s="1256" t="s">
        <v>88</v>
      </c>
      <c r="K17" s="1260"/>
      <c r="L17" s="1261">
        <f>4900+375+500+3000+1000+4000-14370</f>
        <v>-595</v>
      </c>
      <c r="N17" s="1251"/>
    </row>
    <row r="18" spans="1:14" s="1249" customFormat="1" ht="52.5" customHeight="1">
      <c r="A18" s="1255">
        <v>14</v>
      </c>
      <c r="B18" s="1256" t="s">
        <v>315</v>
      </c>
      <c r="C18" s="1257">
        <v>4250</v>
      </c>
      <c r="D18" s="1244" t="s">
        <v>267</v>
      </c>
      <c r="E18" s="1258" t="s">
        <v>2910</v>
      </c>
      <c r="F18" s="1256" t="s">
        <v>65</v>
      </c>
      <c r="G18" s="1256" t="s">
        <v>142</v>
      </c>
      <c r="H18" s="1259" t="s">
        <v>2911</v>
      </c>
      <c r="I18" s="1258" t="s">
        <v>2912</v>
      </c>
      <c r="J18" s="1256" t="s">
        <v>22</v>
      </c>
      <c r="K18" s="1260"/>
      <c r="L18" s="1261"/>
      <c r="N18" s="1251"/>
    </row>
    <row r="19" spans="1:14" s="1249" customFormat="1" ht="80.349999999999994" customHeight="1">
      <c r="A19" s="1255">
        <v>15</v>
      </c>
      <c r="B19" s="1256" t="s">
        <v>853</v>
      </c>
      <c r="C19" s="1257">
        <v>12500</v>
      </c>
      <c r="D19" s="1244" t="s">
        <v>267</v>
      </c>
      <c r="E19" s="1258" t="s">
        <v>2913</v>
      </c>
      <c r="F19" s="1256" t="s">
        <v>65</v>
      </c>
      <c r="G19" s="1256" t="s">
        <v>213</v>
      </c>
      <c r="H19" s="1259" t="s">
        <v>2914</v>
      </c>
      <c r="I19" s="1258"/>
      <c r="J19" s="1256" t="s">
        <v>18</v>
      </c>
      <c r="K19" s="1260"/>
      <c r="L19" s="1261">
        <f>4800+4800+2900</f>
        <v>12500</v>
      </c>
      <c r="N19" s="1251"/>
    </row>
    <row r="20" spans="1:14" s="1249" customFormat="1" ht="140.94999999999999" customHeight="1">
      <c r="A20" s="1255">
        <v>16</v>
      </c>
      <c r="B20" s="1256" t="s">
        <v>320</v>
      </c>
      <c r="C20" s="1257">
        <v>12800</v>
      </c>
      <c r="D20" s="1244" t="s">
        <v>2171</v>
      </c>
      <c r="E20" s="1258" t="s">
        <v>2915</v>
      </c>
      <c r="F20" s="1256" t="s">
        <v>65</v>
      </c>
      <c r="G20" s="1256" t="s">
        <v>213</v>
      </c>
      <c r="H20" s="1259" t="s">
        <v>2916</v>
      </c>
      <c r="I20" s="1258" t="s">
        <v>2917</v>
      </c>
      <c r="J20" s="1256" t="s">
        <v>88</v>
      </c>
      <c r="K20" s="1260"/>
      <c r="L20" s="1261" t="s">
        <v>2918</v>
      </c>
      <c r="N20" s="1251">
        <f>1500+4100+2100+2300-C20</f>
        <v>-2800</v>
      </c>
    </row>
    <row r="21" spans="1:14" s="367" customFormat="1" ht="162" customHeight="1">
      <c r="A21" s="362">
        <v>17</v>
      </c>
      <c r="B21" s="185" t="s">
        <v>738</v>
      </c>
      <c r="C21" s="1270">
        <v>16000</v>
      </c>
      <c r="D21" s="133" t="s">
        <v>2171</v>
      </c>
      <c r="E21" s="1271" t="s">
        <v>2919</v>
      </c>
      <c r="F21" s="185" t="s">
        <v>65</v>
      </c>
      <c r="G21" s="185" t="s">
        <v>558</v>
      </c>
      <c r="H21" s="1276" t="s">
        <v>2920</v>
      </c>
      <c r="I21" s="1271"/>
      <c r="J21" s="185" t="s">
        <v>88</v>
      </c>
      <c r="K21" s="1272"/>
      <c r="L21" s="1273">
        <f>C21-1600-400-500-8000</f>
        <v>5500</v>
      </c>
      <c r="N21" s="336" t="s">
        <v>263</v>
      </c>
    </row>
    <row r="22" spans="1:14" s="367" customFormat="1" ht="143.35" customHeight="1">
      <c r="A22" s="362">
        <v>18</v>
      </c>
      <c r="B22" s="185" t="s">
        <v>315</v>
      </c>
      <c r="C22" s="1270">
        <v>4300</v>
      </c>
      <c r="D22" s="133" t="s">
        <v>2171</v>
      </c>
      <c r="E22" s="1271"/>
      <c r="F22" s="185" t="s">
        <v>65</v>
      </c>
      <c r="G22" s="185" t="s">
        <v>2921</v>
      </c>
      <c r="H22" s="1276" t="s">
        <v>2922</v>
      </c>
      <c r="I22" s="1274" t="s">
        <v>2923</v>
      </c>
      <c r="J22" s="185" t="s">
        <v>22</v>
      </c>
      <c r="K22" s="1272"/>
      <c r="L22" s="1273">
        <f>C22-250-200-300-500-1200</f>
        <v>1850</v>
      </c>
      <c r="N22" s="336"/>
    </row>
    <row r="23" spans="1:14" s="367" customFormat="1" ht="76.599999999999994" customHeight="1">
      <c r="A23" s="362">
        <v>19</v>
      </c>
      <c r="B23" s="185" t="s">
        <v>2924</v>
      </c>
      <c r="C23" s="1270">
        <v>10000</v>
      </c>
      <c r="D23" s="133" t="s">
        <v>2171</v>
      </c>
      <c r="E23" s="1271" t="s">
        <v>2925</v>
      </c>
      <c r="F23" s="185" t="s">
        <v>65</v>
      </c>
      <c r="G23" s="185" t="s">
        <v>327</v>
      </c>
      <c r="H23" s="1276" t="s">
        <v>2926</v>
      </c>
      <c r="I23" s="1274" t="s">
        <v>2927</v>
      </c>
      <c r="J23" s="185" t="s">
        <v>428</v>
      </c>
      <c r="K23" s="1272"/>
      <c r="L23" s="1273"/>
      <c r="N23" s="336"/>
    </row>
    <row r="24" spans="1:14" s="367" customFormat="1" ht="95.95" customHeight="1">
      <c r="A24" s="362">
        <v>20</v>
      </c>
      <c r="B24" s="185" t="s">
        <v>320</v>
      </c>
      <c r="C24" s="1270">
        <v>16000</v>
      </c>
      <c r="D24" s="133" t="s">
        <v>2171</v>
      </c>
      <c r="E24" s="1271" t="s">
        <v>2928</v>
      </c>
      <c r="F24" s="185" t="s">
        <v>65</v>
      </c>
      <c r="G24" s="185" t="s">
        <v>213</v>
      </c>
      <c r="H24" s="1276" t="s">
        <v>2929</v>
      </c>
      <c r="I24" s="1274"/>
      <c r="J24" s="185" t="s">
        <v>88</v>
      </c>
      <c r="K24" s="1272"/>
      <c r="L24" s="1273"/>
      <c r="N24" s="336"/>
    </row>
    <row r="25" spans="1:14" s="367" customFormat="1" ht="95.95" customHeight="1">
      <c r="A25" s="362">
        <v>21</v>
      </c>
      <c r="B25" s="185" t="s">
        <v>407</v>
      </c>
      <c r="C25" s="1270">
        <v>10452</v>
      </c>
      <c r="D25" s="133" t="s">
        <v>2171</v>
      </c>
      <c r="E25" s="1271" t="s">
        <v>2930</v>
      </c>
      <c r="F25" s="185" t="s">
        <v>65</v>
      </c>
      <c r="G25" s="185" t="s">
        <v>213</v>
      </c>
      <c r="H25" s="1276" t="s">
        <v>2931</v>
      </c>
      <c r="I25" s="1274" t="s">
        <v>2932</v>
      </c>
      <c r="J25" s="185" t="s">
        <v>88</v>
      </c>
      <c r="K25" s="1272"/>
      <c r="L25" s="1273">
        <f>C25-5000-1920-1230-1200</f>
        <v>1102</v>
      </c>
      <c r="N25" s="336"/>
    </row>
    <row r="26" spans="1:14" s="367" customFormat="1" ht="95.95" customHeight="1">
      <c r="A26" s="362">
        <v>22</v>
      </c>
      <c r="B26" s="185" t="s">
        <v>315</v>
      </c>
      <c r="C26" s="1270">
        <v>4300</v>
      </c>
      <c r="D26" s="133" t="s">
        <v>2171</v>
      </c>
      <c r="E26" s="1271" t="s">
        <v>2933</v>
      </c>
      <c r="F26" s="185" t="s">
        <v>65</v>
      </c>
      <c r="G26" s="185" t="s">
        <v>2934</v>
      </c>
      <c r="H26" s="1276" t="s">
        <v>2935</v>
      </c>
      <c r="I26" s="1274" t="s">
        <v>2936</v>
      </c>
      <c r="J26" s="185" t="s">
        <v>22</v>
      </c>
      <c r="K26" s="1272"/>
      <c r="L26" s="1273">
        <f>C26-1200-1050</f>
        <v>2050</v>
      </c>
      <c r="N26" s="336"/>
    </row>
    <row r="27" spans="1:14" s="367" customFormat="1" ht="201.1" customHeight="1">
      <c r="A27" s="362">
        <v>23</v>
      </c>
      <c r="B27" s="185" t="s">
        <v>738</v>
      </c>
      <c r="C27" s="1270">
        <v>16500</v>
      </c>
      <c r="D27" s="133" t="s">
        <v>2171</v>
      </c>
      <c r="E27" s="1271" t="s">
        <v>2937</v>
      </c>
      <c r="F27" s="185" t="s">
        <v>65</v>
      </c>
      <c r="G27" s="185" t="s">
        <v>213</v>
      </c>
      <c r="H27" s="1276" t="s">
        <v>2938</v>
      </c>
      <c r="I27" s="1274" t="s">
        <v>2939</v>
      </c>
      <c r="J27" s="185" t="s">
        <v>88</v>
      </c>
      <c r="K27" s="1272"/>
      <c r="L27" s="1273">
        <f>1200+1400+2000+835+1500-16800</f>
        <v>-9865</v>
      </c>
      <c r="N27" s="336"/>
    </row>
    <row r="28" spans="1:14" s="1" customFormat="1" ht="99" customHeight="1">
      <c r="A28" s="359">
        <v>24</v>
      </c>
      <c r="B28" s="608"/>
      <c r="C28" s="1277"/>
      <c r="D28" s="109"/>
      <c r="E28" s="109"/>
      <c r="F28" s="102"/>
      <c r="G28" s="102" t="s">
        <v>968</v>
      </c>
      <c r="H28" s="670" t="s">
        <v>2940</v>
      </c>
      <c r="I28" s="102">
        <f>2250+2000+3000+1000+3000</f>
        <v>11250</v>
      </c>
      <c r="K28" s="804"/>
      <c r="N28" s="3"/>
    </row>
    <row r="29" spans="1:14" s="1" customFormat="1" ht="57.75" customHeight="1">
      <c r="A29" s="359">
        <v>25</v>
      </c>
      <c r="C29" s="1179"/>
      <c r="D29" s="271"/>
      <c r="E29" s="271"/>
      <c r="G29" s="1" t="s">
        <v>213</v>
      </c>
      <c r="H29" s="477" t="s">
        <v>2941</v>
      </c>
      <c r="K29" s="804"/>
      <c r="N29" s="3"/>
    </row>
    <row r="30" spans="1:14" s="1" customFormat="1" ht="32.950000000000003" customHeight="1">
      <c r="A30" s="359">
        <v>26</v>
      </c>
      <c r="C30" s="1179"/>
      <c r="D30" s="271"/>
      <c r="E30" s="271"/>
      <c r="H30" s="9" t="s">
        <v>2942</v>
      </c>
      <c r="K30" s="804"/>
      <c r="N30" s="3"/>
    </row>
    <row r="31" spans="1:14" s="1" customFormat="1">
      <c r="A31" s="359">
        <v>27</v>
      </c>
      <c r="C31" s="1179"/>
      <c r="D31" s="271"/>
      <c r="E31" s="271"/>
      <c r="H31" s="3730"/>
      <c r="K31" s="804"/>
      <c r="N31" s="3"/>
    </row>
    <row r="32" spans="1:14" s="1" customFormat="1">
      <c r="A32" s="359">
        <v>28</v>
      </c>
      <c r="C32" s="1179"/>
      <c r="D32" s="271"/>
      <c r="E32" s="271"/>
      <c r="H32" s="3730"/>
      <c r="K32" s="804"/>
      <c r="N32" s="3"/>
    </row>
    <row r="33" spans="1:14" s="1" customFormat="1">
      <c r="A33" s="359">
        <v>29</v>
      </c>
      <c r="C33" s="1179"/>
      <c r="D33" s="271"/>
      <c r="E33" s="271"/>
      <c r="H33" s="3730"/>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0" priority="10"/>
  </conditionalFormatting>
  <conditionalFormatting sqref="A4">
    <cfRule type="duplicateValues" dxfId="499" priority="6"/>
  </conditionalFormatting>
  <conditionalFormatting sqref="B3">
    <cfRule type="duplicateValues" dxfId="498" priority="7"/>
    <cfRule type="duplicateValues" dxfId="497" priority="8"/>
    <cfRule type="duplicateValues" dxfId="496" priority="9"/>
  </conditionalFormatting>
  <conditionalFormatting sqref="B4">
    <cfRule type="duplicateValues" dxfId="495" priority="3"/>
    <cfRule type="duplicateValues" dxfId="494" priority="4"/>
    <cfRule type="duplicateValues" dxfId="493"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topRight"/>
      <selection pane="bottomLeft"/>
      <selection pane="bottomRight"/>
    </sheetView>
  </sheetViews>
  <sheetFormatPr defaultColWidth="25.625" defaultRowHeight="18.350000000000001"/>
  <cols>
    <col min="1" max="1" width="10" style="359" customWidth="1"/>
    <col min="2" max="2" width="35.375" style="1" customWidth="1"/>
    <col min="3" max="3" width="15.875" style="1138" customWidth="1"/>
    <col min="4" max="4" width="28" style="271" customWidth="1"/>
    <col min="5" max="5" width="21.375" style="1" customWidth="1"/>
    <col min="6" max="6" width="17.375" style="271" customWidth="1"/>
    <col min="7" max="7" width="17.25" style="271" customWidth="1"/>
    <col min="8" max="8" width="16.375" style="1" customWidth="1"/>
    <col min="9" max="9" width="23.375" style="1" customWidth="1"/>
    <col min="10" max="10" width="107.1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350000000000001" customHeight="1">
      <c r="B1" s="10"/>
      <c r="C1" s="3671"/>
      <c r="D1" s="3671"/>
      <c r="E1" s="3671"/>
      <c r="F1" s="3671"/>
      <c r="G1" s="3671"/>
      <c r="H1" s="3671"/>
      <c r="I1" s="3671"/>
      <c r="J1" s="3671"/>
      <c r="K1" s="3671"/>
      <c r="M1" s="1487"/>
    </row>
    <row r="2" spans="1:14" ht="34.5" customHeight="1">
      <c r="A2" s="3677" t="s">
        <v>2943</v>
      </c>
      <c r="B2" s="3677"/>
      <c r="C2" s="3677"/>
      <c r="D2" s="3677"/>
      <c r="E2" s="3677"/>
      <c r="F2" s="3677"/>
      <c r="G2" s="3677"/>
      <c r="H2" s="3677"/>
      <c r="I2" s="3677"/>
      <c r="J2" s="3677"/>
      <c r="K2" s="3677"/>
      <c r="L2" s="3677"/>
      <c r="M2" s="3677"/>
      <c r="N2" s="287"/>
    </row>
    <row r="3" spans="1:14" ht="57.1" customHeight="1">
      <c r="A3" s="1536"/>
      <c r="B3" s="3731" t="s">
        <v>2944</v>
      </c>
      <c r="C3" s="3732"/>
      <c r="D3" s="3732"/>
      <c r="E3" s="3732"/>
      <c r="F3" s="3732"/>
      <c r="G3" s="3732"/>
      <c r="H3" s="3732"/>
      <c r="I3" s="3732"/>
      <c r="J3" s="3732"/>
      <c r="K3" s="3732"/>
      <c r="L3" s="3732"/>
      <c r="M3" s="3733"/>
      <c r="N3" s="287"/>
    </row>
    <row r="4" spans="1:14" ht="35.35" customHeight="1">
      <c r="A4" s="3676"/>
      <c r="B4" s="3676"/>
      <c r="C4" s="1502">
        <f>SUBTOTAL(9,C6:C1013)</f>
        <v>245395</v>
      </c>
      <c r="D4" s="1503"/>
      <c r="E4" s="1504"/>
      <c r="F4" s="1503"/>
      <c r="G4" s="1503"/>
      <c r="H4" s="1503"/>
      <c r="I4" s="1503"/>
      <c r="J4" s="1504">
        <f ca="1">TODAY()</f>
        <v>45988</v>
      </c>
      <c r="L4" s="1504"/>
      <c r="M4" s="1504"/>
      <c r="N4" s="287"/>
    </row>
    <row r="5" spans="1:14" s="1535" customFormat="1" ht="56.25" customHeight="1">
      <c r="A5" s="361" t="s">
        <v>48</v>
      </c>
      <c r="B5" s="204" t="s">
        <v>49</v>
      </c>
      <c r="C5" s="1432" t="s">
        <v>50</v>
      </c>
      <c r="D5" s="204" t="s">
        <v>51</v>
      </c>
      <c r="E5" s="204" t="s">
        <v>52</v>
      </c>
      <c r="F5" s="204" t="s">
        <v>53</v>
      </c>
      <c r="G5" s="204" t="s">
        <v>262</v>
      </c>
      <c r="H5" s="204" t="s">
        <v>55</v>
      </c>
      <c r="I5" s="204" t="s">
        <v>56</v>
      </c>
      <c r="J5" s="204" t="s">
        <v>57</v>
      </c>
      <c r="K5" s="204" t="s">
        <v>58</v>
      </c>
      <c r="L5" s="204" t="s">
        <v>59</v>
      </c>
      <c r="M5" s="204" t="s">
        <v>60</v>
      </c>
      <c r="N5" s="1534" t="e">
        <f>SUM(#REF!)</f>
        <v>#REF!</v>
      </c>
    </row>
    <row r="6" spans="1:14" s="1548" customFormat="1" ht="99" customHeight="1">
      <c r="A6" s="1553" t="e" cm="1">
        <f t="array" aca="1" ref="A6" ca="1">_xlfn.SEQUENCE(30,1,1)</f>
        <v>#NAME?</v>
      </c>
      <c r="B6" s="1554" t="s">
        <v>252</v>
      </c>
      <c r="C6" s="1555">
        <v>3950</v>
      </c>
      <c r="D6" s="1554" t="s">
        <v>2945</v>
      </c>
      <c r="E6" s="1556" t="s">
        <v>20</v>
      </c>
      <c r="F6" s="1538" t="s">
        <v>64</v>
      </c>
      <c r="G6" s="1557"/>
      <c r="H6" s="1462" t="s">
        <v>65</v>
      </c>
      <c r="I6" s="1543" t="s">
        <v>90</v>
      </c>
      <c r="J6" s="1546" t="s">
        <v>2946</v>
      </c>
      <c r="K6" s="1558">
        <f>C6-2000-1100-700</f>
        <v>150</v>
      </c>
      <c r="L6" s="1545"/>
      <c r="M6" s="1558"/>
      <c r="N6" s="1559"/>
    </row>
    <row r="7" spans="1:14" s="1564" customFormat="1" ht="77.95" customHeight="1">
      <c r="A7" s="1565"/>
      <c r="B7" s="1495" t="s">
        <v>2947</v>
      </c>
      <c r="C7" s="1494">
        <v>3500</v>
      </c>
      <c r="D7" s="1560" t="s">
        <v>2948</v>
      </c>
      <c r="E7" s="1561" t="s">
        <v>22</v>
      </c>
      <c r="F7" s="1562" t="s">
        <v>64</v>
      </c>
      <c r="G7" s="1563"/>
      <c r="H7" s="1493" t="s">
        <v>65</v>
      </c>
      <c r="I7" s="1495" t="s">
        <v>281</v>
      </c>
      <c r="J7" s="1496" t="s">
        <v>2949</v>
      </c>
      <c r="K7" s="1498"/>
      <c r="L7" s="1493"/>
      <c r="M7" s="1498"/>
      <c r="N7" s="1548"/>
    </row>
    <row r="8" spans="1:14" s="1564" customFormat="1" ht="77.95" customHeight="1">
      <c r="A8" s="1565"/>
      <c r="B8" s="1495" t="s">
        <v>158</v>
      </c>
      <c r="C8" s="1494">
        <v>3950</v>
      </c>
      <c r="D8" s="1560" t="s">
        <v>2950</v>
      </c>
      <c r="E8" s="1561" t="s">
        <v>22</v>
      </c>
      <c r="F8" s="1562" t="s">
        <v>64</v>
      </c>
      <c r="G8" s="1563"/>
      <c r="H8" s="1493" t="s">
        <v>65</v>
      </c>
      <c r="I8" s="1495" t="s">
        <v>2951</v>
      </c>
      <c r="J8" s="1496" t="s">
        <v>2952</v>
      </c>
      <c r="K8" s="1498"/>
      <c r="L8" s="1493"/>
      <c r="M8" s="1498"/>
      <c r="N8" s="1548"/>
    </row>
    <row r="9" spans="1:14" s="1564" customFormat="1" ht="77.95" customHeight="1">
      <c r="A9" s="1542"/>
      <c r="B9" s="1568" t="s">
        <v>2953</v>
      </c>
      <c r="C9" s="1494">
        <v>4000</v>
      </c>
      <c r="D9" s="1560" t="s">
        <v>2954</v>
      </c>
      <c r="E9" s="1561" t="s">
        <v>20</v>
      </c>
      <c r="F9" s="1562" t="s">
        <v>64</v>
      </c>
      <c r="G9" s="1563"/>
      <c r="H9" s="1493" t="s">
        <v>65</v>
      </c>
      <c r="I9" s="1495" t="s">
        <v>142</v>
      </c>
      <c r="J9" s="1496" t="s">
        <v>2955</v>
      </c>
      <c r="K9" s="1498"/>
      <c r="L9" s="1493"/>
      <c r="M9" s="1498"/>
      <c r="N9" s="1548"/>
    </row>
    <row r="10" spans="1:14" s="139" customFormat="1" ht="92.25" customHeight="1">
      <c r="A10" s="1569"/>
      <c r="B10" s="1570" t="s">
        <v>2956</v>
      </c>
      <c r="C10" s="1571">
        <v>3290</v>
      </c>
      <c r="D10" s="1572" t="s">
        <v>2957</v>
      </c>
      <c r="E10" s="1573" t="s">
        <v>20</v>
      </c>
      <c r="F10" s="1574" t="s">
        <v>64</v>
      </c>
      <c r="G10" s="1575"/>
      <c r="H10" s="1576" t="s">
        <v>65</v>
      </c>
      <c r="I10" s="1572" t="s">
        <v>106</v>
      </c>
      <c r="J10" s="1615" t="s">
        <v>2958</v>
      </c>
      <c r="K10" s="1577">
        <f>3100-1400-1200</f>
        <v>500</v>
      </c>
      <c r="L10" s="1519"/>
      <c r="M10" s="1552"/>
    </row>
    <row r="11" spans="1:14" s="139" customFormat="1" ht="164.25" customHeight="1">
      <c r="A11" s="1569"/>
      <c r="B11" s="1570" t="s">
        <v>2959</v>
      </c>
      <c r="C11" s="1571">
        <v>7300</v>
      </c>
      <c r="D11" s="1572" t="s">
        <v>2960</v>
      </c>
      <c r="E11" s="1573" t="s">
        <v>26</v>
      </c>
      <c r="F11" s="1574" t="s">
        <v>64</v>
      </c>
      <c r="G11" s="1575"/>
      <c r="H11" s="1576" t="s">
        <v>65</v>
      </c>
      <c r="I11" s="1572" t="s">
        <v>106</v>
      </c>
      <c r="J11" s="1615" t="s">
        <v>2961</v>
      </c>
      <c r="K11" s="1578"/>
      <c r="L11" s="1519"/>
      <c r="M11" s="1552"/>
    </row>
    <row r="12" spans="1:14" s="139" customFormat="1" ht="121.6" customHeight="1">
      <c r="A12" s="1579"/>
      <c r="B12" s="682" t="s">
        <v>2962</v>
      </c>
      <c r="C12" s="1580">
        <v>6000</v>
      </c>
      <c r="D12" s="1581" t="s">
        <v>2963</v>
      </c>
      <c r="E12" s="682" t="s">
        <v>88</v>
      </c>
      <c r="F12" s="1574" t="s">
        <v>64</v>
      </c>
      <c r="G12" s="1582"/>
      <c r="H12" s="682" t="s">
        <v>65</v>
      </c>
      <c r="I12" s="1445" t="s">
        <v>281</v>
      </c>
      <c r="J12" s="1586" t="s">
        <v>2964</v>
      </c>
      <c r="K12" s="1583"/>
      <c r="L12" s="439"/>
      <c r="M12" s="1566"/>
      <c r="N12" s="1567"/>
    </row>
    <row r="13" spans="1:14" s="841" customFormat="1" ht="86.95" customHeight="1">
      <c r="A13" s="673"/>
      <c r="B13" s="682" t="s">
        <v>2965</v>
      </c>
      <c r="C13" s="1580">
        <v>12000</v>
      </c>
      <c r="D13" s="1445" t="s">
        <v>2966</v>
      </c>
      <c r="E13" s="682" t="s">
        <v>38</v>
      </c>
      <c r="F13" s="1584" t="s">
        <v>64</v>
      </c>
      <c r="G13" s="1585"/>
      <c r="H13" s="682" t="s">
        <v>65</v>
      </c>
      <c r="I13" s="1445" t="s">
        <v>327</v>
      </c>
      <c r="J13" s="1586" t="s">
        <v>2967</v>
      </c>
      <c r="K13" s="1583"/>
      <c r="L13" s="682"/>
      <c r="M13" s="1587"/>
      <c r="N13" s="1588"/>
    </row>
    <row r="14" spans="1:14" s="841" customFormat="1" ht="150.80000000000001" customHeight="1">
      <c r="A14" s="673"/>
      <c r="B14" s="1589" t="s">
        <v>2968</v>
      </c>
      <c r="C14" s="1580">
        <v>12300</v>
      </c>
      <c r="D14" s="1581" t="s">
        <v>2969</v>
      </c>
      <c r="E14" s="682" t="s">
        <v>88</v>
      </c>
      <c r="F14" s="1584" t="s">
        <v>64</v>
      </c>
      <c r="G14" s="1582"/>
      <c r="H14" s="682" t="s">
        <v>65</v>
      </c>
      <c r="I14" s="1445" t="s">
        <v>213</v>
      </c>
      <c r="J14" s="1616" t="s">
        <v>2970</v>
      </c>
      <c r="K14" s="1583"/>
      <c r="L14" s="682"/>
      <c r="M14" s="1587"/>
      <c r="N14" s="1588"/>
    </row>
    <row r="15" spans="1:14" s="929" customFormat="1" ht="50.3" customHeight="1">
      <c r="A15" s="1590"/>
      <c r="B15" s="1591" t="s">
        <v>2971</v>
      </c>
      <c r="C15" s="1592">
        <v>35000</v>
      </c>
      <c r="D15" s="1593" t="s">
        <v>2972</v>
      </c>
      <c r="E15" s="1591" t="s">
        <v>2973</v>
      </c>
      <c r="F15" s="1594" t="s">
        <v>64</v>
      </c>
      <c r="G15" s="1582"/>
      <c r="H15" s="1591" t="s">
        <v>65</v>
      </c>
      <c r="I15" s="1593" t="s">
        <v>2974</v>
      </c>
      <c r="J15" s="1586" t="s">
        <v>2975</v>
      </c>
      <c r="K15" s="1595"/>
      <c r="L15" s="1591"/>
      <c r="M15" s="1596"/>
      <c r="N15" s="1597"/>
    </row>
    <row r="16" spans="1:14" s="1467" customFormat="1" ht="60.8" customHeight="1">
      <c r="A16" s="1553"/>
      <c r="B16" s="1493" t="s">
        <v>2976</v>
      </c>
      <c r="C16" s="1494">
        <v>8000</v>
      </c>
      <c r="D16" s="1495" t="s">
        <v>2977</v>
      </c>
      <c r="E16" s="1493" t="s">
        <v>2301</v>
      </c>
      <c r="F16" s="1598" t="s">
        <v>64</v>
      </c>
      <c r="G16" s="1599" t="s">
        <v>2978</v>
      </c>
      <c r="H16" s="1493" t="s">
        <v>65</v>
      </c>
      <c r="I16" s="1495" t="s">
        <v>2979</v>
      </c>
      <c r="J16" s="1496" t="s">
        <v>2980</v>
      </c>
      <c r="K16" s="1600" t="s">
        <v>2981</v>
      </c>
      <c r="L16" s="1493"/>
      <c r="M16" s="1498"/>
      <c r="N16" s="1548"/>
    </row>
    <row r="17" spans="1:14" s="139" customFormat="1" ht="66.099999999999994" customHeight="1">
      <c r="A17" s="1553"/>
      <c r="B17" s="1601" t="s">
        <v>103</v>
      </c>
      <c r="C17" s="1602">
        <v>3200</v>
      </c>
      <c r="D17" s="1603" t="s">
        <v>2982</v>
      </c>
      <c r="E17" s="1545" t="s">
        <v>24</v>
      </c>
      <c r="F17" s="1598" t="s">
        <v>64</v>
      </c>
      <c r="G17" s="1604" t="s">
        <v>2983</v>
      </c>
      <c r="H17" s="1545" t="s">
        <v>65</v>
      </c>
      <c r="I17" s="1543" t="s">
        <v>164</v>
      </c>
      <c r="J17" s="1546" t="s">
        <v>2984</v>
      </c>
      <c r="K17" s="1605"/>
      <c r="L17" s="1493"/>
      <c r="M17" s="1498"/>
      <c r="N17" s="1567"/>
    </row>
    <row r="18" spans="1:14" s="841" customFormat="1" ht="146.25" customHeight="1">
      <c r="A18" s="1299"/>
      <c r="B18" s="685" t="s">
        <v>181</v>
      </c>
      <c r="C18" s="1606">
        <v>16300</v>
      </c>
      <c r="D18" s="1581" t="s">
        <v>2985</v>
      </c>
      <c r="E18" s="682" t="s">
        <v>88</v>
      </c>
      <c r="F18" s="1607" t="s">
        <v>64</v>
      </c>
      <c r="G18" s="1511" t="s">
        <v>2986</v>
      </c>
      <c r="H18" s="682" t="s">
        <v>65</v>
      </c>
      <c r="I18" s="1608" t="s">
        <v>90</v>
      </c>
      <c r="J18" s="1617" t="s">
        <v>2987</v>
      </c>
      <c r="K18" s="1609">
        <f>16300-8000-1000</f>
        <v>7300</v>
      </c>
      <c r="L18" s="682"/>
      <c r="M18" s="1587"/>
      <c r="N18" s="1588"/>
    </row>
    <row r="19" spans="1:14" s="841" customFormat="1" ht="60.8" customHeight="1">
      <c r="A19" s="1299"/>
      <c r="B19" s="1610" t="s">
        <v>2988</v>
      </c>
      <c r="C19" s="1301">
        <v>1500</v>
      </c>
      <c r="D19" s="1611" t="s">
        <v>2989</v>
      </c>
      <c r="E19" s="1300" t="s">
        <v>38</v>
      </c>
      <c r="F19" s="1607" t="s">
        <v>64</v>
      </c>
      <c r="G19" s="1511" t="s">
        <v>2986</v>
      </c>
      <c r="H19" s="1300" t="s">
        <v>65</v>
      </c>
      <c r="I19" s="1302" t="s">
        <v>2990</v>
      </c>
      <c r="J19" s="1612" t="s">
        <v>2991</v>
      </c>
      <c r="K19" s="1441"/>
      <c r="L19" s="682"/>
      <c r="M19" s="1587"/>
      <c r="N19" s="1588"/>
    </row>
    <row r="20" spans="1:14" s="841" customFormat="1" ht="68.3" customHeight="1">
      <c r="A20" s="1613"/>
      <c r="B20" s="682" t="s">
        <v>2956</v>
      </c>
      <c r="C20" s="1580">
        <v>3300</v>
      </c>
      <c r="D20" s="1445" t="s">
        <v>2992</v>
      </c>
      <c r="E20" s="682" t="s">
        <v>20</v>
      </c>
      <c r="F20" s="1511" t="s">
        <v>64</v>
      </c>
      <c r="G20" s="1594"/>
      <c r="H20" s="682" t="s">
        <v>65</v>
      </c>
      <c r="I20" s="1445" t="s">
        <v>213</v>
      </c>
      <c r="J20" s="1586" t="s">
        <v>2993</v>
      </c>
      <c r="K20" s="1614"/>
      <c r="L20" s="682"/>
      <c r="M20" s="1587"/>
      <c r="N20" s="1588"/>
    </row>
    <row r="21" spans="1:14" s="841" customFormat="1" ht="84.1" customHeight="1">
      <c r="A21" s="1613"/>
      <c r="B21" s="682" t="s">
        <v>2962</v>
      </c>
      <c r="C21" s="1580">
        <v>6000</v>
      </c>
      <c r="D21" s="1445" t="s">
        <v>2994</v>
      </c>
      <c r="E21" s="682" t="s">
        <v>18</v>
      </c>
      <c r="F21" s="1511" t="s">
        <v>64</v>
      </c>
      <c r="G21" s="1594"/>
      <c r="H21" s="682" t="s">
        <v>65</v>
      </c>
      <c r="I21" s="1445" t="s">
        <v>66</v>
      </c>
      <c r="J21" s="1586" t="s">
        <v>2995</v>
      </c>
      <c r="K21" s="1614"/>
      <c r="L21" s="682"/>
      <c r="M21" s="1587"/>
      <c r="N21" s="1588"/>
    </row>
    <row r="22" spans="1:14" s="841" customFormat="1" ht="60.8" customHeight="1">
      <c r="A22" s="1613"/>
      <c r="B22" s="682" t="s">
        <v>125</v>
      </c>
      <c r="C22" s="1580">
        <v>4250</v>
      </c>
      <c r="D22" s="1445" t="s">
        <v>2996</v>
      </c>
      <c r="E22" s="682" t="s">
        <v>22</v>
      </c>
      <c r="F22" s="1511" t="s">
        <v>64</v>
      </c>
      <c r="G22" s="1594"/>
      <c r="H22" s="682" t="s">
        <v>65</v>
      </c>
      <c r="I22" s="1445" t="s">
        <v>2997</v>
      </c>
      <c r="J22" s="1586" t="s">
        <v>2998</v>
      </c>
      <c r="K22" s="1614"/>
      <c r="L22" s="682"/>
      <c r="M22" s="1587"/>
      <c r="N22" s="1588"/>
    </row>
    <row r="23" spans="1:14" s="841" customFormat="1" ht="54.7" customHeight="1">
      <c r="A23" s="1613"/>
      <c r="B23" s="682" t="s">
        <v>97</v>
      </c>
      <c r="C23" s="1580">
        <v>4650</v>
      </c>
      <c r="D23" s="1445" t="s">
        <v>2999</v>
      </c>
      <c r="E23" s="682" t="s">
        <v>26</v>
      </c>
      <c r="F23" s="1511" t="s">
        <v>64</v>
      </c>
      <c r="G23" s="1594"/>
      <c r="H23" s="682" t="s">
        <v>65</v>
      </c>
      <c r="I23" s="1445" t="s">
        <v>117</v>
      </c>
      <c r="J23" s="1586" t="s">
        <v>3000</v>
      </c>
      <c r="K23" s="1614"/>
      <c r="L23" s="682"/>
      <c r="M23" s="1587"/>
      <c r="N23" s="1588"/>
    </row>
    <row r="24" spans="1:14" s="841" customFormat="1" ht="64.55" customHeight="1">
      <c r="A24" s="1613"/>
      <c r="B24" s="682" t="s">
        <v>134</v>
      </c>
      <c r="C24" s="1580">
        <v>2900</v>
      </c>
      <c r="D24" s="1445" t="s">
        <v>3001</v>
      </c>
      <c r="E24" s="682" t="s">
        <v>22</v>
      </c>
      <c r="F24" s="1511" t="s">
        <v>64</v>
      </c>
      <c r="G24" s="1594"/>
      <c r="H24" s="682" t="s">
        <v>65</v>
      </c>
      <c r="I24" s="1445" t="s">
        <v>281</v>
      </c>
      <c r="J24" s="1586" t="s">
        <v>3002</v>
      </c>
      <c r="K24" s="1614"/>
      <c r="L24" s="682"/>
      <c r="M24" s="1587"/>
      <c r="N24" s="1588"/>
    </row>
    <row r="25" spans="1:14" s="1467" customFormat="1" ht="60.8" customHeight="1">
      <c r="A25" s="1565"/>
      <c r="B25" s="1493" t="s">
        <v>3003</v>
      </c>
      <c r="C25" s="1494">
        <v>8000</v>
      </c>
      <c r="D25" s="1624" t="s">
        <v>3004</v>
      </c>
      <c r="E25" s="1493" t="s">
        <v>2301</v>
      </c>
      <c r="F25" s="1513" t="s">
        <v>64</v>
      </c>
      <c r="G25" s="1625"/>
      <c r="H25" s="1626" t="s">
        <v>65</v>
      </c>
      <c r="I25" s="1495" t="s">
        <v>2979</v>
      </c>
      <c r="J25" s="1496" t="s">
        <v>3005</v>
      </c>
      <c r="K25" s="1547" t="s">
        <v>3006</v>
      </c>
      <c r="L25" s="1493"/>
      <c r="M25" s="1498"/>
      <c r="N25" s="1548"/>
    </row>
    <row r="26" spans="1:14" s="1467" customFormat="1" ht="101.25" customHeight="1">
      <c r="A26" s="1542"/>
      <c r="B26" s="1493" t="s">
        <v>191</v>
      </c>
      <c r="C26" s="1494">
        <v>8375</v>
      </c>
      <c r="D26" s="1624" t="s">
        <v>3007</v>
      </c>
      <c r="E26" s="1495" t="s">
        <v>3008</v>
      </c>
      <c r="F26" s="1513" t="s">
        <v>64</v>
      </c>
      <c r="G26" s="1627"/>
      <c r="H26" s="1493" t="s">
        <v>65</v>
      </c>
      <c r="I26" s="1495" t="s">
        <v>213</v>
      </c>
      <c r="J26" s="1628" t="s">
        <v>3009</v>
      </c>
      <c r="K26" s="1547"/>
      <c r="L26" s="1493"/>
      <c r="M26" s="1498"/>
      <c r="N26" s="1548"/>
    </row>
    <row r="27" spans="1:14" s="1467" customFormat="1" ht="101.25" customHeight="1">
      <c r="A27" s="1542"/>
      <c r="B27" s="1493" t="s">
        <v>114</v>
      </c>
      <c r="C27" s="1494">
        <v>3650</v>
      </c>
      <c r="D27" s="1624" t="s">
        <v>3010</v>
      </c>
      <c r="E27" s="1495" t="s">
        <v>26</v>
      </c>
      <c r="F27" s="1513" t="s">
        <v>64</v>
      </c>
      <c r="G27" s="1627"/>
      <c r="H27" s="1493" t="s">
        <v>65</v>
      </c>
      <c r="I27" s="1495" t="s">
        <v>213</v>
      </c>
      <c r="J27" s="1628" t="s">
        <v>3011</v>
      </c>
      <c r="K27" s="1547"/>
      <c r="L27" s="1493"/>
      <c r="M27" s="1498"/>
      <c r="N27" s="1548"/>
    </row>
    <row r="28" spans="1:14" s="1467" customFormat="1" ht="66.75" customHeight="1">
      <c r="A28" s="1542"/>
      <c r="B28" s="1726" t="s">
        <v>3012</v>
      </c>
      <c r="C28" s="1631">
        <v>35000</v>
      </c>
      <c r="D28" s="1632" t="s">
        <v>3013</v>
      </c>
      <c r="E28" s="1630" t="s">
        <v>2973</v>
      </c>
      <c r="F28" s="1513" t="s">
        <v>64</v>
      </c>
      <c r="G28" s="1599"/>
      <c r="H28" s="1493" t="s">
        <v>65</v>
      </c>
      <c r="I28" s="1495" t="s">
        <v>2974</v>
      </c>
      <c r="J28" s="1496" t="s">
        <v>3014</v>
      </c>
      <c r="K28" s="1547" t="s">
        <v>3015</v>
      </c>
      <c r="L28" s="1493"/>
      <c r="M28" s="1498"/>
      <c r="N28" s="1548"/>
    </row>
    <row r="29" spans="1:14" s="1467" customFormat="1" ht="131.94999999999999" customHeight="1">
      <c r="A29" s="1667"/>
      <c r="B29" s="1493" t="s">
        <v>3016</v>
      </c>
      <c r="C29" s="1668">
        <v>8350</v>
      </c>
      <c r="D29" s="1624" t="s">
        <v>3017</v>
      </c>
      <c r="E29" s="1493" t="s">
        <v>38</v>
      </c>
      <c r="F29" s="1513" t="s">
        <v>64</v>
      </c>
      <c r="G29" s="1627"/>
      <c r="H29" s="1493" t="s">
        <v>65</v>
      </c>
      <c r="I29" s="1495" t="s">
        <v>85</v>
      </c>
      <c r="J29" s="1633" t="s">
        <v>3018</v>
      </c>
      <c r="K29" s="1547" t="s">
        <v>3019</v>
      </c>
      <c r="L29" s="1493"/>
      <c r="M29" s="1498"/>
      <c r="N29" s="1548"/>
    </row>
    <row r="30" spans="1:14" s="1467" customFormat="1" ht="138.75" customHeight="1">
      <c r="A30" s="1542"/>
      <c r="B30" s="1630" t="s">
        <v>2962</v>
      </c>
      <c r="C30" s="1494">
        <v>6000</v>
      </c>
      <c r="D30" s="1624" t="s">
        <v>3020</v>
      </c>
      <c r="E30" s="1493" t="s">
        <v>88</v>
      </c>
      <c r="F30" s="1513" t="s">
        <v>64</v>
      </c>
      <c r="G30" s="1627"/>
      <c r="H30" s="1493" t="s">
        <v>65</v>
      </c>
      <c r="I30" s="1495" t="s">
        <v>3021</v>
      </c>
      <c r="J30" s="1634" t="s">
        <v>3022</v>
      </c>
      <c r="K30" s="1547">
        <f>C30-2400-1000-1300-200-360-990</f>
        <v>-250</v>
      </c>
      <c r="L30" s="1493"/>
      <c r="M30" s="1498"/>
      <c r="N30" s="1548"/>
    </row>
    <row r="31" spans="1:14" s="1588" customFormat="1" ht="77.95" customHeight="1">
      <c r="A31" s="1569"/>
      <c r="B31" s="1593" t="s">
        <v>3023</v>
      </c>
      <c r="C31" s="1580">
        <v>3080</v>
      </c>
      <c r="D31" s="1445" t="s">
        <v>3024</v>
      </c>
      <c r="E31" s="682" t="s">
        <v>24</v>
      </c>
      <c r="F31" s="1637" t="s">
        <v>64</v>
      </c>
      <c r="G31" s="1440"/>
      <c r="H31" s="1300" t="s">
        <v>65</v>
      </c>
      <c r="I31" s="682" t="s">
        <v>213</v>
      </c>
      <c r="J31" s="1586" t="s">
        <v>3025</v>
      </c>
      <c r="K31" s="1583"/>
      <c r="L31" s="682"/>
      <c r="M31" s="1583"/>
    </row>
    <row r="32" spans="1:14" s="139" customFormat="1" ht="203.95" customHeight="1">
      <c r="A32" s="478"/>
      <c r="B32" s="1638" t="s">
        <v>181</v>
      </c>
      <c r="C32" s="1639">
        <v>16300</v>
      </c>
      <c r="D32" s="1640" t="s">
        <v>3026</v>
      </c>
      <c r="E32" s="1638" t="s">
        <v>88</v>
      </c>
      <c r="F32" s="1640" t="s">
        <v>3027</v>
      </c>
      <c r="G32" s="1641"/>
      <c r="H32" s="1638" t="s">
        <v>65</v>
      </c>
      <c r="I32" s="1642" t="s">
        <v>90</v>
      </c>
      <c r="J32" s="1643" t="s">
        <v>3028</v>
      </c>
      <c r="K32" s="1644" t="s">
        <v>3029</v>
      </c>
      <c r="L32" s="1638"/>
      <c r="M32" s="1645"/>
    </row>
    <row r="33" spans="1:13" s="1588" customFormat="1" ht="169.5" customHeight="1">
      <c r="A33" s="681"/>
      <c r="B33" s="1593" t="s">
        <v>2968</v>
      </c>
      <c r="C33" s="1580">
        <v>12300</v>
      </c>
      <c r="D33" s="1445" t="s">
        <v>3030</v>
      </c>
      <c r="E33" s="682" t="s">
        <v>88</v>
      </c>
      <c r="F33" s="1637" t="s">
        <v>64</v>
      </c>
      <c r="G33" s="1637"/>
      <c r="H33" s="682" t="s">
        <v>65</v>
      </c>
      <c r="I33" s="682" t="s">
        <v>281</v>
      </c>
      <c r="J33" s="684" t="s">
        <v>3031</v>
      </c>
      <c r="L33" s="682"/>
      <c r="M33" s="1583"/>
    </row>
    <row r="34" spans="1:13" s="1588" customFormat="1" ht="77.3" customHeight="1">
      <c r="A34" s="1593">
        <v>31</v>
      </c>
      <c r="B34" s="1593" t="s">
        <v>134</v>
      </c>
      <c r="C34" s="1593">
        <v>2950</v>
      </c>
      <c r="D34" s="1593" t="s">
        <v>3032</v>
      </c>
      <c r="E34" s="1593" t="s">
        <v>22</v>
      </c>
      <c r="F34" s="1637" t="s">
        <v>64</v>
      </c>
      <c r="G34" s="1593"/>
      <c r="H34" s="1593" t="s">
        <v>65</v>
      </c>
      <c r="I34" s="1593" t="s">
        <v>268</v>
      </c>
      <c r="J34" s="1586" t="s">
        <v>3033</v>
      </c>
      <c r="K34" s="1593" t="s">
        <v>3034</v>
      </c>
      <c r="L34" s="682"/>
      <c r="M34" s="1587"/>
    </row>
  </sheetData>
  <autoFilter ref="A5:P5" xr:uid="{00000000-0009-0000-0000-000001000000}"/>
  <mergeCells count="4">
    <mergeCell ref="C1:K1"/>
    <mergeCell ref="A2:M2"/>
    <mergeCell ref="A4:B4"/>
    <mergeCell ref="B3:M3"/>
  </mergeCells>
  <conditionalFormatting sqref="A1:A4">
    <cfRule type="duplicateValues" dxfId="492" priority="5"/>
  </conditionalFormatting>
  <conditionalFormatting sqref="A5">
    <cfRule type="duplicateValues" dxfId="491" priority="4"/>
  </conditionalFormatting>
  <conditionalFormatting sqref="B5">
    <cfRule type="duplicateValues" dxfId="490" priority="1"/>
    <cfRule type="duplicateValues" dxfId="489" priority="2"/>
    <cfRule type="duplicateValues" dxfId="488"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topRight"/>
      <selection pane="bottomLeft"/>
      <selection pane="bottomRight"/>
    </sheetView>
  </sheetViews>
  <sheetFormatPr defaultColWidth="25.625" defaultRowHeight="18.350000000000001"/>
  <cols>
    <col min="1" max="1" width="6.625" style="359" customWidth="1"/>
    <col min="2" max="2" width="32.625" style="1" customWidth="1"/>
    <col min="3" max="3" width="15.875" style="1138" customWidth="1"/>
    <col min="4" max="4" width="26.375" style="271" customWidth="1"/>
    <col min="5" max="5" width="21.375" style="1" customWidth="1"/>
    <col min="6" max="6" width="28.375" style="271" customWidth="1"/>
    <col min="7" max="7" width="17.25" style="271" customWidth="1"/>
    <col min="8" max="8" width="16.375" style="1" customWidth="1"/>
    <col min="9" max="9" width="23.375" style="1" customWidth="1"/>
    <col min="10" max="10" width="114.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350000000000001" customHeight="1">
      <c r="B1" s="10"/>
      <c r="C1" s="3671"/>
      <c r="D1" s="3671"/>
      <c r="E1" s="3671"/>
      <c r="F1" s="3671"/>
      <c r="G1" s="3671"/>
      <c r="H1" s="3671"/>
      <c r="I1" s="3671"/>
      <c r="J1" s="3671"/>
      <c r="K1" s="3671"/>
      <c r="M1" s="1487"/>
    </row>
    <row r="2" spans="1:14" ht="34.5" customHeight="1">
      <c r="A2" s="3677" t="s">
        <v>3035</v>
      </c>
      <c r="B2" s="3677"/>
      <c r="C2" s="3677"/>
      <c r="D2" s="3677"/>
      <c r="E2" s="3677"/>
      <c r="F2" s="3677"/>
      <c r="G2" s="3677"/>
      <c r="H2" s="3677"/>
      <c r="I2" s="3677"/>
      <c r="J2" s="3677"/>
      <c r="K2" s="3677"/>
      <c r="L2" s="3677"/>
      <c r="M2" s="3677"/>
      <c r="N2" s="287"/>
    </row>
    <row r="3" spans="1:14" ht="57.1" customHeight="1">
      <c r="A3" s="1536"/>
      <c r="B3" s="3734" t="s">
        <v>3036</v>
      </c>
      <c r="C3" s="3735"/>
      <c r="D3" s="3735"/>
      <c r="E3" s="3735"/>
      <c r="F3" s="3735"/>
      <c r="G3" s="3735"/>
      <c r="H3" s="3735"/>
      <c r="I3" s="3735"/>
      <c r="J3" s="3735"/>
      <c r="K3" s="3735"/>
      <c r="L3" s="3735"/>
      <c r="M3" s="3736"/>
      <c r="N3" s="287"/>
    </row>
    <row r="4" spans="1:14" ht="35.35" customHeight="1">
      <c r="A4" s="3676"/>
      <c r="B4" s="3676"/>
      <c r="C4" s="1502">
        <f>SUBTOTAL(9,C6:C40)</f>
        <v>254270</v>
      </c>
      <c r="D4" s="1503"/>
      <c r="E4" s="1504"/>
      <c r="F4" s="1503"/>
      <c r="G4" s="1503"/>
      <c r="H4" s="1503"/>
      <c r="I4" s="1503"/>
      <c r="J4" s="1504">
        <f ca="1">TODAY()</f>
        <v>45988</v>
      </c>
      <c r="L4" s="1504"/>
      <c r="M4" s="1504"/>
      <c r="N4" s="287"/>
    </row>
    <row r="5" spans="1:14" s="1535" customFormat="1" ht="56.25" customHeight="1">
      <c r="A5" s="361" t="s">
        <v>48</v>
      </c>
      <c r="B5" s="204" t="s">
        <v>49</v>
      </c>
      <c r="C5" s="1432" t="s">
        <v>50</v>
      </c>
      <c r="D5" s="204" t="s">
        <v>51</v>
      </c>
      <c r="E5" s="204" t="s">
        <v>52</v>
      </c>
      <c r="F5" s="204" t="s">
        <v>53</v>
      </c>
      <c r="G5" s="204" t="s">
        <v>262</v>
      </c>
      <c r="H5" s="204" t="s">
        <v>55</v>
      </c>
      <c r="I5" s="204" t="s">
        <v>56</v>
      </c>
      <c r="J5" s="204" t="s">
        <v>57</v>
      </c>
      <c r="K5" s="204" t="s">
        <v>58</v>
      </c>
      <c r="L5" s="204" t="s">
        <v>59</v>
      </c>
      <c r="M5" s="204" t="s">
        <v>60</v>
      </c>
      <c r="N5" s="1534" t="e">
        <f>SUM(#REF!)</f>
        <v>#REF!</v>
      </c>
    </row>
    <row r="6" spans="1:14" s="1652" customFormat="1" ht="56.25" customHeight="1">
      <c r="A6" s="1647" cm="1">
        <f t="array" ref="A6:A40">_xlfn.SEQUENCE(35,1,1,)</f>
        <v>1</v>
      </c>
      <c r="B6" s="1648" t="s">
        <v>125</v>
      </c>
      <c r="C6" s="1649">
        <v>4250</v>
      </c>
      <c r="D6" s="1572" t="s">
        <v>3037</v>
      </c>
      <c r="E6" s="845" t="s">
        <v>22</v>
      </c>
      <c r="F6" s="1678" t="s">
        <v>3038</v>
      </c>
      <c r="G6" s="1679" t="s">
        <v>3039</v>
      </c>
      <c r="H6" s="1576" t="s">
        <v>65</v>
      </c>
      <c r="I6" s="845" t="s">
        <v>2551</v>
      </c>
      <c r="J6" s="1615" t="s">
        <v>3040</v>
      </c>
      <c r="K6" s="1650" t="s">
        <v>3041</v>
      </c>
      <c r="L6" s="845"/>
      <c r="M6" s="1651"/>
    </row>
    <row r="7" spans="1:14" s="1588" customFormat="1" ht="101.25" customHeight="1">
      <c r="A7" s="1569">
        <v>2</v>
      </c>
      <c r="B7" s="682" t="s">
        <v>158</v>
      </c>
      <c r="C7" s="1580">
        <v>3800</v>
      </c>
      <c r="D7" s="1669" t="s">
        <v>3042</v>
      </c>
      <c r="E7" s="682" t="s">
        <v>22</v>
      </c>
      <c r="F7" s="1680" t="s">
        <v>3043</v>
      </c>
      <c r="G7" s="1681" t="s">
        <v>3044</v>
      </c>
      <c r="H7" s="682" t="s">
        <v>65</v>
      </c>
      <c r="I7" s="682" t="s">
        <v>434</v>
      </c>
      <c r="J7" s="1586" t="s">
        <v>3045</v>
      </c>
      <c r="K7" s="1653" t="s">
        <v>3046</v>
      </c>
      <c r="L7" s="682"/>
      <c r="M7" s="1583"/>
    </row>
    <row r="8" spans="1:14" s="1652" customFormat="1" ht="56.25" customHeight="1">
      <c r="A8" s="1647">
        <v>3</v>
      </c>
      <c r="B8" s="1648" t="s">
        <v>2953</v>
      </c>
      <c r="C8" s="1649">
        <v>4000</v>
      </c>
      <c r="D8" s="1670" t="s">
        <v>3047</v>
      </c>
      <c r="E8" s="845" t="s">
        <v>20</v>
      </c>
      <c r="F8" s="1680" t="s">
        <v>3048</v>
      </c>
      <c r="G8" s="1681" t="s">
        <v>3049</v>
      </c>
      <c r="H8" s="845" t="s">
        <v>65</v>
      </c>
      <c r="I8" s="845" t="s">
        <v>294</v>
      </c>
      <c r="J8" s="1615" t="s">
        <v>3050</v>
      </c>
      <c r="K8" s="847"/>
      <c r="L8" s="845"/>
      <c r="M8" s="1651"/>
    </row>
    <row r="9" spans="1:14" s="841" customFormat="1" ht="68.3" customHeight="1">
      <c r="A9" s="1299">
        <v>4</v>
      </c>
      <c r="B9" s="1302" t="s">
        <v>3051</v>
      </c>
      <c r="C9" s="1301">
        <v>35000</v>
      </c>
      <c r="D9" s="1302" t="s">
        <v>3052</v>
      </c>
      <c r="E9" s="1300" t="s">
        <v>3053</v>
      </c>
      <c r="F9" s="1680" t="s">
        <v>3054</v>
      </c>
      <c r="G9" s="1681" t="s">
        <v>3055</v>
      </c>
      <c r="H9" s="1300" t="s">
        <v>65</v>
      </c>
      <c r="I9" s="1300" t="s">
        <v>85</v>
      </c>
      <c r="J9" s="1440" t="s">
        <v>3056</v>
      </c>
      <c r="K9" s="1441"/>
      <c r="L9" s="1300"/>
      <c r="M9" s="1475"/>
      <c r="N9" s="1673"/>
    </row>
    <row r="10" spans="1:14" s="841" customFormat="1" ht="68.3" customHeight="1">
      <c r="A10" s="1299">
        <v>5</v>
      </c>
      <c r="B10" s="1300" t="s">
        <v>2947</v>
      </c>
      <c r="C10" s="1301">
        <v>3000</v>
      </c>
      <c r="D10" s="1675" t="s">
        <v>3057</v>
      </c>
      <c r="E10" s="1300" t="s">
        <v>18</v>
      </c>
      <c r="F10" s="1680" t="s">
        <v>3058</v>
      </c>
      <c r="G10" s="1681" t="s">
        <v>3059</v>
      </c>
      <c r="H10" s="1300" t="s">
        <v>65</v>
      </c>
      <c r="I10" s="1302" t="s">
        <v>66</v>
      </c>
      <c r="J10" s="1586" t="s">
        <v>3060</v>
      </c>
      <c r="K10" s="1304"/>
      <c r="L10" s="1300"/>
      <c r="M10" s="1475"/>
      <c r="N10" s="1676"/>
    </row>
    <row r="11" spans="1:14" s="1588" customFormat="1" ht="88.5" customHeight="1">
      <c r="A11" s="1299">
        <v>6</v>
      </c>
      <c r="B11" s="1490" t="s">
        <v>3061</v>
      </c>
      <c r="C11" s="1301">
        <v>4000</v>
      </c>
      <c r="D11" s="1611" t="s">
        <v>3062</v>
      </c>
      <c r="E11" s="1300" t="s">
        <v>20</v>
      </c>
      <c r="F11" s="1682" t="s">
        <v>3063</v>
      </c>
      <c r="G11" s="1681" t="s">
        <v>3064</v>
      </c>
      <c r="H11" s="1300" t="s">
        <v>65</v>
      </c>
      <c r="I11" s="1300" t="s">
        <v>213</v>
      </c>
      <c r="J11" s="1440" t="s">
        <v>3065</v>
      </c>
      <c r="K11" s="1671"/>
      <c r="L11" s="1300"/>
      <c r="M11" s="1441"/>
      <c r="N11" s="1672"/>
    </row>
    <row r="12" spans="1:14" s="841" customFormat="1" ht="75.75" customHeight="1">
      <c r="A12" s="1299">
        <v>7</v>
      </c>
      <c r="B12" s="1302" t="s">
        <v>114</v>
      </c>
      <c r="C12" s="1301">
        <v>3700</v>
      </c>
      <c r="D12" s="1675" t="s">
        <v>3066</v>
      </c>
      <c r="E12" s="1300" t="s">
        <v>26</v>
      </c>
      <c r="F12" s="1683" t="s">
        <v>3067</v>
      </c>
      <c r="G12" s="1302" t="s">
        <v>64</v>
      </c>
      <c r="H12" s="1300" t="s">
        <v>65</v>
      </c>
      <c r="I12" s="1300" t="s">
        <v>66</v>
      </c>
      <c r="J12" s="1440" t="s">
        <v>3068</v>
      </c>
      <c r="K12" s="1441"/>
      <c r="L12" s="1300"/>
      <c r="M12" s="1475"/>
      <c r="N12" s="1673"/>
    </row>
    <row r="13" spans="1:14" s="841" customFormat="1" ht="75.75" customHeight="1">
      <c r="A13" s="1299">
        <v>8</v>
      </c>
      <c r="B13" s="1300" t="s">
        <v>3069</v>
      </c>
      <c r="C13" s="1301">
        <v>3800</v>
      </c>
      <c r="D13" s="1684" t="s">
        <v>3070</v>
      </c>
      <c r="E13" s="1300" t="s">
        <v>192</v>
      </c>
      <c r="F13" s="1685" t="s">
        <v>3071</v>
      </c>
      <c r="G13" s="1302" t="s">
        <v>64</v>
      </c>
      <c r="H13" s="1300" t="s">
        <v>65</v>
      </c>
      <c r="I13" s="1300" t="s">
        <v>66</v>
      </c>
      <c r="J13" s="1440" t="s">
        <v>3072</v>
      </c>
      <c r="K13" s="1441"/>
      <c r="L13" s="1300"/>
      <c r="M13" s="1475"/>
      <c r="N13" s="1673"/>
    </row>
    <row r="14" spans="1:14" s="841" customFormat="1" ht="75.75" customHeight="1">
      <c r="A14" s="1299">
        <v>9</v>
      </c>
      <c r="B14" s="1302" t="s">
        <v>2956</v>
      </c>
      <c r="C14" s="1301">
        <v>3000</v>
      </c>
      <c r="D14" s="1675" t="s">
        <v>3073</v>
      </c>
      <c r="E14" s="1300" t="s">
        <v>18</v>
      </c>
      <c r="F14" s="1685" t="s">
        <v>3074</v>
      </c>
      <c r="G14" s="1302" t="s">
        <v>64</v>
      </c>
      <c r="H14" s="1300" t="s">
        <v>65</v>
      </c>
      <c r="I14" s="1300" t="s">
        <v>294</v>
      </c>
      <c r="J14" s="1440" t="s">
        <v>3075</v>
      </c>
      <c r="K14" s="1441"/>
      <c r="L14" s="1300"/>
      <c r="M14" s="1475"/>
      <c r="N14" s="1673"/>
    </row>
    <row r="15" spans="1:14" s="841" customFormat="1" ht="91.7">
      <c r="A15" s="1299">
        <v>10</v>
      </c>
      <c r="B15" s="1300" t="s">
        <v>2962</v>
      </c>
      <c r="C15" s="1301">
        <v>6000</v>
      </c>
      <c r="D15" s="1675" t="s">
        <v>3042</v>
      </c>
      <c r="E15" s="1300" t="s">
        <v>88</v>
      </c>
      <c r="F15" s="1302" t="s">
        <v>3076</v>
      </c>
      <c r="G15" s="1302" t="s">
        <v>64</v>
      </c>
      <c r="H15" s="1300" t="s">
        <v>65</v>
      </c>
      <c r="I15" s="1300" t="s">
        <v>3077</v>
      </c>
      <c r="J15" s="1440" t="s">
        <v>3078</v>
      </c>
      <c r="K15" s="1441"/>
      <c r="L15" s="1300"/>
      <c r="M15" s="1475"/>
      <c r="N15" s="1673"/>
    </row>
    <row r="16" spans="1:14" s="841" customFormat="1" ht="108" customHeight="1">
      <c r="A16" s="1299">
        <v>11</v>
      </c>
      <c r="B16" s="1300" t="s">
        <v>2968</v>
      </c>
      <c r="C16" s="1301">
        <v>12300</v>
      </c>
      <c r="D16" s="1685" t="s">
        <v>3079</v>
      </c>
      <c r="E16" s="1300" t="s">
        <v>88</v>
      </c>
      <c r="F16" s="1685" t="s">
        <v>3080</v>
      </c>
      <c r="G16" s="1302" t="s">
        <v>64</v>
      </c>
      <c r="H16" s="1300" t="s">
        <v>65</v>
      </c>
      <c r="I16" s="1300" t="s">
        <v>213</v>
      </c>
      <c r="J16" s="1440" t="s">
        <v>3081</v>
      </c>
      <c r="K16" s="1441" t="s">
        <v>3082</v>
      </c>
      <c r="L16" s="1300"/>
      <c r="M16" s="1475"/>
      <c r="N16" s="1673"/>
    </row>
    <row r="17" spans="1:14" s="841" customFormat="1" ht="162.69999999999999" customHeight="1">
      <c r="A17" s="1299">
        <v>12</v>
      </c>
      <c r="B17" s="1302" t="s">
        <v>3083</v>
      </c>
      <c r="C17" s="1301">
        <v>13000</v>
      </c>
      <c r="D17" s="1302" t="s">
        <v>3084</v>
      </c>
      <c r="E17" s="1300" t="s">
        <v>3053</v>
      </c>
      <c r="F17" s="1490" t="s">
        <v>3085</v>
      </c>
      <c r="G17" s="1302" t="s">
        <v>64</v>
      </c>
      <c r="H17" s="1300" t="s">
        <v>65</v>
      </c>
      <c r="I17" s="1300" t="s">
        <v>327</v>
      </c>
      <c r="J17" s="1440" t="s">
        <v>3086</v>
      </c>
      <c r="K17" s="1686" t="s">
        <v>3046</v>
      </c>
      <c r="L17" s="1300"/>
      <c r="M17" s="1475"/>
      <c r="N17" s="1673"/>
    </row>
    <row r="18" spans="1:14" s="841" customFormat="1" ht="75.75" customHeight="1">
      <c r="A18" s="1299">
        <v>13</v>
      </c>
      <c r="B18" s="1300" t="s">
        <v>2956</v>
      </c>
      <c r="C18" s="1301">
        <v>3000</v>
      </c>
      <c r="D18" s="1611" t="s">
        <v>3087</v>
      </c>
      <c r="E18" s="1300" t="s">
        <v>24</v>
      </c>
      <c r="F18" s="1685" t="s">
        <v>3088</v>
      </c>
      <c r="G18" s="1302" t="s">
        <v>64</v>
      </c>
      <c r="H18" s="1300" t="s">
        <v>65</v>
      </c>
      <c r="I18" s="1300" t="s">
        <v>66</v>
      </c>
      <c r="J18" s="1440" t="s">
        <v>3089</v>
      </c>
      <c r="K18" s="1441" t="s">
        <v>3090</v>
      </c>
      <c r="L18" s="1299"/>
      <c r="M18" s="1300"/>
      <c r="N18" s="1301"/>
    </row>
    <row r="19" spans="1:14" s="841" customFormat="1" ht="138.75" customHeight="1">
      <c r="A19" s="1299">
        <v>14</v>
      </c>
      <c r="B19" s="1300" t="s">
        <v>234</v>
      </c>
      <c r="C19" s="1301">
        <v>12000</v>
      </c>
      <c r="D19" s="1611">
        <v>45265</v>
      </c>
      <c r="E19" s="1300" t="s">
        <v>88</v>
      </c>
      <c r="F19" s="1685" t="s">
        <v>3091</v>
      </c>
      <c r="G19" s="1302" t="s">
        <v>64</v>
      </c>
      <c r="H19" s="1300" t="s">
        <v>65</v>
      </c>
      <c r="I19" s="1300" t="s">
        <v>213</v>
      </c>
      <c r="J19" s="1440" t="s">
        <v>3092</v>
      </c>
      <c r="K19" s="1441"/>
      <c r="L19" s="1300"/>
      <c r="M19" s="1475"/>
      <c r="N19" s="1673"/>
    </row>
    <row r="20" spans="1:14" s="841" customFormat="1" ht="68.3" customHeight="1">
      <c r="A20" s="1299">
        <v>15</v>
      </c>
      <c r="B20" s="1302" t="s">
        <v>3093</v>
      </c>
      <c r="C20" s="1301">
        <v>5000</v>
      </c>
      <c r="D20" s="1302" t="s">
        <v>3094</v>
      </c>
      <c r="E20" s="1300" t="s">
        <v>38</v>
      </c>
      <c r="F20" s="1490" t="s">
        <v>3095</v>
      </c>
      <c r="G20" s="1302" t="s">
        <v>64</v>
      </c>
      <c r="H20" s="1300" t="s">
        <v>65</v>
      </c>
      <c r="I20" s="1300" t="s">
        <v>3096</v>
      </c>
      <c r="J20" s="1440" t="s">
        <v>3097</v>
      </c>
      <c r="K20" s="1304" t="s">
        <v>3098</v>
      </c>
      <c r="L20" s="1300"/>
      <c r="M20" s="1475"/>
      <c r="N20" s="1673"/>
    </row>
    <row r="21" spans="1:14" s="1674" customFormat="1" ht="124.5" customHeight="1">
      <c r="A21" s="1299">
        <v>16</v>
      </c>
      <c r="B21" s="1300" t="s">
        <v>129</v>
      </c>
      <c r="C21" s="1301">
        <v>3080</v>
      </c>
      <c r="D21" s="1302" t="s">
        <v>3099</v>
      </c>
      <c r="E21" s="1300" t="s">
        <v>24</v>
      </c>
      <c r="F21" s="1688" t="s">
        <v>3100</v>
      </c>
      <c r="G21" s="1302" t="s">
        <v>64</v>
      </c>
      <c r="H21" s="1300" t="s">
        <v>65</v>
      </c>
      <c r="I21" s="1300" t="s">
        <v>434</v>
      </c>
      <c r="J21" s="1440" t="s">
        <v>3101</v>
      </c>
      <c r="K21" s="1499"/>
      <c r="L21" s="1300"/>
      <c r="M21" s="1441"/>
      <c r="N21" s="1673"/>
    </row>
    <row r="22" spans="1:14" s="841" customFormat="1" ht="68.3" customHeight="1">
      <c r="A22" s="1299">
        <v>17</v>
      </c>
      <c r="B22" s="1302" t="s">
        <v>114</v>
      </c>
      <c r="C22" s="1301">
        <v>3700</v>
      </c>
      <c r="D22" s="1302" t="s">
        <v>3102</v>
      </c>
      <c r="E22" s="1300" t="s">
        <v>26</v>
      </c>
      <c r="F22" s="1688" t="s">
        <v>3103</v>
      </c>
      <c r="G22" s="1302" t="s">
        <v>64</v>
      </c>
      <c r="H22" s="1300" t="s">
        <v>65</v>
      </c>
      <c r="I22" s="1300" t="s">
        <v>213</v>
      </c>
      <c r="J22" s="1440" t="s">
        <v>3104</v>
      </c>
      <c r="K22" s="1687"/>
      <c r="L22" s="1300"/>
      <c r="M22" s="1475"/>
      <c r="N22" s="1673"/>
    </row>
    <row r="23" spans="1:14" s="841" customFormat="1" ht="87.8" customHeight="1">
      <c r="A23" s="1299">
        <v>18</v>
      </c>
      <c r="B23" s="1302" t="s">
        <v>3105</v>
      </c>
      <c r="C23" s="1301">
        <v>12000</v>
      </c>
      <c r="D23" s="1302" t="s">
        <v>3106</v>
      </c>
      <c r="E23" s="1300" t="s">
        <v>38</v>
      </c>
      <c r="F23" s="1509" t="s">
        <v>64</v>
      </c>
      <c r="G23" s="1302"/>
      <c r="H23" s="1300" t="s">
        <v>65</v>
      </c>
      <c r="I23" s="1300" t="s">
        <v>327</v>
      </c>
      <c r="J23" s="1440" t="s">
        <v>3107</v>
      </c>
      <c r="K23" s="1693" t="s">
        <v>3108</v>
      </c>
      <c r="L23" s="1300"/>
      <c r="M23" s="1475"/>
      <c r="N23" s="1673"/>
    </row>
    <row r="24" spans="1:14" s="841" customFormat="1" ht="118.55" customHeight="1">
      <c r="A24" s="1299">
        <v>19</v>
      </c>
      <c r="B24" s="1302" t="s">
        <v>158</v>
      </c>
      <c r="C24" s="1301">
        <v>3800</v>
      </c>
      <c r="D24" s="1302" t="s">
        <v>354</v>
      </c>
      <c r="E24" s="1300" t="s">
        <v>22</v>
      </c>
      <c r="F24" s="1509" t="s">
        <v>64</v>
      </c>
      <c r="G24" s="1302"/>
      <c r="H24" s="1300" t="s">
        <v>65</v>
      </c>
      <c r="I24" s="1300" t="s">
        <v>213</v>
      </c>
      <c r="J24" s="1440" t="s">
        <v>3109</v>
      </c>
      <c r="K24" s="1687" t="s">
        <v>3110</v>
      </c>
      <c r="L24" s="1300"/>
      <c r="M24" s="1475"/>
      <c r="N24" s="1673"/>
    </row>
    <row r="25" spans="1:14" s="841" customFormat="1" ht="104.3" customHeight="1">
      <c r="A25" s="1299">
        <v>20</v>
      </c>
      <c r="B25" s="1302" t="s">
        <v>252</v>
      </c>
      <c r="C25" s="1301">
        <v>4000</v>
      </c>
      <c r="D25" s="1302" t="s">
        <v>3111</v>
      </c>
      <c r="E25" s="1300" t="s">
        <v>20</v>
      </c>
      <c r="F25" s="1509" t="s">
        <v>64</v>
      </c>
      <c r="G25" s="1302"/>
      <c r="H25" s="1300" t="s">
        <v>65</v>
      </c>
      <c r="I25" s="1300" t="s">
        <v>213</v>
      </c>
      <c r="J25" s="1440" t="s">
        <v>3112</v>
      </c>
      <c r="K25" s="1687"/>
      <c r="L25" s="1300"/>
      <c r="M25" s="1475"/>
      <c r="N25" s="1673"/>
    </row>
    <row r="26" spans="1:14" s="1702" customFormat="1" ht="86.95" customHeight="1">
      <c r="A26" s="1694">
        <v>21</v>
      </c>
      <c r="B26" s="1695" t="s">
        <v>3113</v>
      </c>
      <c r="C26" s="1696">
        <v>9620</v>
      </c>
      <c r="D26" s="1688" t="s">
        <v>3114</v>
      </c>
      <c r="E26" s="1695" t="s">
        <v>38</v>
      </c>
      <c r="F26" s="1683" t="s">
        <v>64</v>
      </c>
      <c r="G26" s="1697"/>
      <c r="H26" s="1695" t="s">
        <v>65</v>
      </c>
      <c r="I26" s="1695" t="s">
        <v>3115</v>
      </c>
      <c r="J26" s="1698" t="s">
        <v>3116</v>
      </c>
      <c r="K26" s="1699" t="s">
        <v>3117</v>
      </c>
      <c r="L26" s="1695"/>
      <c r="M26" s="1700"/>
      <c r="N26" s="1701"/>
    </row>
    <row r="27" spans="1:14" s="841" customFormat="1" ht="104.3" customHeight="1">
      <c r="A27" s="1299">
        <v>22</v>
      </c>
      <c r="B27" s="1302" t="s">
        <v>2962</v>
      </c>
      <c r="C27" s="1301">
        <v>6000</v>
      </c>
      <c r="D27" s="1302" t="s">
        <v>2992</v>
      </c>
      <c r="E27" s="1300" t="s">
        <v>88</v>
      </c>
      <c r="F27" s="1683" t="s">
        <v>64</v>
      </c>
      <c r="G27" s="1302"/>
      <c r="H27" s="1303" t="s">
        <v>65</v>
      </c>
      <c r="I27" s="1303" t="s">
        <v>213</v>
      </c>
      <c r="J27" s="1440" t="s">
        <v>3118</v>
      </c>
      <c r="K27" s="1687"/>
      <c r="L27" s="1300"/>
      <c r="M27" s="1475"/>
      <c r="N27" s="1673"/>
    </row>
    <row r="28" spans="1:14" s="841" customFormat="1" ht="63" customHeight="1">
      <c r="A28" s="1299">
        <v>23</v>
      </c>
      <c r="B28" s="1300" t="s">
        <v>3119</v>
      </c>
      <c r="C28" s="1301">
        <v>35000</v>
      </c>
      <c r="D28" s="1685" t="s">
        <v>3120</v>
      </c>
      <c r="E28" s="1300" t="s">
        <v>3053</v>
      </c>
      <c r="F28" s="1688" t="s">
        <v>64</v>
      </c>
      <c r="G28" s="1302" t="s">
        <v>3121</v>
      </c>
      <c r="H28" s="1300" t="s">
        <v>65</v>
      </c>
      <c r="I28" s="1300" t="s">
        <v>85</v>
      </c>
      <c r="J28" s="1440" t="s">
        <v>3122</v>
      </c>
      <c r="K28" s="1304" t="s">
        <v>3123</v>
      </c>
      <c r="L28" s="1300"/>
      <c r="M28" s="1475"/>
      <c r="N28" s="1673"/>
    </row>
    <row r="29" spans="1:14" s="1715" customFormat="1" ht="79.5" customHeight="1">
      <c r="A29" s="1708">
        <v>24</v>
      </c>
      <c r="B29" s="1709" t="s">
        <v>134</v>
      </c>
      <c r="C29" s="1710">
        <v>2900</v>
      </c>
      <c r="D29" s="1711" t="s">
        <v>3124</v>
      </c>
      <c r="E29" s="1712" t="s">
        <v>20</v>
      </c>
      <c r="F29" s="1756" t="s">
        <v>64</v>
      </c>
      <c r="G29" s="1648"/>
      <c r="H29" s="1709" t="s">
        <v>65</v>
      </c>
      <c r="I29" s="1709" t="s">
        <v>213</v>
      </c>
      <c r="J29" s="1615" t="s">
        <v>3125</v>
      </c>
      <c r="K29" s="1713"/>
      <c r="L29" s="1709"/>
      <c r="M29" s="1714"/>
    </row>
    <row r="30" spans="1:14" s="841" customFormat="1" ht="68.3" customHeight="1">
      <c r="A30" s="1719">
        <v>25</v>
      </c>
      <c r="B30" s="1438" t="s">
        <v>125</v>
      </c>
      <c r="C30" s="1720">
        <v>4000</v>
      </c>
      <c r="D30" s="1438" t="s">
        <v>3126</v>
      </c>
      <c r="E30" s="1442" t="s">
        <v>22</v>
      </c>
      <c r="F30" s="1756" t="s">
        <v>64</v>
      </c>
      <c r="G30" s="1438"/>
      <c r="H30" s="1442" t="s">
        <v>65</v>
      </c>
      <c r="I30" s="1442" t="s">
        <v>66</v>
      </c>
      <c r="J30" s="1447" t="s">
        <v>3127</v>
      </c>
      <c r="K30" s="1721" t="s">
        <v>3128</v>
      </c>
      <c r="L30" s="1442"/>
      <c r="M30" s="1722"/>
      <c r="N30" s="1673"/>
    </row>
    <row r="31" spans="1:14" s="841" customFormat="1" ht="70.5" customHeight="1">
      <c r="A31" s="1299">
        <v>26</v>
      </c>
      <c r="B31" s="1302" t="s">
        <v>3129</v>
      </c>
      <c r="C31" s="1301">
        <v>10000</v>
      </c>
      <c r="D31" s="1302" t="s">
        <v>3130</v>
      </c>
      <c r="E31" s="1300" t="s">
        <v>38</v>
      </c>
      <c r="F31" s="1756" t="s">
        <v>64</v>
      </c>
      <c r="G31" s="1302" t="s">
        <v>3131</v>
      </c>
      <c r="H31" s="1300" t="s">
        <v>65</v>
      </c>
      <c r="I31" s="1300" t="s">
        <v>3132</v>
      </c>
      <c r="J31" s="1440" t="s">
        <v>3133</v>
      </c>
      <c r="K31" s="1304"/>
      <c r="L31" s="1300"/>
      <c r="M31" s="1441"/>
      <c r="N31" s="1673"/>
    </row>
    <row r="32" spans="1:14" s="1702" customFormat="1" ht="63" customHeight="1">
      <c r="A32" s="1694">
        <v>27</v>
      </c>
      <c r="B32" s="1695" t="s">
        <v>3134</v>
      </c>
      <c r="C32" s="1696">
        <v>8500</v>
      </c>
      <c r="D32" s="1688" t="s">
        <v>3135</v>
      </c>
      <c r="E32" s="1695" t="s">
        <v>3136</v>
      </c>
      <c r="F32" s="1756" t="s">
        <v>64</v>
      </c>
      <c r="G32" s="1697" t="s">
        <v>3135</v>
      </c>
      <c r="H32" s="1695" t="s">
        <v>65</v>
      </c>
      <c r="I32" s="1695" t="s">
        <v>3137</v>
      </c>
      <c r="J32" s="1440" t="s">
        <v>3138</v>
      </c>
      <c r="K32" s="1699" t="s">
        <v>3139</v>
      </c>
      <c r="L32" s="1695"/>
      <c r="M32" s="1700"/>
      <c r="N32" s="1701"/>
    </row>
    <row r="33" spans="1:14" s="1677" customFormat="1" ht="93.1" customHeight="1">
      <c r="A33" s="840">
        <v>28</v>
      </c>
      <c r="B33" s="1572" t="s">
        <v>153</v>
      </c>
      <c r="C33" s="1649">
        <v>10000</v>
      </c>
      <c r="D33" s="1572" t="s">
        <v>3140</v>
      </c>
      <c r="E33" s="845" t="s">
        <v>88</v>
      </c>
      <c r="F33" s="1756" t="s">
        <v>64</v>
      </c>
      <c r="G33" s="1572"/>
      <c r="H33" s="845" t="s">
        <v>65</v>
      </c>
      <c r="I33" s="845" t="s">
        <v>106</v>
      </c>
      <c r="J33" s="1615" t="s">
        <v>3141</v>
      </c>
      <c r="K33" s="1727" t="s">
        <v>3142</v>
      </c>
      <c r="L33" s="1576"/>
      <c r="M33" s="1577"/>
      <c r="N33" s="1676"/>
    </row>
    <row r="34" spans="1:14" s="841" customFormat="1" ht="68.3" customHeight="1">
      <c r="A34" s="1299">
        <v>29</v>
      </c>
      <c r="B34" s="1302" t="s">
        <v>3143</v>
      </c>
      <c r="C34" s="1301">
        <v>6000</v>
      </c>
      <c r="D34" s="1302" t="s">
        <v>3144</v>
      </c>
      <c r="E34" s="1300" t="s">
        <v>88</v>
      </c>
      <c r="F34" s="1756" t="s">
        <v>64</v>
      </c>
      <c r="G34" s="1302" t="s">
        <v>3145</v>
      </c>
      <c r="H34" s="1300" t="s">
        <v>65</v>
      </c>
      <c r="I34" s="1300" t="s">
        <v>294</v>
      </c>
      <c r="J34" s="1440" t="s">
        <v>3146</v>
      </c>
      <c r="K34" s="1441"/>
      <c r="L34" s="1300"/>
      <c r="M34" s="1475"/>
      <c r="N34" s="1673"/>
    </row>
    <row r="35" spans="1:14" s="1674" customFormat="1" ht="75.099999999999994" customHeight="1">
      <c r="A35" s="1299">
        <v>30</v>
      </c>
      <c r="B35" s="1300" t="s">
        <v>103</v>
      </c>
      <c r="C35" s="1301">
        <v>3200</v>
      </c>
      <c r="D35" s="1302" t="s">
        <v>3147</v>
      </c>
      <c r="E35" s="1300" t="s">
        <v>24</v>
      </c>
      <c r="F35" s="1756" t="s">
        <v>64</v>
      </c>
      <c r="G35" s="1302"/>
      <c r="H35" s="1300" t="s">
        <v>65</v>
      </c>
      <c r="I35" s="1300" t="s">
        <v>142</v>
      </c>
      <c r="J35" s="1440" t="s">
        <v>3148</v>
      </c>
      <c r="K35" s="1441" t="s">
        <v>3149</v>
      </c>
      <c r="L35" s="1300"/>
      <c r="M35" s="1441"/>
      <c r="N35" s="1673"/>
    </row>
    <row r="36" spans="1:14" s="1674" customFormat="1" ht="111.1" customHeight="1">
      <c r="A36" s="1299">
        <v>31</v>
      </c>
      <c r="B36" s="1300" t="s">
        <v>3150</v>
      </c>
      <c r="C36" s="1301">
        <v>12000</v>
      </c>
      <c r="D36" s="1302" t="s">
        <v>3151</v>
      </c>
      <c r="E36" s="1300" t="s">
        <v>88</v>
      </c>
      <c r="F36" s="1756" t="s">
        <v>64</v>
      </c>
      <c r="G36" s="1302"/>
      <c r="H36" s="1300" t="s">
        <v>65</v>
      </c>
      <c r="I36" s="1300" t="s">
        <v>213</v>
      </c>
      <c r="J36" s="1728" t="s">
        <v>3152</v>
      </c>
      <c r="K36" s="1757" t="s">
        <v>3153</v>
      </c>
      <c r="L36" s="1610"/>
      <c r="M36" s="1441"/>
      <c r="N36" s="1673"/>
    </row>
    <row r="37" spans="1:14" s="1674" customFormat="1" ht="82.55" customHeight="1">
      <c r="A37" s="1299">
        <v>32</v>
      </c>
      <c r="B37" s="1300" t="s">
        <v>97</v>
      </c>
      <c r="C37" s="1301">
        <v>4620</v>
      </c>
      <c r="D37" s="1302" t="s">
        <v>3154</v>
      </c>
      <c r="E37" s="1300" t="s">
        <v>18</v>
      </c>
      <c r="F37" s="1756" t="s">
        <v>64</v>
      </c>
      <c r="G37" s="1302"/>
      <c r="H37" s="1300" t="s">
        <v>65</v>
      </c>
      <c r="I37" s="1300" t="s">
        <v>240</v>
      </c>
      <c r="J37" s="1728" t="s">
        <v>3155</v>
      </c>
      <c r="K37" s="1729"/>
      <c r="L37" s="1610"/>
      <c r="M37" s="1441"/>
      <c r="N37" s="1673"/>
    </row>
    <row r="38" spans="1:14" s="1623" customFormat="1" ht="109.5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0.95" customHeight="1">
      <c r="A40" s="368">
        <v>35</v>
      </c>
      <c r="B40" s="1660" t="s">
        <v>3156</v>
      </c>
      <c r="C40" s="1658"/>
      <c r="D40" s="1659" t="s">
        <v>257</v>
      </c>
      <c r="E40" s="1660" t="s">
        <v>88</v>
      </c>
      <c r="F40" s="1659"/>
      <c r="G40" s="1659"/>
      <c r="H40" s="1660"/>
      <c r="I40" s="1660"/>
      <c r="J40" s="1716"/>
      <c r="K40" s="1717"/>
      <c r="L40" s="1718"/>
      <c r="M40" s="1663"/>
      <c r="N40" s="1691"/>
    </row>
    <row r="41" spans="1:14" s="1636" customFormat="1" ht="39.1" customHeight="1">
      <c r="A41" s="368"/>
      <c r="B41" s="1657" t="s">
        <v>2956</v>
      </c>
      <c r="C41" s="1658"/>
      <c r="D41" s="1659" t="s">
        <v>257</v>
      </c>
      <c r="E41" s="1660" t="s">
        <v>20</v>
      </c>
      <c r="F41" s="1659"/>
      <c r="G41" s="1659"/>
      <c r="H41" s="1660"/>
      <c r="I41" s="1660"/>
      <c r="J41" s="1661"/>
      <c r="K41" s="1662"/>
      <c r="L41" s="1660"/>
      <c r="M41" s="1663"/>
      <c r="N41" s="1655"/>
    </row>
    <row r="42" spans="1:14" s="1636" customFormat="1" ht="45.7" customHeight="1">
      <c r="A42" s="368"/>
      <c r="B42" s="1660" t="s">
        <v>103</v>
      </c>
      <c r="C42" s="1658"/>
      <c r="D42" s="1664" t="s">
        <v>257</v>
      </c>
      <c r="E42" s="1660" t="s">
        <v>20</v>
      </c>
      <c r="F42" s="1665"/>
      <c r="G42" s="1659"/>
      <c r="H42" s="1660"/>
      <c r="I42" s="1659"/>
      <c r="J42" s="1661"/>
      <c r="K42" s="1663"/>
      <c r="L42" s="1660"/>
      <c r="M42" s="1666"/>
      <c r="N42" s="1655"/>
    </row>
    <row r="43" spans="1:14" s="1635" customFormat="1" ht="34.5" customHeight="1">
      <c r="A43" s="368"/>
      <c r="B43" s="1657" t="s">
        <v>125</v>
      </c>
      <c r="C43" s="1658"/>
      <c r="D43" s="1659" t="s">
        <v>257</v>
      </c>
      <c r="E43" s="1660" t="s">
        <v>20</v>
      </c>
      <c r="F43" s="1659"/>
      <c r="G43" s="1659"/>
      <c r="H43" s="1660"/>
      <c r="I43" s="1660"/>
      <c r="J43" s="1661"/>
      <c r="K43" s="1663"/>
      <c r="L43" s="1660"/>
      <c r="M43" s="1663"/>
      <c r="N43" s="1656"/>
    </row>
    <row r="44" spans="1:14" s="1636" customFormat="1" ht="46.55" customHeight="1">
      <c r="A44" s="368"/>
      <c r="B44" s="1657" t="s">
        <v>97</v>
      </c>
      <c r="C44" s="1658"/>
      <c r="D44" s="1659" t="s">
        <v>257</v>
      </c>
      <c r="E44" s="1660" t="s">
        <v>26</v>
      </c>
      <c r="F44" s="1659"/>
      <c r="G44" s="1659"/>
      <c r="H44" s="1660"/>
      <c r="I44" s="1660"/>
      <c r="J44" s="1661"/>
      <c r="K44" s="1663"/>
      <c r="L44" s="1660"/>
      <c r="M44" s="1663"/>
      <c r="N44" s="1655"/>
    </row>
    <row r="45" spans="1:14" s="376" customFormat="1" ht="36" customHeight="1">
      <c r="A45" s="368"/>
      <c r="B45" s="1659" t="s">
        <v>134</v>
      </c>
      <c r="C45" s="1658"/>
      <c r="D45" s="1659" t="s">
        <v>257</v>
      </c>
      <c r="E45" s="1660" t="s">
        <v>22</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7" priority="5"/>
  </conditionalFormatting>
  <conditionalFormatting sqref="A5">
    <cfRule type="duplicateValues" dxfId="486" priority="4"/>
  </conditionalFormatting>
  <conditionalFormatting sqref="B5">
    <cfRule type="duplicateValues" dxfId="485" priority="1"/>
    <cfRule type="duplicateValues" dxfId="484" priority="2"/>
    <cfRule type="duplicateValues" dxfId="483"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topRight"/>
      <selection pane="bottomLeft"/>
      <selection pane="bottomRight"/>
    </sheetView>
  </sheetViews>
  <sheetFormatPr defaultColWidth="25.625" defaultRowHeight="18.350000000000001"/>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350000000000001" customHeight="1">
      <c r="B1" s="10"/>
      <c r="C1" s="3671"/>
      <c r="D1" s="3671"/>
      <c r="E1" s="3671"/>
      <c r="F1" s="3671"/>
      <c r="G1" s="3671"/>
      <c r="H1" s="3671"/>
      <c r="I1" s="3671"/>
      <c r="J1" s="3671"/>
      <c r="L1" s="1349"/>
    </row>
    <row r="2" spans="1:13" ht="34.5" customHeight="1">
      <c r="A2" s="3745" t="s">
        <v>3157</v>
      </c>
      <c r="B2" s="3745"/>
      <c r="C2" s="3745"/>
      <c r="D2" s="3745"/>
      <c r="E2" s="3745"/>
      <c r="F2" s="3745"/>
      <c r="G2" s="3745"/>
      <c r="H2" s="3745"/>
      <c r="I2" s="3745"/>
      <c r="J2" s="3745"/>
      <c r="K2" s="3745"/>
      <c r="L2" s="3745"/>
      <c r="M2" s="287"/>
    </row>
    <row r="3" spans="1:13" ht="29.25" customHeight="1">
      <c r="A3" s="3743">
        <f>C3-5000</f>
        <v>78618</v>
      </c>
      <c r="B3" s="3676"/>
      <c r="C3" s="1177">
        <f>SUBTOTAL(9,C5:C33)</f>
        <v>83618</v>
      </c>
      <c r="D3" s="3744"/>
      <c r="E3" s="3744"/>
      <c r="F3" s="3744"/>
      <c r="G3" s="3744"/>
      <c r="H3" s="3744"/>
      <c r="I3" s="3744"/>
      <c r="J3" s="1350">
        <f ca="1">TODAY()</f>
        <v>45988</v>
      </c>
      <c r="K3" s="1350"/>
      <c r="L3" s="1350"/>
      <c r="M3" s="287"/>
    </row>
    <row r="4" spans="1:13" s="7" customFormat="1" ht="56.25" customHeight="1">
      <c r="A4" s="361" t="s">
        <v>48</v>
      </c>
      <c r="B4" s="204" t="s">
        <v>49</v>
      </c>
      <c r="C4" s="1432" t="s">
        <v>50</v>
      </c>
      <c r="D4" s="204" t="s">
        <v>51</v>
      </c>
      <c r="E4" s="204" t="s">
        <v>53</v>
      </c>
      <c r="F4" s="204" t="s">
        <v>262</v>
      </c>
      <c r="G4" s="204" t="s">
        <v>55</v>
      </c>
      <c r="H4" s="204" t="s">
        <v>56</v>
      </c>
      <c r="I4" s="206" t="s">
        <v>57</v>
      </c>
      <c r="J4" s="204" t="s">
        <v>58</v>
      </c>
      <c r="K4" s="204" t="s">
        <v>52</v>
      </c>
      <c r="L4" s="204" t="s">
        <v>60</v>
      </c>
      <c r="M4" s="1404" t="e">
        <f>SUM(#REF!)</f>
        <v>#REF!</v>
      </c>
    </row>
    <row r="5" spans="1:13" s="659" customFormat="1" ht="55.55" customHeight="1">
      <c r="A5" s="1299" cm="1">
        <f t="array" ref="A5:A24">_xlfn.SEQUENCE(20,1,1,)</f>
        <v>1</v>
      </c>
      <c r="B5" s="1300" t="s">
        <v>290</v>
      </c>
      <c r="C5" s="1301">
        <v>3000</v>
      </c>
      <c r="D5" s="1302" t="s">
        <v>267</v>
      </c>
      <c r="E5" s="1302" t="s">
        <v>3158</v>
      </c>
      <c r="F5" s="1302"/>
      <c r="G5" s="1303" t="s">
        <v>65</v>
      </c>
      <c r="H5" s="1300" t="s">
        <v>213</v>
      </c>
      <c r="I5" s="1440" t="s">
        <v>3159</v>
      </c>
      <c r="J5" s="1300">
        <f>3000-850</f>
        <v>2150</v>
      </c>
      <c r="K5" s="1300" t="s">
        <v>22</v>
      </c>
      <c r="L5" s="1300"/>
    </row>
    <row r="6" spans="1:13" s="659" customFormat="1" ht="146.75">
      <c r="A6" s="1299">
        <v>2</v>
      </c>
      <c r="B6" s="1300" t="s">
        <v>315</v>
      </c>
      <c r="C6" s="1301">
        <v>4250</v>
      </c>
      <c r="D6" s="1302" t="s">
        <v>267</v>
      </c>
      <c r="E6" s="1302" t="s">
        <v>3160</v>
      </c>
      <c r="F6" s="1302"/>
      <c r="G6" s="1303" t="s">
        <v>65</v>
      </c>
      <c r="H6" s="1300" t="s">
        <v>434</v>
      </c>
      <c r="I6" s="1440" t="s">
        <v>3161</v>
      </c>
      <c r="J6" s="1300" t="s">
        <v>3162</v>
      </c>
      <c r="K6" s="1300" t="s">
        <v>22</v>
      </c>
      <c r="L6" s="1300" t="s">
        <v>3163</v>
      </c>
    </row>
    <row r="7" spans="1:13" s="659" customFormat="1" ht="171" customHeight="1">
      <c r="A7" s="1299">
        <v>3</v>
      </c>
      <c r="B7" s="1300" t="s">
        <v>320</v>
      </c>
      <c r="C7" s="1301">
        <v>16000</v>
      </c>
      <c r="D7" s="1302" t="s">
        <v>267</v>
      </c>
      <c r="E7" s="1436" t="s">
        <v>3164</v>
      </c>
      <c r="F7" s="1302"/>
      <c r="G7" s="1303" t="s">
        <v>65</v>
      </c>
      <c r="H7" s="1300" t="s">
        <v>213</v>
      </c>
      <c r="I7" s="1440" t="s">
        <v>3165</v>
      </c>
      <c r="J7" s="1302" t="s">
        <v>3166</v>
      </c>
      <c r="K7" s="1300" t="s">
        <v>88</v>
      </c>
      <c r="L7" s="1302" t="s">
        <v>3167</v>
      </c>
    </row>
    <row r="8" spans="1:13" s="659" customFormat="1" ht="103.6" customHeight="1">
      <c r="A8" s="1299">
        <v>4</v>
      </c>
      <c r="B8" s="1300" t="s">
        <v>741</v>
      </c>
      <c r="C8" s="1301">
        <v>6770</v>
      </c>
      <c r="D8" s="1302" t="s">
        <v>267</v>
      </c>
      <c r="E8" s="1436" t="s">
        <v>3168</v>
      </c>
      <c r="F8" s="1302"/>
      <c r="G8" s="1303" t="s">
        <v>65</v>
      </c>
      <c r="H8" s="1300" t="s">
        <v>213</v>
      </c>
      <c r="I8" s="1440" t="s">
        <v>3169</v>
      </c>
      <c r="J8" s="1302"/>
      <c r="K8" s="1300" t="s">
        <v>18</v>
      </c>
      <c r="L8" s="1302" t="s">
        <v>3170</v>
      </c>
    </row>
    <row r="9" spans="1:13" s="659" customFormat="1" ht="75.099999999999994" customHeight="1">
      <c r="A9" s="1299">
        <v>5</v>
      </c>
      <c r="B9" s="1300" t="s">
        <v>3171</v>
      </c>
      <c r="C9" s="1301">
        <v>5000</v>
      </c>
      <c r="D9" s="1302" t="s">
        <v>267</v>
      </c>
      <c r="E9" s="1302" t="s">
        <v>3172</v>
      </c>
      <c r="F9" s="1302"/>
      <c r="G9" s="1303" t="s">
        <v>65</v>
      </c>
      <c r="H9" s="1300" t="s">
        <v>3096</v>
      </c>
      <c r="I9" s="1304" t="s">
        <v>3173</v>
      </c>
      <c r="J9" s="1437" t="s">
        <v>3174</v>
      </c>
      <c r="K9" s="1300" t="s">
        <v>306</v>
      </c>
      <c r="L9" s="1302" t="s">
        <v>3175</v>
      </c>
      <c r="M9" s="841"/>
    </row>
    <row r="10" spans="1:13" s="659" customFormat="1" ht="77.3" customHeight="1">
      <c r="A10" s="1299">
        <v>6</v>
      </c>
      <c r="B10" s="1300" t="s">
        <v>311</v>
      </c>
      <c r="C10" s="1301">
        <v>3940</v>
      </c>
      <c r="D10" s="1302" t="s">
        <v>267</v>
      </c>
      <c r="E10" s="1438" t="s">
        <v>3176</v>
      </c>
      <c r="F10" s="1439"/>
      <c r="G10" s="1303" t="s">
        <v>65</v>
      </c>
      <c r="H10" s="1300" t="s">
        <v>213</v>
      </c>
      <c r="I10" s="1440" t="s">
        <v>3177</v>
      </c>
      <c r="J10" s="1441"/>
      <c r="K10" s="1300" t="s">
        <v>22</v>
      </c>
      <c r="L10" s="1441"/>
      <c r="M10" s="841"/>
    </row>
    <row r="11" spans="1:13" s="659" customFormat="1" ht="77.3" customHeight="1">
      <c r="A11" s="1299">
        <v>7</v>
      </c>
      <c r="B11" s="1442" t="s">
        <v>331</v>
      </c>
      <c r="C11" s="1443">
        <v>3088</v>
      </c>
      <c r="D11" s="1444" t="s">
        <v>267</v>
      </c>
      <c r="E11" s="1445"/>
      <c r="F11" s="1446"/>
      <c r="G11" s="1303" t="s">
        <v>65</v>
      </c>
      <c r="H11" s="1300" t="s">
        <v>213</v>
      </c>
      <c r="I11" s="1447" t="s">
        <v>3178</v>
      </c>
      <c r="J11" s="1448"/>
      <c r="K11" s="1300" t="s">
        <v>24</v>
      </c>
      <c r="L11" s="1441"/>
      <c r="M11" s="841"/>
    </row>
    <row r="12" spans="1:13" s="841" customFormat="1" ht="121.6" customHeight="1">
      <c r="A12" s="1299">
        <v>8</v>
      </c>
      <c r="B12" s="1442" t="s">
        <v>3179</v>
      </c>
      <c r="C12" s="1301">
        <v>4000</v>
      </c>
      <c r="D12" s="1302" t="s">
        <v>267</v>
      </c>
      <c r="E12" s="1449" t="s">
        <v>3180</v>
      </c>
      <c r="F12" s="1450"/>
      <c r="G12" s="1300" t="s">
        <v>65</v>
      </c>
      <c r="H12" s="1442" t="s">
        <v>213</v>
      </c>
      <c r="I12" s="1451" t="s">
        <v>3181</v>
      </c>
      <c r="J12" s="1451" t="s">
        <v>3182</v>
      </c>
      <c r="K12" s="1300" t="s">
        <v>22</v>
      </c>
      <c r="L12" s="1441"/>
    </row>
    <row r="13" spans="1:13" s="841" customFormat="1" ht="213.8" customHeight="1">
      <c r="A13" s="1299">
        <v>9</v>
      </c>
      <c r="B13" s="1300" t="s">
        <v>738</v>
      </c>
      <c r="C13" s="1301">
        <v>16000</v>
      </c>
      <c r="D13" s="1302" t="s">
        <v>3183</v>
      </c>
      <c r="E13" s="1454" t="s">
        <v>3184</v>
      </c>
      <c r="F13" s="1455" t="s">
        <v>3185</v>
      </c>
      <c r="G13" s="1300" t="s">
        <v>65</v>
      </c>
      <c r="H13" s="1300" t="s">
        <v>213</v>
      </c>
      <c r="I13" s="1440" t="s">
        <v>3186</v>
      </c>
      <c r="J13" s="1304" t="s">
        <v>3187</v>
      </c>
      <c r="K13" s="1300" t="s">
        <v>88</v>
      </c>
      <c r="L13" s="1441">
        <f>16000-1200-1000-1000-3000-900-2000</f>
        <v>6900</v>
      </c>
    </row>
    <row r="14" spans="1:13" s="841" customFormat="1" ht="100.55" customHeight="1">
      <c r="A14" s="1299">
        <v>10</v>
      </c>
      <c r="B14" s="1300" t="s">
        <v>353</v>
      </c>
      <c r="C14" s="1301">
        <v>11800</v>
      </c>
      <c r="D14" s="1302" t="s">
        <v>267</v>
      </c>
      <c r="E14" s="1302" t="s">
        <v>3188</v>
      </c>
      <c r="F14" s="1455"/>
      <c r="G14" s="1300" t="s">
        <v>65</v>
      </c>
      <c r="H14" s="1456" t="s">
        <v>213</v>
      </c>
      <c r="I14" s="684" t="s">
        <v>3189</v>
      </c>
      <c r="J14" s="1304"/>
      <c r="K14" s="1300" t="s">
        <v>88</v>
      </c>
      <c r="L14" s="1441"/>
    </row>
    <row r="15" spans="1:13" s="1467" customFormat="1" ht="50.3" customHeight="1">
      <c r="A15" s="1457">
        <v>11</v>
      </c>
      <c r="B15" s="1458" t="s">
        <v>741</v>
      </c>
      <c r="C15" s="1459">
        <v>6770</v>
      </c>
      <c r="D15" s="1460" t="s">
        <v>267</v>
      </c>
      <c r="E15" s="1460" t="s">
        <v>3190</v>
      </c>
      <c r="F15" s="1461"/>
      <c r="G15" s="1462" t="s">
        <v>65</v>
      </c>
      <c r="H15" s="1463" t="s">
        <v>213</v>
      </c>
      <c r="I15" s="1464" t="s">
        <v>3191</v>
      </c>
      <c r="J15" s="1465"/>
      <c r="K15" s="1458" t="s">
        <v>88</v>
      </c>
      <c r="L15" s="1466"/>
    </row>
    <row r="16" spans="1:13" s="1467" customFormat="1" ht="50.3" customHeight="1">
      <c r="A16" s="1457">
        <v>12</v>
      </c>
      <c r="B16" s="1458" t="s">
        <v>290</v>
      </c>
      <c r="C16" s="1459">
        <v>3000</v>
      </c>
      <c r="D16" s="1460" t="s">
        <v>267</v>
      </c>
      <c r="E16" s="1460" t="s">
        <v>3192</v>
      </c>
      <c r="F16" s="1461"/>
      <c r="G16" s="1458" t="s">
        <v>65</v>
      </c>
      <c r="H16" s="1458" t="s">
        <v>142</v>
      </c>
      <c r="I16" s="1472" t="s">
        <v>3193</v>
      </c>
      <c r="J16" s="1468" t="s">
        <v>3194</v>
      </c>
      <c r="K16" s="1469" t="s">
        <v>22</v>
      </c>
      <c r="L16" s="1470"/>
    </row>
    <row r="17" spans="1:12" ht="50.3" customHeight="1">
      <c r="A17" s="360">
        <v>13</v>
      </c>
      <c r="B17" s="3746" t="s">
        <v>263</v>
      </c>
      <c r="C17" s="3747"/>
      <c r="D17" s="3747"/>
      <c r="E17" s="3747"/>
      <c r="F17" s="3747"/>
      <c r="G17" s="3747"/>
      <c r="H17" s="3747"/>
      <c r="I17" s="3747"/>
      <c r="J17" s="3747"/>
      <c r="K17" s="3747"/>
      <c r="L17" s="3748"/>
    </row>
    <row r="18" spans="1:12" ht="97.5" customHeight="1">
      <c r="A18" s="1452">
        <v>14</v>
      </c>
      <c r="B18" s="41"/>
      <c r="C18" s="1282"/>
      <c r="D18" s="90"/>
      <c r="E18" s="1435"/>
      <c r="F18" s="1435"/>
      <c r="G18" s="41"/>
      <c r="H18" s="41"/>
      <c r="I18" s="507"/>
      <c r="J18" s="44"/>
      <c r="K18" s="41"/>
      <c r="L18" s="1453"/>
    </row>
    <row r="19" spans="1:12" ht="37.549999999999997" customHeight="1">
      <c r="A19" s="360">
        <v>15</v>
      </c>
      <c r="B19" s="642"/>
      <c r="C19" s="1433"/>
      <c r="D19" s="3737" t="s">
        <v>3195</v>
      </c>
      <c r="E19" s="3738"/>
      <c r="F19" s="3738"/>
      <c r="G19" s="3738"/>
      <c r="H19" s="3738"/>
      <c r="I19" s="3739"/>
      <c r="J19" s="1434"/>
      <c r="K19" s="642"/>
      <c r="L19" s="1434"/>
    </row>
    <row r="20" spans="1:12" ht="37.549999999999997" customHeight="1">
      <c r="A20" s="360">
        <v>16</v>
      </c>
      <c r="B20" s="41"/>
      <c r="C20" s="1282"/>
      <c r="D20" s="3737"/>
      <c r="E20" s="3738"/>
      <c r="F20" s="3738"/>
      <c r="G20" s="3738"/>
      <c r="H20" s="3738"/>
      <c r="I20" s="3739"/>
      <c r="J20" s="44"/>
      <c r="K20" s="41"/>
      <c r="L20" s="44"/>
    </row>
    <row r="21" spans="1:12" ht="37.549999999999997" customHeight="1">
      <c r="A21" s="360">
        <v>17</v>
      </c>
      <c r="B21" s="41"/>
      <c r="C21" s="1282"/>
      <c r="D21" s="3737"/>
      <c r="E21" s="3738"/>
      <c r="F21" s="3738"/>
      <c r="G21" s="3738"/>
      <c r="H21" s="3738"/>
      <c r="I21" s="3739"/>
      <c r="J21" s="44"/>
      <c r="K21" s="41"/>
      <c r="L21" s="44"/>
    </row>
    <row r="22" spans="1:12" ht="37.549999999999997" customHeight="1">
      <c r="A22" s="360">
        <v>18</v>
      </c>
      <c r="B22" s="41"/>
      <c r="C22" s="1282"/>
      <c r="D22" s="3737"/>
      <c r="E22" s="3738"/>
      <c r="F22" s="3738"/>
      <c r="G22" s="3738"/>
      <c r="H22" s="3738"/>
      <c r="I22" s="3739"/>
      <c r="J22" s="44"/>
      <c r="K22" s="41"/>
      <c r="L22" s="44"/>
    </row>
    <row r="23" spans="1:12" ht="37.549999999999997" customHeight="1">
      <c r="A23" s="360">
        <v>19</v>
      </c>
      <c r="B23" s="41"/>
      <c r="C23" s="1282"/>
      <c r="D23" s="3740"/>
      <c r="E23" s="3741"/>
      <c r="F23" s="3741"/>
      <c r="G23" s="3741"/>
      <c r="H23" s="3741"/>
      <c r="I23" s="3742"/>
      <c r="J23" s="44"/>
      <c r="K23" s="41"/>
      <c r="L23" s="44"/>
    </row>
    <row r="24" spans="1:12" ht="37.549999999999997"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2" priority="8"/>
  </conditionalFormatting>
  <conditionalFormatting sqref="A4">
    <cfRule type="duplicateValues" dxfId="481" priority="4"/>
  </conditionalFormatting>
  <conditionalFormatting sqref="B4">
    <cfRule type="duplicateValues" dxfId="480" priority="1"/>
    <cfRule type="duplicateValues" dxfId="479" priority="2"/>
    <cfRule type="duplicateValues" dxfId="478"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topRight" activeCell="E39" sqref="E39"/>
      <selection pane="bottomLeft" activeCell="E39" sqref="E39"/>
      <selection pane="bottomRight" activeCell="E39" sqref="E39"/>
    </sheetView>
  </sheetViews>
  <sheetFormatPr defaultColWidth="25.625" defaultRowHeight="58.6"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37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6" customHeight="1">
      <c r="B1" s="10"/>
      <c r="C1" s="3671"/>
      <c r="D1" s="3671"/>
      <c r="E1" s="3671"/>
      <c r="F1" s="3671"/>
      <c r="G1" s="3671"/>
      <c r="H1" s="3671"/>
      <c r="I1" s="3671"/>
      <c r="J1" s="3671"/>
      <c r="K1" s="3671"/>
      <c r="M1" s="1848"/>
    </row>
    <row r="2" spans="1:14" ht="59.3" customHeight="1">
      <c r="A2" s="3672" t="s">
        <v>3196</v>
      </c>
      <c r="B2" s="3672"/>
      <c r="C2" s="3672"/>
      <c r="D2" s="3672"/>
      <c r="E2" s="3672"/>
      <c r="F2" s="3672"/>
      <c r="G2" s="3672"/>
      <c r="H2" s="3672"/>
      <c r="I2" s="3672"/>
      <c r="J2" s="3672"/>
      <c r="K2" s="3672"/>
      <c r="L2" s="3672"/>
      <c r="M2" s="3672"/>
      <c r="N2" s="287"/>
    </row>
    <row r="3" spans="1:14" s="1725" customFormat="1" ht="45" customHeight="1">
      <c r="A3" s="1723"/>
      <c r="B3" s="3673"/>
      <c r="C3" s="3674"/>
      <c r="D3" s="3674"/>
      <c r="E3" s="3674"/>
      <c r="F3" s="3674"/>
      <c r="G3" s="3674"/>
      <c r="H3" s="3674"/>
      <c r="I3" s="3674"/>
      <c r="J3" s="3674"/>
      <c r="K3" s="3674"/>
      <c r="L3" s="3674"/>
      <c r="M3" s="3675"/>
      <c r="N3" s="1724"/>
    </row>
    <row r="4" spans="1:14" ht="30.1" customHeight="1">
      <c r="A4" s="3676"/>
      <c r="B4" s="3676"/>
      <c r="C4" s="1810">
        <f>SUBTOTAL(9,C6:C38)</f>
        <v>228800</v>
      </c>
      <c r="D4" s="1503"/>
      <c r="E4" s="1504"/>
      <c r="F4" s="1503"/>
      <c r="G4" s="1503"/>
      <c r="H4" s="1503"/>
      <c r="I4" s="1503"/>
      <c r="J4" s="1504">
        <f ca="1">TODAY()</f>
        <v>45988</v>
      </c>
      <c r="L4" s="1504"/>
      <c r="M4" s="1849"/>
      <c r="N4" s="287"/>
    </row>
    <row r="5" spans="1:14" s="1535" customFormat="1" ht="36" customHeight="1">
      <c r="A5" s="361" t="s">
        <v>48</v>
      </c>
      <c r="B5" s="204" t="s">
        <v>49</v>
      </c>
      <c r="C5" s="1811" t="s">
        <v>50</v>
      </c>
      <c r="D5" s="204" t="s">
        <v>51</v>
      </c>
      <c r="E5" s="204" t="s">
        <v>52</v>
      </c>
      <c r="F5" s="204" t="s">
        <v>53</v>
      </c>
      <c r="G5" s="204" t="s">
        <v>262</v>
      </c>
      <c r="H5" s="204" t="s">
        <v>55</v>
      </c>
      <c r="I5" s="204" t="s">
        <v>56</v>
      </c>
      <c r="J5" s="204" t="s">
        <v>57</v>
      </c>
      <c r="K5" s="204" t="s">
        <v>58</v>
      </c>
      <c r="L5" s="204" t="s">
        <v>59</v>
      </c>
      <c r="M5" s="204" t="s">
        <v>60</v>
      </c>
      <c r="N5" s="1534" t="e">
        <f>SUM(#REF!)</f>
        <v>#REF!</v>
      </c>
    </row>
    <row r="6" spans="1:14" s="1548" customFormat="1" ht="68.95" customHeight="1">
      <c r="A6" s="1542" cm="1">
        <f t="array" ref="A6:A52">_xlfn.SEQUENCE(47,1,1)</f>
        <v>1</v>
      </c>
      <c r="B6" s="1493" t="s">
        <v>247</v>
      </c>
      <c r="C6" s="1826">
        <v>4300</v>
      </c>
      <c r="D6" s="1495" t="s">
        <v>3197</v>
      </c>
      <c r="E6" s="1493" t="s">
        <v>88</v>
      </c>
      <c r="F6" s="1495" t="s">
        <v>3198</v>
      </c>
      <c r="G6" s="1495"/>
      <c r="H6" s="1493" t="s">
        <v>65</v>
      </c>
      <c r="I6" s="1493" t="s">
        <v>240</v>
      </c>
      <c r="J6" s="1600" t="s">
        <v>3199</v>
      </c>
      <c r="K6" s="1547"/>
      <c r="L6" s="1493"/>
      <c r="M6" s="1790"/>
    </row>
    <row r="7" spans="1:14" s="1548" customFormat="1" ht="68.95" customHeight="1">
      <c r="A7" s="1542">
        <v>2</v>
      </c>
      <c r="B7" s="1493" t="s">
        <v>103</v>
      </c>
      <c r="C7" s="1826">
        <v>3200</v>
      </c>
      <c r="D7" s="1495" t="s">
        <v>3200</v>
      </c>
      <c r="E7" s="1493" t="s">
        <v>24</v>
      </c>
      <c r="F7" s="1495" t="s">
        <v>3201</v>
      </c>
      <c r="G7" s="1495"/>
      <c r="H7" s="1493" t="s">
        <v>65</v>
      </c>
      <c r="I7" s="1493" t="s">
        <v>142</v>
      </c>
      <c r="J7" s="1843" t="s">
        <v>3202</v>
      </c>
      <c r="K7" s="1547"/>
      <c r="L7" s="1493"/>
      <c r="M7" s="1790"/>
    </row>
    <row r="8" spans="1:14" s="1548" customFormat="1" ht="68.95" customHeight="1">
      <c r="A8" s="1542">
        <v>3</v>
      </c>
      <c r="B8" s="1493" t="s">
        <v>3203</v>
      </c>
      <c r="C8" s="1826">
        <v>10000</v>
      </c>
      <c r="D8" s="1495" t="s">
        <v>3204</v>
      </c>
      <c r="E8" s="1493" t="s">
        <v>38</v>
      </c>
      <c r="F8" s="1495" t="s">
        <v>3205</v>
      </c>
      <c r="G8" s="1495" t="s">
        <v>1527</v>
      </c>
      <c r="H8" s="1493" t="s">
        <v>65</v>
      </c>
      <c r="I8" s="1493" t="s">
        <v>219</v>
      </c>
      <c r="J8" s="1547" t="s">
        <v>3206</v>
      </c>
      <c r="K8" s="1547" t="s">
        <v>3207</v>
      </c>
      <c r="L8" s="1493"/>
      <c r="M8" s="1790"/>
    </row>
    <row r="9" spans="1:14" s="1548" customFormat="1" ht="146.25" customHeight="1">
      <c r="A9" s="1542">
        <v>4</v>
      </c>
      <c r="B9" s="1493" t="s">
        <v>153</v>
      </c>
      <c r="C9" s="1826">
        <v>11600</v>
      </c>
      <c r="D9" s="1766" t="s">
        <v>3204</v>
      </c>
      <c r="E9" s="1493" t="s">
        <v>22</v>
      </c>
      <c r="F9" s="1495" t="s">
        <v>3205</v>
      </c>
      <c r="G9" s="1495"/>
      <c r="H9" s="1493" t="s">
        <v>65</v>
      </c>
      <c r="I9" s="1493" t="s">
        <v>3208</v>
      </c>
      <c r="J9" s="1600" t="s">
        <v>3209</v>
      </c>
      <c r="K9" s="1547"/>
      <c r="L9" s="1493"/>
      <c r="M9" s="1790"/>
    </row>
    <row r="10" spans="1:14" s="1548" customFormat="1" ht="137.25" customHeight="1">
      <c r="A10" s="1542">
        <v>5</v>
      </c>
      <c r="B10" s="1493" t="s">
        <v>2968</v>
      </c>
      <c r="C10" s="1826">
        <v>12000</v>
      </c>
      <c r="D10" s="1766" t="s">
        <v>3197</v>
      </c>
      <c r="E10" s="1493" t="s">
        <v>88</v>
      </c>
      <c r="F10" s="1495" t="s">
        <v>3210</v>
      </c>
      <c r="G10" s="1495"/>
      <c r="H10" s="1493" t="s">
        <v>65</v>
      </c>
      <c r="I10" s="1493" t="s">
        <v>90</v>
      </c>
      <c r="J10" s="1600" t="s">
        <v>3211</v>
      </c>
      <c r="K10" s="1600" t="s">
        <v>3212</v>
      </c>
      <c r="L10" s="1493"/>
      <c r="M10" s="1790"/>
    </row>
    <row r="11" spans="1:14" s="1548" customFormat="1" ht="71.349999999999994" customHeight="1">
      <c r="A11" s="1542">
        <v>6</v>
      </c>
      <c r="B11" s="1493" t="s">
        <v>158</v>
      </c>
      <c r="C11" s="1826">
        <v>4000</v>
      </c>
      <c r="D11" s="1495" t="s">
        <v>3213</v>
      </c>
      <c r="E11" s="1493" t="s">
        <v>20</v>
      </c>
      <c r="F11" s="1495" t="s">
        <v>3201</v>
      </c>
      <c r="G11" s="1495"/>
      <c r="H11" s="1493" t="s">
        <v>65</v>
      </c>
      <c r="I11" s="1545" t="s">
        <v>106</v>
      </c>
      <c r="J11" s="1600" t="s">
        <v>3214</v>
      </c>
      <c r="K11" s="1600" t="s">
        <v>3215</v>
      </c>
      <c r="L11" s="1493"/>
      <c r="M11" s="1790"/>
    </row>
    <row r="12" spans="1:14" s="1559" customFormat="1" ht="70.5" customHeight="1">
      <c r="A12" s="1553">
        <v>7</v>
      </c>
      <c r="B12" s="1545" t="s">
        <v>2962</v>
      </c>
      <c r="C12" s="1827">
        <v>6080</v>
      </c>
      <c r="D12" s="1543" t="s">
        <v>3216</v>
      </c>
      <c r="E12" s="1545" t="s">
        <v>88</v>
      </c>
      <c r="F12" s="1495" t="s">
        <v>3217</v>
      </c>
      <c r="G12" s="1543"/>
      <c r="H12" s="1493" t="s">
        <v>65</v>
      </c>
      <c r="I12" s="1545" t="s">
        <v>90</v>
      </c>
      <c r="J12" s="1605" t="s">
        <v>3218</v>
      </c>
      <c r="K12" s="1828"/>
      <c r="L12" s="1545"/>
      <c r="M12" s="1852"/>
    </row>
    <row r="13" spans="1:14" s="1548" customFormat="1" ht="77.95" customHeight="1">
      <c r="A13" s="1542">
        <v>8</v>
      </c>
      <c r="B13" s="1493" t="s">
        <v>3219</v>
      </c>
      <c r="C13" s="1826">
        <f>10000+700</f>
        <v>10700</v>
      </c>
      <c r="D13" s="1495" t="s">
        <v>3220</v>
      </c>
      <c r="E13" s="1493" t="s">
        <v>38</v>
      </c>
      <c r="F13" s="1495" t="s">
        <v>3221</v>
      </c>
      <c r="G13" s="1495"/>
      <c r="H13" s="1493" t="s">
        <v>65</v>
      </c>
      <c r="I13" s="1495" t="s">
        <v>3222</v>
      </c>
      <c r="J13" s="1600" t="s">
        <v>3223</v>
      </c>
      <c r="K13" s="1547" t="s">
        <v>3224</v>
      </c>
      <c r="L13" s="1493"/>
      <c r="M13" s="1790"/>
    </row>
    <row r="14" spans="1:14" s="1548" customFormat="1" ht="73.55" customHeight="1">
      <c r="A14" s="1542">
        <v>9</v>
      </c>
      <c r="B14" s="1493" t="s">
        <v>3225</v>
      </c>
      <c r="C14" s="1826">
        <v>15000</v>
      </c>
      <c r="D14" s="1495" t="s">
        <v>3226</v>
      </c>
      <c r="E14" s="1493" t="s">
        <v>38</v>
      </c>
      <c r="F14" s="1495" t="s">
        <v>3221</v>
      </c>
      <c r="G14" s="1495"/>
      <c r="H14" s="1493" t="s">
        <v>65</v>
      </c>
      <c r="I14" s="1545" t="s">
        <v>112</v>
      </c>
      <c r="J14" s="1843" t="s">
        <v>3227</v>
      </c>
      <c r="K14" s="1547" t="s">
        <v>3207</v>
      </c>
      <c r="L14" s="1493"/>
      <c r="M14" s="1790"/>
    </row>
    <row r="15" spans="1:14" s="1548" customFormat="1" ht="130.6" customHeight="1">
      <c r="A15" s="1542">
        <v>10</v>
      </c>
      <c r="B15" s="1493" t="s">
        <v>87</v>
      </c>
      <c r="C15" s="1826">
        <v>6000</v>
      </c>
      <c r="D15" s="1495" t="s">
        <v>3228</v>
      </c>
      <c r="E15" s="1493" t="s">
        <v>88</v>
      </c>
      <c r="F15" s="1495" t="s">
        <v>3201</v>
      </c>
      <c r="G15" s="1495"/>
      <c r="H15" s="1493" t="s">
        <v>65</v>
      </c>
      <c r="I15" s="1493" t="s">
        <v>90</v>
      </c>
      <c r="J15" s="1600" t="s">
        <v>3229</v>
      </c>
      <c r="K15" s="1845" t="s">
        <v>3230</v>
      </c>
      <c r="L15" s="1493"/>
      <c r="M15" s="1790"/>
    </row>
    <row r="16" spans="1:14" s="1548" customFormat="1" ht="71.349999999999994" customHeight="1">
      <c r="A16" s="1542">
        <v>11</v>
      </c>
      <c r="B16" s="1493" t="s">
        <v>252</v>
      </c>
      <c r="C16" s="1826">
        <v>4000</v>
      </c>
      <c r="D16" s="1495" t="s">
        <v>3231</v>
      </c>
      <c r="E16" s="1493" t="s">
        <v>20</v>
      </c>
      <c r="F16" s="1495" t="s">
        <v>3201</v>
      </c>
      <c r="G16" s="1495"/>
      <c r="H16" s="1493" t="s">
        <v>65</v>
      </c>
      <c r="I16" s="1493" t="s">
        <v>117</v>
      </c>
      <c r="J16" s="1600" t="s">
        <v>3232</v>
      </c>
      <c r="K16" s="1547"/>
      <c r="L16" s="1493"/>
      <c r="M16" s="1790"/>
    </row>
    <row r="17" spans="1:13" s="1548" customFormat="1" ht="58.6" customHeight="1">
      <c r="A17" s="1542">
        <v>12</v>
      </c>
      <c r="B17" s="1493" t="s">
        <v>114</v>
      </c>
      <c r="C17" s="1826">
        <v>3700</v>
      </c>
      <c r="D17" s="1787" t="s">
        <v>3233</v>
      </c>
      <c r="E17" s="1493" t="s">
        <v>192</v>
      </c>
      <c r="F17" s="1495" t="s">
        <v>3217</v>
      </c>
      <c r="G17" s="1495"/>
      <c r="H17" s="1493" t="s">
        <v>65</v>
      </c>
      <c r="I17" s="1493" t="s">
        <v>240</v>
      </c>
      <c r="J17" s="1547" t="s">
        <v>3234</v>
      </c>
      <c r="K17" s="1547"/>
      <c r="L17" s="1493"/>
      <c r="M17" s="1790"/>
    </row>
    <row r="18" spans="1:13" s="1548" customFormat="1" ht="109.55" customHeight="1">
      <c r="A18" s="1542">
        <v>13</v>
      </c>
      <c r="B18" s="1493" t="s">
        <v>97</v>
      </c>
      <c r="C18" s="1826">
        <v>4700</v>
      </c>
      <c r="D18" s="1495" t="s">
        <v>3233</v>
      </c>
      <c r="E18" s="1493" t="s">
        <v>26</v>
      </c>
      <c r="F18" s="1495" t="s">
        <v>3217</v>
      </c>
      <c r="H18" s="1493" t="s">
        <v>65</v>
      </c>
      <c r="I18" s="1493" t="s">
        <v>3021</v>
      </c>
      <c r="J18" s="1600" t="s">
        <v>3235</v>
      </c>
      <c r="K18" s="1547" t="s">
        <v>3236</v>
      </c>
      <c r="L18" s="1493"/>
      <c r="M18" s="1790"/>
    </row>
    <row r="19" spans="1:13" s="1548" customFormat="1" ht="64.55" customHeight="1">
      <c r="A19" s="1850">
        <v>14</v>
      </c>
      <c r="B19" s="1493" t="s">
        <v>134</v>
      </c>
      <c r="C19" s="1826">
        <v>2950</v>
      </c>
      <c r="D19" s="1495" t="s">
        <v>3237</v>
      </c>
      <c r="E19" s="1493" t="s">
        <v>22</v>
      </c>
      <c r="F19" s="1495" t="s">
        <v>3217</v>
      </c>
      <c r="G19" s="1851" t="s">
        <v>68</v>
      </c>
      <c r="H19" s="1626" t="s">
        <v>65</v>
      </c>
      <c r="I19" s="1493" t="s">
        <v>142</v>
      </c>
      <c r="J19" s="1600" t="s">
        <v>3238</v>
      </c>
      <c r="K19" s="1547"/>
      <c r="L19" s="1493"/>
      <c r="M19" s="1790"/>
    </row>
    <row r="20" spans="1:13" s="1548" customFormat="1" ht="93.75" customHeight="1">
      <c r="A20" s="1542">
        <v>15</v>
      </c>
      <c r="B20" s="1626" t="s">
        <v>129</v>
      </c>
      <c r="C20" s="1826">
        <v>3080</v>
      </c>
      <c r="D20" s="1787" t="s">
        <v>3239</v>
      </c>
      <c r="E20" s="1493" t="s">
        <v>24</v>
      </c>
      <c r="F20" s="1495" t="s">
        <v>3240</v>
      </c>
      <c r="G20" s="1495" t="s">
        <v>64</v>
      </c>
      <c r="H20" s="1626" t="s">
        <v>65</v>
      </c>
      <c r="I20" s="1493" t="s">
        <v>95</v>
      </c>
      <c r="J20" s="1600" t="s">
        <v>3241</v>
      </c>
      <c r="K20" s="1547"/>
      <c r="L20" s="1493"/>
      <c r="M20" s="1790"/>
    </row>
    <row r="21" spans="1:13" s="1548" customFormat="1" ht="108.7" customHeight="1">
      <c r="A21" s="1542">
        <v>16</v>
      </c>
      <c r="B21" s="1493" t="s">
        <v>3242</v>
      </c>
      <c r="C21" s="1826">
        <v>5360</v>
      </c>
      <c r="D21" s="1495" t="s">
        <v>3220</v>
      </c>
      <c r="E21" s="1493" t="s">
        <v>554</v>
      </c>
      <c r="F21" s="1495" t="s">
        <v>3243</v>
      </c>
      <c r="G21" s="1495" t="s">
        <v>64</v>
      </c>
      <c r="H21" s="1493" t="s">
        <v>65</v>
      </c>
      <c r="I21" s="1493" t="s">
        <v>3244</v>
      </c>
      <c r="J21" s="1600" t="s">
        <v>3245</v>
      </c>
      <c r="K21" s="1854" t="s">
        <v>3246</v>
      </c>
      <c r="L21" s="1493"/>
      <c r="M21" s="1790"/>
    </row>
    <row r="22" spans="1:13" s="1548" customFormat="1" ht="78.8" customHeight="1">
      <c r="A22" s="1542">
        <v>17</v>
      </c>
      <c r="B22" s="1493" t="s">
        <v>125</v>
      </c>
      <c r="C22" s="1826">
        <v>4250</v>
      </c>
      <c r="D22" s="1493" t="s">
        <v>3247</v>
      </c>
      <c r="E22" s="1493" t="s">
        <v>22</v>
      </c>
      <c r="F22" s="1495" t="s">
        <v>3248</v>
      </c>
      <c r="G22" s="1495" t="s">
        <v>64</v>
      </c>
      <c r="H22" s="1493" t="s">
        <v>65</v>
      </c>
      <c r="I22" s="1495" t="s">
        <v>3249</v>
      </c>
      <c r="J22" s="1600" t="s">
        <v>3250</v>
      </c>
      <c r="K22" s="1843" t="s">
        <v>3251</v>
      </c>
      <c r="L22" s="1493"/>
      <c r="M22" s="1790" t="s">
        <v>68</v>
      </c>
    </row>
    <row r="23" spans="1:13" s="1548" customFormat="1" ht="85.6" customHeight="1">
      <c r="A23" s="1553">
        <v>18</v>
      </c>
      <c r="B23" s="1493" t="s">
        <v>3252</v>
      </c>
      <c r="C23" s="1826">
        <v>4300</v>
      </c>
      <c r="D23" s="1495" t="s">
        <v>3253</v>
      </c>
      <c r="E23" s="1493" t="s">
        <v>18</v>
      </c>
      <c r="F23" s="1748" t="s">
        <v>3254</v>
      </c>
      <c r="G23" s="1495" t="s">
        <v>64</v>
      </c>
      <c r="H23" s="1493" t="s">
        <v>65</v>
      </c>
      <c r="I23" s="1493" t="s">
        <v>164</v>
      </c>
      <c r="J23" s="1600" t="s">
        <v>3255</v>
      </c>
      <c r="K23" s="1600" t="s">
        <v>3256</v>
      </c>
      <c r="L23" s="1493"/>
      <c r="M23" s="1790" t="s">
        <v>68</v>
      </c>
    </row>
    <row r="24" spans="1:13" s="1548" customFormat="1" ht="71.349999999999994" customHeight="1">
      <c r="A24" s="1542">
        <v>19</v>
      </c>
      <c r="B24" s="1626" t="s">
        <v>103</v>
      </c>
      <c r="C24" s="1826">
        <v>3250</v>
      </c>
      <c r="D24" s="1495" t="s">
        <v>3257</v>
      </c>
      <c r="E24" s="1493" t="s">
        <v>24</v>
      </c>
      <c r="F24" s="1851" t="s">
        <v>3258</v>
      </c>
      <c r="G24" s="1548" t="s">
        <v>64</v>
      </c>
      <c r="H24" s="1626" t="s">
        <v>65</v>
      </c>
      <c r="I24" s="1495" t="s">
        <v>3259</v>
      </c>
      <c r="J24" s="1600" t="s">
        <v>3260</v>
      </c>
      <c r="K24" s="1547" t="s">
        <v>3261</v>
      </c>
      <c r="L24" s="1493"/>
      <c r="M24" s="1790" t="s">
        <v>68</v>
      </c>
    </row>
    <row r="25" spans="1:13" s="1548" customFormat="1" ht="212.3" customHeight="1">
      <c r="A25" s="1553">
        <v>20</v>
      </c>
      <c r="B25" s="1601" t="s">
        <v>3262</v>
      </c>
      <c r="C25" s="1826">
        <v>22700</v>
      </c>
      <c r="D25" s="1495" t="s">
        <v>3263</v>
      </c>
      <c r="E25" s="1493" t="s">
        <v>38</v>
      </c>
      <c r="F25" s="1495" t="s">
        <v>3264</v>
      </c>
      <c r="G25" s="1548" t="s">
        <v>64</v>
      </c>
      <c r="H25" s="1493" t="s">
        <v>65</v>
      </c>
      <c r="I25" s="1493" t="s">
        <v>263</v>
      </c>
      <c r="J25" s="1843" t="s">
        <v>3265</v>
      </c>
      <c r="K25" s="1600" t="s">
        <v>3266</v>
      </c>
      <c r="L25" s="1493"/>
      <c r="M25" s="1790"/>
    </row>
    <row r="26" spans="1:13" s="1548" customFormat="1" ht="91.55" customHeight="1">
      <c r="A26" s="1542">
        <v>21</v>
      </c>
      <c r="B26" s="1493" t="s">
        <v>3267</v>
      </c>
      <c r="C26" s="1855">
        <v>20000</v>
      </c>
      <c r="D26" s="1495" t="s">
        <v>3268</v>
      </c>
      <c r="E26" s="1493" t="s">
        <v>120</v>
      </c>
      <c r="F26" s="1495" t="s">
        <v>3269</v>
      </c>
      <c r="G26" s="1548" t="s">
        <v>64</v>
      </c>
      <c r="H26" s="1493" t="s">
        <v>65</v>
      </c>
      <c r="I26" s="1493" t="s">
        <v>3270</v>
      </c>
      <c r="J26" s="1600" t="s">
        <v>3271</v>
      </c>
      <c r="K26" s="1547" t="s">
        <v>3272</v>
      </c>
      <c r="L26" s="1493"/>
      <c r="M26" s="1790"/>
    </row>
    <row r="27" spans="1:13" s="1548" customFormat="1" ht="85.6" customHeight="1">
      <c r="A27" s="1850">
        <v>22</v>
      </c>
      <c r="B27" s="1493" t="s">
        <v>2953</v>
      </c>
      <c r="C27" s="1826">
        <v>4000</v>
      </c>
      <c r="D27" s="1495" t="s">
        <v>3273</v>
      </c>
      <c r="E27" s="1493" t="s">
        <v>26</v>
      </c>
      <c r="F27" s="1770" t="s">
        <v>3274</v>
      </c>
      <c r="G27" s="1851" t="s">
        <v>64</v>
      </c>
      <c r="H27" s="1626" t="s">
        <v>65</v>
      </c>
      <c r="I27" s="1493" t="s">
        <v>95</v>
      </c>
      <c r="J27" s="1600" t="s">
        <v>3275</v>
      </c>
      <c r="K27" s="1547"/>
      <c r="L27" s="1493"/>
      <c r="M27" s="1790" t="s">
        <v>68</v>
      </c>
    </row>
    <row r="28" spans="1:13" s="1548" customFormat="1" ht="210.75" customHeight="1">
      <c r="A28" s="1850">
        <v>23</v>
      </c>
      <c r="B28" s="1630" t="s">
        <v>153</v>
      </c>
      <c r="C28" s="1826">
        <v>11500</v>
      </c>
      <c r="D28" s="1495" t="s">
        <v>3257</v>
      </c>
      <c r="E28" s="1493" t="s">
        <v>24</v>
      </c>
      <c r="F28" s="1773" t="s">
        <v>3276</v>
      </c>
      <c r="G28" s="1851" t="s">
        <v>64</v>
      </c>
      <c r="H28" s="1626" t="s">
        <v>65</v>
      </c>
      <c r="I28" s="1493" t="s">
        <v>95</v>
      </c>
      <c r="J28" s="1600" t="s">
        <v>3277</v>
      </c>
      <c r="K28" s="1547"/>
      <c r="L28" s="1493"/>
      <c r="M28" s="1790" t="s">
        <v>68</v>
      </c>
    </row>
    <row r="29" spans="1:13" s="1548" customFormat="1" ht="93.75" customHeight="1">
      <c r="A29" s="1542">
        <v>24</v>
      </c>
      <c r="B29" s="1493" t="s">
        <v>158</v>
      </c>
      <c r="C29" s="1826">
        <v>3950</v>
      </c>
      <c r="D29" s="1495">
        <v>20.09</v>
      </c>
      <c r="E29" s="1769" t="s">
        <v>22</v>
      </c>
      <c r="F29" s="1495" t="s">
        <v>3278</v>
      </c>
      <c r="G29" s="1495" t="s">
        <v>64</v>
      </c>
      <c r="H29" s="1493" t="s">
        <v>65</v>
      </c>
      <c r="I29" s="1493" t="s">
        <v>746</v>
      </c>
      <c r="J29" s="1600" t="s">
        <v>3279</v>
      </c>
      <c r="K29" s="1843" t="s">
        <v>3280</v>
      </c>
      <c r="L29" s="1493"/>
      <c r="M29" s="1790" t="s">
        <v>68</v>
      </c>
    </row>
    <row r="30" spans="1:13" s="1548" customFormat="1" ht="91.55" customHeight="1">
      <c r="A30" s="1542">
        <v>25</v>
      </c>
      <c r="B30" s="1493" t="s">
        <v>3281</v>
      </c>
      <c r="C30" s="1826">
        <v>4670</v>
      </c>
      <c r="D30" s="1495" t="s">
        <v>3282</v>
      </c>
      <c r="E30" s="1493" t="s">
        <v>3136</v>
      </c>
      <c r="F30" s="1495" t="s">
        <v>3283</v>
      </c>
      <c r="G30" s="1495" t="s">
        <v>64</v>
      </c>
      <c r="H30" s="1493" t="s">
        <v>65</v>
      </c>
      <c r="I30" s="1493" t="s">
        <v>3284</v>
      </c>
      <c r="J30" s="1600" t="s">
        <v>3285</v>
      </c>
      <c r="K30" s="1547"/>
      <c r="L30" s="1493"/>
      <c r="M30" s="1790"/>
    </row>
    <row r="31" spans="1:13" s="1548" customFormat="1" ht="85.6" customHeight="1">
      <c r="A31" s="1850">
        <v>26</v>
      </c>
      <c r="B31" s="1493" t="s">
        <v>260</v>
      </c>
      <c r="C31" s="1826">
        <v>3800</v>
      </c>
      <c r="D31" s="1495">
        <v>23.09</v>
      </c>
      <c r="E31" s="1769" t="s">
        <v>20</v>
      </c>
      <c r="F31" s="1495" t="s">
        <v>3286</v>
      </c>
      <c r="G31" s="1495" t="s">
        <v>64</v>
      </c>
      <c r="H31" s="1626" t="s">
        <v>65</v>
      </c>
      <c r="I31" s="1493" t="s">
        <v>95</v>
      </c>
      <c r="J31" s="1600" t="s">
        <v>3287</v>
      </c>
      <c r="K31" s="1547"/>
      <c r="L31" s="1493"/>
      <c r="M31" s="1790" t="s">
        <v>68</v>
      </c>
    </row>
    <row r="32" spans="1:13" s="1548" customFormat="1" ht="66.75" customHeight="1">
      <c r="A32" s="1542">
        <v>27</v>
      </c>
      <c r="B32" s="1493" t="s">
        <v>129</v>
      </c>
      <c r="C32" s="1826">
        <v>3080</v>
      </c>
      <c r="D32" s="1495" t="s">
        <v>3288</v>
      </c>
      <c r="E32" s="1493" t="s">
        <v>24</v>
      </c>
      <c r="F32" s="1495" t="s">
        <v>3289</v>
      </c>
      <c r="G32" s="1495" t="s">
        <v>64</v>
      </c>
      <c r="H32" s="1493" t="s">
        <v>65</v>
      </c>
      <c r="I32" s="1493" t="s">
        <v>95</v>
      </c>
      <c r="J32" s="1600" t="s">
        <v>3290</v>
      </c>
      <c r="K32" s="1547"/>
      <c r="L32" s="1493"/>
      <c r="M32" s="1790" t="s">
        <v>68</v>
      </c>
    </row>
    <row r="33" spans="1:13" s="1548" customFormat="1" ht="58.6" customHeight="1">
      <c r="A33" s="1542">
        <v>28</v>
      </c>
      <c r="B33" s="1493" t="s">
        <v>92</v>
      </c>
      <c r="C33" s="1826">
        <v>4250</v>
      </c>
      <c r="D33" s="1495" t="s">
        <v>3291</v>
      </c>
      <c r="E33" s="1493" t="s">
        <v>88</v>
      </c>
      <c r="F33" s="1495" t="s">
        <v>3292</v>
      </c>
      <c r="G33" s="1495" t="s">
        <v>64</v>
      </c>
      <c r="H33" s="1493" t="s">
        <v>65</v>
      </c>
      <c r="I33" s="1493" t="s">
        <v>142</v>
      </c>
      <c r="J33" s="1600" t="s">
        <v>3293</v>
      </c>
      <c r="K33" s="1547"/>
      <c r="L33" s="1493"/>
      <c r="M33" s="1790" t="s">
        <v>68</v>
      </c>
    </row>
    <row r="34" spans="1:13" s="1548" customFormat="1" ht="63" customHeight="1">
      <c r="A34" s="1542">
        <v>29</v>
      </c>
      <c r="B34" s="1493" t="s">
        <v>134</v>
      </c>
      <c r="C34" s="1826">
        <v>3000</v>
      </c>
      <c r="D34" s="1495" t="s">
        <v>3294</v>
      </c>
      <c r="E34" s="1495" t="s">
        <v>22</v>
      </c>
      <c r="F34" s="1851" t="s">
        <v>3295</v>
      </c>
      <c r="G34" s="1495" t="s">
        <v>64</v>
      </c>
      <c r="H34" s="1626" t="s">
        <v>65</v>
      </c>
      <c r="I34" s="1493" t="s">
        <v>95</v>
      </c>
      <c r="J34" s="1600" t="s">
        <v>3296</v>
      </c>
      <c r="K34" s="1547"/>
      <c r="L34" s="1493"/>
      <c r="M34" s="1790" t="s">
        <v>68</v>
      </c>
    </row>
    <row r="35" spans="1:13" s="1837" customFormat="1" ht="73.55" customHeight="1">
      <c r="A35" s="1831">
        <v>30</v>
      </c>
      <c r="B35" s="1832" t="s">
        <v>198</v>
      </c>
      <c r="C35" s="1833">
        <v>3300</v>
      </c>
      <c r="D35" s="1834" t="s">
        <v>3297</v>
      </c>
      <c r="E35" s="1832" t="s">
        <v>22</v>
      </c>
      <c r="F35" s="1834" t="s">
        <v>3298</v>
      </c>
      <c r="G35" s="1834" t="s">
        <v>64</v>
      </c>
      <c r="H35" s="1832" t="s">
        <v>65</v>
      </c>
      <c r="I35" s="1832" t="s">
        <v>106</v>
      </c>
      <c r="J35" s="1857" t="s">
        <v>3299</v>
      </c>
      <c r="K35" s="1836"/>
      <c r="L35" s="1832"/>
      <c r="M35" s="1856" t="s">
        <v>68</v>
      </c>
    </row>
    <row r="36" spans="1:13" s="1837" customFormat="1" ht="142.5" customHeight="1">
      <c r="A36" s="1831">
        <v>31</v>
      </c>
      <c r="B36" s="1832" t="s">
        <v>252</v>
      </c>
      <c r="C36" s="1833">
        <v>4000</v>
      </c>
      <c r="D36" s="1834" t="s">
        <v>3300</v>
      </c>
      <c r="E36" s="1832" t="s">
        <v>20</v>
      </c>
      <c r="F36" s="1834" t="s">
        <v>3301</v>
      </c>
      <c r="G36" s="1834" t="s">
        <v>64</v>
      </c>
      <c r="H36" s="1832" t="s">
        <v>65</v>
      </c>
      <c r="I36" s="1832" t="s">
        <v>95</v>
      </c>
      <c r="J36" s="1835" t="s">
        <v>3302</v>
      </c>
      <c r="K36" s="1836"/>
      <c r="L36" s="1832"/>
      <c r="M36" s="1856" t="s">
        <v>68</v>
      </c>
    </row>
    <row r="37" spans="1:13" s="1837" customFormat="1" ht="95.95" customHeight="1">
      <c r="A37" s="1831">
        <v>32</v>
      </c>
      <c r="B37" s="1832" t="s">
        <v>2962</v>
      </c>
      <c r="C37" s="1833">
        <v>6080</v>
      </c>
      <c r="D37" s="1834" t="s">
        <v>3303</v>
      </c>
      <c r="E37" s="1832" t="s">
        <v>88</v>
      </c>
      <c r="F37" s="1834" t="s">
        <v>3304</v>
      </c>
      <c r="G37" s="1834" t="s">
        <v>64</v>
      </c>
      <c r="H37" s="1832" t="s">
        <v>65</v>
      </c>
      <c r="I37" s="1832" t="s">
        <v>95</v>
      </c>
      <c r="J37" s="1835" t="s">
        <v>3305</v>
      </c>
      <c r="K37" s="1836"/>
      <c r="L37" s="1832"/>
      <c r="M37" s="1856" t="s">
        <v>68</v>
      </c>
    </row>
    <row r="38" spans="1:13" s="1777" customFormat="1" ht="104.3" customHeight="1">
      <c r="A38" s="1832">
        <v>33</v>
      </c>
      <c r="B38" s="1832" t="s">
        <v>181</v>
      </c>
      <c r="C38" s="1832">
        <v>16000</v>
      </c>
      <c r="D38" s="1832" t="s">
        <v>3294</v>
      </c>
      <c r="E38" s="1832" t="s">
        <v>88</v>
      </c>
      <c r="F38" s="1834" t="s">
        <v>3306</v>
      </c>
      <c r="G38" s="1832"/>
      <c r="H38" s="1832" t="s">
        <v>65</v>
      </c>
      <c r="I38" s="1832" t="s">
        <v>3307</v>
      </c>
      <c r="J38" s="1835" t="s">
        <v>3308</v>
      </c>
      <c r="K38" s="1832" t="s">
        <v>3309</v>
      </c>
      <c r="L38" s="102"/>
      <c r="M38" s="1853" t="s">
        <v>68</v>
      </c>
    </row>
    <row r="39" spans="1:13" s="1823" customFormat="1" ht="32.299999999999997" customHeight="1">
      <c r="A39" s="1797">
        <v>34</v>
      </c>
      <c r="B39" s="1801" t="s">
        <v>3252</v>
      </c>
      <c r="C39" s="1830">
        <v>4230</v>
      </c>
      <c r="D39" s="1802">
        <v>26.09</v>
      </c>
      <c r="E39" s="1802" t="s">
        <v>3310</v>
      </c>
      <c r="F39" s="1802" t="s">
        <v>257</v>
      </c>
      <c r="G39" s="1802"/>
      <c r="H39" s="1801"/>
      <c r="I39" s="1801"/>
      <c r="J39" s="1803"/>
      <c r="K39" s="1803"/>
      <c r="L39" s="1801"/>
      <c r="M39" s="1798"/>
    </row>
    <row r="40" spans="1:13" s="1823" customFormat="1" ht="32.299999999999997" customHeight="1">
      <c r="A40" s="1797">
        <v>35</v>
      </c>
      <c r="B40" s="1801" t="s">
        <v>114</v>
      </c>
      <c r="C40" s="1830">
        <v>3720</v>
      </c>
      <c r="D40" s="1802">
        <v>29.09</v>
      </c>
      <c r="E40" s="1801" t="s">
        <v>192</v>
      </c>
      <c r="F40" s="1802" t="s">
        <v>257</v>
      </c>
      <c r="G40" s="1802"/>
      <c r="H40" s="1801"/>
      <c r="I40" s="1801"/>
      <c r="J40" s="1803"/>
      <c r="K40" s="1805"/>
      <c r="L40" s="1801"/>
      <c r="M40" s="1798" t="s">
        <v>68</v>
      </c>
    </row>
    <row r="41" spans="1:13" s="1823" customFormat="1" ht="32.299999999999997" customHeight="1">
      <c r="A41" s="1797">
        <v>36</v>
      </c>
      <c r="B41" s="1801" t="s">
        <v>3311</v>
      </c>
      <c r="C41" s="1830">
        <v>9640</v>
      </c>
      <c r="D41" s="1802" t="s">
        <v>3312</v>
      </c>
      <c r="E41" s="1801" t="s">
        <v>2301</v>
      </c>
      <c r="F41" s="1802" t="s">
        <v>3313</v>
      </c>
      <c r="G41" s="1802"/>
      <c r="H41" s="1801"/>
      <c r="I41" s="1801"/>
      <c r="J41" s="1803"/>
      <c r="K41" s="1805"/>
      <c r="L41" s="1801"/>
      <c r="M41" s="1798"/>
    </row>
    <row r="42" spans="1:13" s="1822" customFormat="1" ht="32.299999999999997" customHeight="1">
      <c r="A42" s="1791">
        <v>37</v>
      </c>
      <c r="B42" s="1792" t="s">
        <v>3314</v>
      </c>
      <c r="C42" s="1829">
        <v>5000</v>
      </c>
      <c r="D42" s="1794" t="s">
        <v>3315</v>
      </c>
      <c r="E42" s="1792" t="s">
        <v>88</v>
      </c>
      <c r="F42" s="1794" t="s">
        <v>257</v>
      </c>
      <c r="G42" s="1794"/>
      <c r="H42" s="1792"/>
      <c r="I42" s="1792"/>
      <c r="J42" s="1840"/>
      <c r="K42" s="1795"/>
      <c r="L42" s="1792"/>
      <c r="M42" s="1792"/>
    </row>
    <row r="43" spans="1:13" s="1822" customFormat="1" ht="32.299999999999997" customHeight="1">
      <c r="A43" s="1791">
        <v>38</v>
      </c>
      <c r="B43" s="1792" t="s">
        <v>92</v>
      </c>
      <c r="C43" s="1829">
        <v>4250</v>
      </c>
      <c r="D43" s="1794" t="s">
        <v>3204</v>
      </c>
      <c r="E43" s="1792" t="s">
        <v>88</v>
      </c>
      <c r="F43" s="1794" t="s">
        <v>257</v>
      </c>
      <c r="G43" s="1794"/>
      <c r="H43" s="1792"/>
      <c r="I43" s="1792"/>
      <c r="J43" s="1840"/>
      <c r="K43" s="1795"/>
      <c r="L43" s="1792"/>
      <c r="M43" s="1792"/>
    </row>
    <row r="44" spans="1:13" s="1822" customFormat="1" ht="32.299999999999997" customHeight="1">
      <c r="A44" s="1791">
        <v>39</v>
      </c>
      <c r="B44" s="1792" t="s">
        <v>3316</v>
      </c>
      <c r="C44" s="1829">
        <v>10500</v>
      </c>
      <c r="D44" s="1838" t="s">
        <v>3204</v>
      </c>
      <c r="E44" s="1792" t="s">
        <v>88</v>
      </c>
      <c r="F44" s="1794" t="s">
        <v>257</v>
      </c>
      <c r="G44" s="1794"/>
      <c r="H44" s="1792"/>
      <c r="I44" s="1839"/>
      <c r="J44" s="1840"/>
      <c r="K44" s="1795"/>
      <c r="L44" s="1792"/>
      <c r="M44" s="1792"/>
    </row>
    <row r="45" spans="1:13" s="1822" customFormat="1" ht="32.299999999999997" customHeight="1">
      <c r="A45" s="1791">
        <v>40</v>
      </c>
      <c r="B45" s="1792" t="s">
        <v>252</v>
      </c>
      <c r="C45" s="1829">
        <v>4000</v>
      </c>
      <c r="D45" s="1794" t="s">
        <v>3317</v>
      </c>
      <c r="E45" s="1792" t="s">
        <v>20</v>
      </c>
      <c r="F45" s="1794" t="s">
        <v>257</v>
      </c>
      <c r="G45" s="1794"/>
      <c r="H45" s="1841"/>
      <c r="I45" s="1792"/>
      <c r="J45" s="1842"/>
      <c r="K45" s="1795"/>
      <c r="L45" s="1792"/>
      <c r="M45" s="1792"/>
    </row>
    <row r="46" spans="1:13" s="1823" customFormat="1" ht="32.299999999999997" customHeight="1">
      <c r="A46" s="1797">
        <v>41</v>
      </c>
      <c r="B46" s="1801" t="s">
        <v>3318</v>
      </c>
      <c r="C46" s="1830">
        <v>2500</v>
      </c>
      <c r="D46" s="1802" t="s">
        <v>3319</v>
      </c>
      <c r="E46" s="1801" t="s">
        <v>2301</v>
      </c>
      <c r="F46" s="1794" t="s">
        <v>257</v>
      </c>
      <c r="G46" s="1802"/>
      <c r="H46" s="1801"/>
      <c r="I46" s="1801"/>
      <c r="J46" s="1803"/>
      <c r="K46" s="1804"/>
      <c r="L46" s="1801"/>
      <c r="M46" s="1801"/>
    </row>
    <row r="47" spans="1:13" s="1823" customFormat="1" ht="32.299999999999997" customHeight="1">
      <c r="A47" s="1797">
        <v>42</v>
      </c>
      <c r="B47" s="1801" t="s">
        <v>103</v>
      </c>
      <c r="C47" s="1830">
        <v>3250</v>
      </c>
      <c r="D47" s="1846" t="s">
        <v>3233</v>
      </c>
      <c r="E47" s="1801" t="s">
        <v>24</v>
      </c>
      <c r="F47" s="1794" t="s">
        <v>257</v>
      </c>
      <c r="G47" s="1802"/>
      <c r="H47" s="1801"/>
      <c r="I47" s="1801"/>
      <c r="J47" s="1803"/>
      <c r="K47" s="1805"/>
      <c r="L47" s="1801"/>
      <c r="M47" s="1801"/>
    </row>
    <row r="48" spans="1:13" s="1823" customFormat="1" ht="32.299999999999997" customHeight="1">
      <c r="A48" s="1847">
        <v>43</v>
      </c>
      <c r="B48" s="1801" t="s">
        <v>2953</v>
      </c>
      <c r="C48" s="1830">
        <v>4000</v>
      </c>
      <c r="D48" s="1802" t="s">
        <v>3257</v>
      </c>
      <c r="E48" s="1801" t="s">
        <v>18</v>
      </c>
      <c r="F48" s="1794" t="s">
        <v>257</v>
      </c>
      <c r="G48" s="1802"/>
      <c r="H48" s="1801"/>
      <c r="I48" s="1801"/>
      <c r="J48" s="1803"/>
      <c r="K48" s="1805"/>
      <c r="L48" s="1801"/>
      <c r="M48" s="1801"/>
    </row>
    <row r="49" spans="1:1" ht="58.6" customHeight="1">
      <c r="A49" s="359">
        <v>44</v>
      </c>
    </row>
    <row r="50" spans="1:1" ht="58.6" customHeight="1">
      <c r="A50" s="359">
        <v>45</v>
      </c>
    </row>
    <row r="51" spans="1:1" ht="58.6" customHeight="1">
      <c r="A51" s="359">
        <v>46</v>
      </c>
    </row>
    <row r="52" spans="1:1" ht="58.6" customHeight="1">
      <c r="A52" s="359">
        <v>47</v>
      </c>
    </row>
  </sheetData>
  <autoFilter ref="A5:P48" xr:uid="{00000000-0009-0000-0000-000001000000}"/>
  <mergeCells count="4">
    <mergeCell ref="C1:K1"/>
    <mergeCell ref="A2:M2"/>
    <mergeCell ref="B3:M3"/>
    <mergeCell ref="A4:B4"/>
  </mergeCells>
  <conditionalFormatting sqref="A1:A4">
    <cfRule type="duplicateValues" dxfId="477" priority="5"/>
  </conditionalFormatting>
  <conditionalFormatting sqref="A5">
    <cfRule type="duplicateValues" dxfId="476" priority="4"/>
  </conditionalFormatting>
  <conditionalFormatting sqref="B5">
    <cfRule type="duplicateValues" dxfId="475" priority="1"/>
    <cfRule type="duplicateValues" dxfId="474" priority="2"/>
    <cfRule type="duplicateValues" dxfId="473"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topRight"/>
      <selection pane="bottomLeft"/>
      <selection pane="bottomRight"/>
    </sheetView>
  </sheetViews>
  <sheetFormatPr defaultColWidth="25.625" defaultRowHeight="58.6" customHeight="1"/>
  <cols>
    <col min="1" max="1" width="8.375" style="359" customWidth="1"/>
    <col min="2" max="2" width="49.125" style="1" customWidth="1"/>
    <col min="3" max="3" width="15.875" style="1138" customWidth="1"/>
    <col min="4" max="4" width="22.25" style="271" customWidth="1"/>
    <col min="5" max="5" width="21.375" style="1" customWidth="1"/>
    <col min="6" max="6" width="27.75" style="271" customWidth="1"/>
    <col min="7" max="7" width="19.125" style="271" customWidth="1"/>
    <col min="8" max="8" width="16.375" style="1" customWidth="1"/>
    <col min="9" max="9" width="24.125" style="1" customWidth="1"/>
    <col min="10" max="10" width="104.6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6" customHeight="1">
      <c r="B1" s="10"/>
      <c r="C1" s="3671"/>
      <c r="D1" s="3671"/>
      <c r="E1" s="3671"/>
      <c r="F1" s="3671"/>
      <c r="G1" s="3671"/>
      <c r="H1" s="3671"/>
      <c r="I1" s="3671"/>
      <c r="J1" s="3671"/>
      <c r="K1" s="3671"/>
      <c r="M1" s="1487"/>
    </row>
    <row r="2" spans="1:14" ht="53.35" customHeight="1">
      <c r="A2" s="3672" t="s">
        <v>3320</v>
      </c>
      <c r="B2" s="3672"/>
      <c r="C2" s="3672"/>
      <c r="D2" s="3672"/>
      <c r="E2" s="3672"/>
      <c r="F2" s="3672"/>
      <c r="G2" s="3672"/>
      <c r="H2" s="3672"/>
      <c r="I2" s="3672"/>
      <c r="J2" s="3672"/>
      <c r="K2" s="3672"/>
      <c r="L2" s="3672"/>
      <c r="M2" s="3672"/>
      <c r="N2" s="287"/>
    </row>
    <row r="3" spans="1:14" s="1725" customFormat="1" ht="52.5" customHeight="1">
      <c r="A3" s="1723"/>
      <c r="B3" s="3749" t="s">
        <v>3321</v>
      </c>
      <c r="C3" s="3750"/>
      <c r="D3" s="3750"/>
      <c r="E3" s="3750"/>
      <c r="F3" s="3750"/>
      <c r="G3" s="3750"/>
      <c r="H3" s="3750"/>
      <c r="I3" s="3750"/>
      <c r="J3" s="3750"/>
      <c r="K3" s="3750"/>
      <c r="L3" s="3750"/>
      <c r="M3" s="3751"/>
      <c r="N3" s="1724"/>
    </row>
    <row r="4" spans="1:14" ht="35.35" customHeight="1">
      <c r="A4" s="3676"/>
      <c r="B4" s="3676"/>
      <c r="C4" s="1768">
        <f>SUBTOTAL(9,C6:C34)</f>
        <v>219885</v>
      </c>
      <c r="D4" s="1503"/>
      <c r="E4" s="1504"/>
      <c r="F4" s="1503"/>
      <c r="G4" s="1503"/>
      <c r="H4" s="1503"/>
      <c r="I4" s="1503"/>
      <c r="J4" s="1504">
        <f ca="1">TODAY()</f>
        <v>45988</v>
      </c>
      <c r="L4" s="1504"/>
      <c r="M4" s="1504"/>
      <c r="N4" s="287"/>
    </row>
    <row r="5" spans="1:14" s="1535" customFormat="1" ht="45" customHeight="1">
      <c r="A5" s="361" t="s">
        <v>48</v>
      </c>
      <c r="B5" s="204" t="s">
        <v>49</v>
      </c>
      <c r="C5" s="1432" t="s">
        <v>50</v>
      </c>
      <c r="D5" s="204" t="s">
        <v>51</v>
      </c>
      <c r="E5" s="204" t="s">
        <v>52</v>
      </c>
      <c r="F5" s="204" t="s">
        <v>53</v>
      </c>
      <c r="G5" s="204" t="s">
        <v>262</v>
      </c>
      <c r="H5" s="204" t="s">
        <v>55</v>
      </c>
      <c r="I5" s="204" t="s">
        <v>56</v>
      </c>
      <c r="J5" s="204" t="s">
        <v>57</v>
      </c>
      <c r="K5" s="204" t="s">
        <v>58</v>
      </c>
      <c r="L5" s="204" t="s">
        <v>59</v>
      </c>
      <c r="M5" s="204" t="s">
        <v>60</v>
      </c>
      <c r="N5" s="1534" t="e">
        <f>SUM(#REF!)</f>
        <v>#REF!</v>
      </c>
    </row>
    <row r="6" spans="1:14" s="1674" customFormat="1" ht="194.3" customHeight="1">
      <c r="A6" s="1299" t="e" cm="1">
        <f t="array" aca="1" ref="A6" ca="1">_xlfn.SEQUENCE(45,1,1,)</f>
        <v>#NAME?</v>
      </c>
      <c r="B6" s="1300" t="s">
        <v>186</v>
      </c>
      <c r="C6" s="1301">
        <v>13675</v>
      </c>
      <c r="D6" s="1302" t="s">
        <v>3322</v>
      </c>
      <c r="E6" s="1300" t="s">
        <v>88</v>
      </c>
      <c r="F6" s="1302" t="s">
        <v>3323</v>
      </c>
      <c r="G6" s="1302" t="s">
        <v>64</v>
      </c>
      <c r="H6" s="1300" t="s">
        <v>65</v>
      </c>
      <c r="I6" s="1300" t="s">
        <v>213</v>
      </c>
      <c r="J6" s="1440" t="s">
        <v>3324</v>
      </c>
      <c r="K6" s="1441"/>
      <c r="L6" s="1300"/>
      <c r="M6" s="1441"/>
      <c r="N6" s="1673"/>
    </row>
    <row r="7" spans="1:14" s="1674" customFormat="1" ht="80.349999999999994" customHeight="1">
      <c r="A7" s="1299"/>
      <c r="B7" s="1300" t="s">
        <v>2956</v>
      </c>
      <c r="C7" s="1301">
        <v>3300</v>
      </c>
      <c r="D7" s="1302" t="s">
        <v>3325</v>
      </c>
      <c r="E7" s="1300" t="s">
        <v>20</v>
      </c>
      <c r="F7" s="1302" t="s">
        <v>3326</v>
      </c>
      <c r="G7" s="1302" t="s">
        <v>64</v>
      </c>
      <c r="H7" s="1300" t="s">
        <v>65</v>
      </c>
      <c r="I7" s="1300" t="s">
        <v>142</v>
      </c>
      <c r="J7" s="1440" t="s">
        <v>3327</v>
      </c>
      <c r="K7" s="1730"/>
      <c r="L7" s="1300"/>
      <c r="M7" s="1441"/>
      <c r="N7" s="1673"/>
    </row>
    <row r="8" spans="1:14" s="1597" customFormat="1" ht="91.55" customHeight="1">
      <c r="A8" s="1731"/>
      <c r="B8" s="1591" t="s">
        <v>3328</v>
      </c>
      <c r="C8" s="1592">
        <v>6000</v>
      </c>
      <c r="D8" s="1732" t="s">
        <v>3329</v>
      </c>
      <c r="E8" s="1733" t="s">
        <v>38</v>
      </c>
      <c r="F8" s="1302" t="s">
        <v>3330</v>
      </c>
      <c r="G8" s="1302" t="s">
        <v>64</v>
      </c>
      <c r="H8" s="1591" t="s">
        <v>65</v>
      </c>
      <c r="I8" s="1591" t="s">
        <v>85</v>
      </c>
      <c r="J8" s="1586" t="s">
        <v>3331</v>
      </c>
      <c r="K8" s="1595" t="s">
        <v>3332</v>
      </c>
      <c r="L8" s="1591"/>
      <c r="M8" s="1596"/>
    </row>
    <row r="9" spans="1:14" s="841" customFormat="1" ht="58.6" customHeight="1">
      <c r="A9" s="1569"/>
      <c r="B9" s="682" t="s">
        <v>134</v>
      </c>
      <c r="C9" s="1580">
        <v>2950</v>
      </c>
      <c r="D9" s="1445" t="s">
        <v>354</v>
      </c>
      <c r="E9" s="682" t="s">
        <v>20</v>
      </c>
      <c r="F9" s="1734" t="s">
        <v>3333</v>
      </c>
      <c r="G9" s="1302" t="s">
        <v>64</v>
      </c>
      <c r="H9" s="682" t="s">
        <v>65</v>
      </c>
      <c r="I9" s="682" t="s">
        <v>66</v>
      </c>
      <c r="J9" s="684" t="s">
        <v>3334</v>
      </c>
      <c r="K9" s="1583"/>
      <c r="L9" s="682"/>
      <c r="M9" s="1583"/>
    </row>
    <row r="10" spans="1:14" s="1559" customFormat="1" ht="76.599999999999994" customHeight="1">
      <c r="A10" s="1457"/>
      <c r="B10" s="1458" t="s">
        <v>2962</v>
      </c>
      <c r="C10" s="1459">
        <v>6000</v>
      </c>
      <c r="D10" s="1460" t="s">
        <v>3335</v>
      </c>
      <c r="E10" s="1458" t="s">
        <v>88</v>
      </c>
      <c r="F10" s="1460" t="s">
        <v>3336</v>
      </c>
      <c r="G10" s="1460" t="s">
        <v>64</v>
      </c>
      <c r="H10" s="1458" t="s">
        <v>65</v>
      </c>
      <c r="I10" s="1458" t="s">
        <v>164</v>
      </c>
      <c r="J10" s="1472" t="s">
        <v>3337</v>
      </c>
      <c r="K10" s="1466"/>
      <c r="L10" s="1458"/>
      <c r="M10" s="1466"/>
      <c r="N10" s="1747"/>
    </row>
    <row r="11" spans="1:14" s="1559" customFormat="1" ht="63.7" customHeight="1">
      <c r="A11" s="1457"/>
      <c r="B11" s="1458" t="s">
        <v>3338</v>
      </c>
      <c r="C11" s="1459">
        <v>5000</v>
      </c>
      <c r="D11" s="1744" t="s">
        <v>3339</v>
      </c>
      <c r="E11" s="1458" t="s">
        <v>3136</v>
      </c>
      <c r="F11" s="1460" t="s">
        <v>3340</v>
      </c>
      <c r="G11" s="1460" t="s">
        <v>64</v>
      </c>
      <c r="H11" s="1458" t="s">
        <v>65</v>
      </c>
      <c r="I11" s="1458" t="s">
        <v>3341</v>
      </c>
      <c r="J11" s="1754" t="s">
        <v>3342</v>
      </c>
      <c r="K11" s="1745"/>
      <c r="L11" s="1746"/>
      <c r="M11" s="1466"/>
      <c r="N11" s="1747"/>
    </row>
    <row r="12" spans="1:14" s="1467" customFormat="1" ht="84.75" customHeight="1">
      <c r="A12" s="1542"/>
      <c r="B12" s="1493" t="s">
        <v>103</v>
      </c>
      <c r="C12" s="1494">
        <v>3200</v>
      </c>
      <c r="D12" s="1624" t="s">
        <v>3343</v>
      </c>
      <c r="E12" s="1493" t="s">
        <v>24</v>
      </c>
      <c r="F12" s="1748" t="s">
        <v>3344</v>
      </c>
      <c r="G12" s="1495" t="s">
        <v>64</v>
      </c>
      <c r="H12" s="1493" t="s">
        <v>65</v>
      </c>
      <c r="I12" s="1493" t="s">
        <v>213</v>
      </c>
      <c r="J12" s="1600" t="s">
        <v>3345</v>
      </c>
      <c r="K12" s="1547"/>
      <c r="L12" s="1493"/>
      <c r="M12" s="1547"/>
    </row>
    <row r="13" spans="1:14" s="1467" customFormat="1" ht="58.6" customHeight="1">
      <c r="A13" s="1542"/>
      <c r="B13" s="1493" t="s">
        <v>3346</v>
      </c>
      <c r="C13" s="1494">
        <v>35000</v>
      </c>
      <c r="D13" s="1749">
        <v>45083</v>
      </c>
      <c r="E13" s="1493" t="s">
        <v>3347</v>
      </c>
      <c r="F13" s="1495" t="s">
        <v>3348</v>
      </c>
      <c r="G13" s="1495" t="s">
        <v>64</v>
      </c>
      <c r="H13" s="1493" t="s">
        <v>65</v>
      </c>
      <c r="I13" s="1493" t="s">
        <v>85</v>
      </c>
      <c r="J13" s="1547" t="s">
        <v>3349</v>
      </c>
      <c r="K13" s="1547" t="s">
        <v>3350</v>
      </c>
      <c r="L13" s="1493"/>
      <c r="M13" s="1547"/>
    </row>
    <row r="14" spans="1:14" s="1559" customFormat="1" ht="77.3" customHeight="1">
      <c r="A14" s="1457"/>
      <c r="B14" s="1458" t="s">
        <v>158</v>
      </c>
      <c r="C14" s="1459">
        <v>4000</v>
      </c>
      <c r="D14" s="1750" t="s">
        <v>3351</v>
      </c>
      <c r="E14" s="1458" t="s">
        <v>20</v>
      </c>
      <c r="F14" s="1460" t="s">
        <v>3352</v>
      </c>
      <c r="G14" s="1495" t="s">
        <v>64</v>
      </c>
      <c r="H14" s="1458" t="s">
        <v>65</v>
      </c>
      <c r="I14" s="1458" t="s">
        <v>106</v>
      </c>
      <c r="J14" s="1472" t="s">
        <v>3353</v>
      </c>
      <c r="K14" s="1751" t="s">
        <v>3354</v>
      </c>
      <c r="L14" s="1458"/>
      <c r="M14" s="1466"/>
      <c r="N14" s="1747"/>
    </row>
    <row r="15" spans="1:14" s="1559" customFormat="1" ht="88.5" customHeight="1">
      <c r="A15" s="1752"/>
      <c r="B15" s="1462" t="s">
        <v>3069</v>
      </c>
      <c r="C15" s="1555">
        <v>5020</v>
      </c>
      <c r="D15" s="1753" t="s">
        <v>3355</v>
      </c>
      <c r="E15" s="1462" t="s">
        <v>18</v>
      </c>
      <c r="F15" s="1554" t="s">
        <v>3356</v>
      </c>
      <c r="G15" s="1495" t="s">
        <v>64</v>
      </c>
      <c r="H15" s="1462" t="s">
        <v>65</v>
      </c>
      <c r="I15" s="1462" t="s">
        <v>78</v>
      </c>
      <c r="J15" s="1755" t="s">
        <v>3357</v>
      </c>
      <c r="K15" s="1751" t="s">
        <v>3354</v>
      </c>
      <c r="L15" s="1462"/>
      <c r="M15" s="1751"/>
      <c r="N15" s="1747"/>
    </row>
    <row r="16" spans="1:14" s="1559" customFormat="1" ht="81" customHeight="1">
      <c r="A16" s="1457"/>
      <c r="B16" s="1458" t="s">
        <v>186</v>
      </c>
      <c r="C16" s="1459">
        <v>13675</v>
      </c>
      <c r="D16" s="1749" t="s">
        <v>3358</v>
      </c>
      <c r="E16" s="1458" t="s">
        <v>88</v>
      </c>
      <c r="F16" s="1460" t="s">
        <v>3359</v>
      </c>
      <c r="G16" s="1495" t="s">
        <v>64</v>
      </c>
      <c r="H16" s="1458" t="s">
        <v>65</v>
      </c>
      <c r="I16" s="1458" t="s">
        <v>66</v>
      </c>
      <c r="J16" s="1472" t="s">
        <v>3360</v>
      </c>
      <c r="K16" s="1466" t="s">
        <v>166</v>
      </c>
      <c r="L16" s="1458"/>
      <c r="M16" s="1466"/>
      <c r="N16" s="1747"/>
    </row>
    <row r="17" spans="1:13" s="1467" customFormat="1" ht="121.6" customHeight="1">
      <c r="A17" s="1542"/>
      <c r="B17" s="1493" t="s">
        <v>3361</v>
      </c>
      <c r="C17" s="1494">
        <v>8800</v>
      </c>
      <c r="D17" s="1766" t="s">
        <v>3362</v>
      </c>
      <c r="E17" s="1493" t="s">
        <v>88</v>
      </c>
      <c r="F17" s="1460" t="s">
        <v>3363</v>
      </c>
      <c r="G17" s="1495" t="s">
        <v>64</v>
      </c>
      <c r="H17" s="1493" t="s">
        <v>65</v>
      </c>
      <c r="I17" s="1493" t="s">
        <v>213</v>
      </c>
      <c r="J17" s="1600" t="s">
        <v>3364</v>
      </c>
      <c r="K17" s="1547"/>
      <c r="L17" s="1493"/>
      <c r="M17" s="1547"/>
    </row>
    <row r="18" spans="1:13" s="1467" customFormat="1" ht="66.75" customHeight="1">
      <c r="A18" s="1542"/>
      <c r="B18" s="1493" t="s">
        <v>2956</v>
      </c>
      <c r="C18" s="1494">
        <v>3000</v>
      </c>
      <c r="D18" s="1495" t="s">
        <v>3365</v>
      </c>
      <c r="E18" s="1493" t="s">
        <v>24</v>
      </c>
      <c r="F18" s="1495"/>
      <c r="G18" s="1495" t="s">
        <v>64</v>
      </c>
      <c r="H18" s="1493" t="s">
        <v>65</v>
      </c>
      <c r="I18" s="1493" t="s">
        <v>142</v>
      </c>
      <c r="J18" s="1600" t="s">
        <v>3366</v>
      </c>
      <c r="K18" s="1547"/>
      <c r="L18" s="1493"/>
      <c r="M18" s="1547"/>
    </row>
    <row r="19" spans="1:13" s="1467" customFormat="1" ht="68.95" customHeight="1">
      <c r="A19" s="1542"/>
      <c r="B19" s="1493" t="s">
        <v>134</v>
      </c>
      <c r="C19" s="1494">
        <v>2950</v>
      </c>
      <c r="D19" s="1767" t="s">
        <v>3367</v>
      </c>
      <c r="E19" s="1493" t="s">
        <v>20</v>
      </c>
      <c r="F19" s="1495"/>
      <c r="G19" s="1495" t="s">
        <v>64</v>
      </c>
      <c r="H19" s="1493" t="s">
        <v>65</v>
      </c>
      <c r="I19" s="1493" t="s">
        <v>213</v>
      </c>
      <c r="J19" s="1600" t="s">
        <v>3368</v>
      </c>
      <c r="K19" s="1547"/>
      <c r="L19" s="1493"/>
      <c r="M19" s="1547"/>
    </row>
    <row r="20" spans="1:13" s="1467" customFormat="1" ht="138.1" customHeight="1">
      <c r="A20" s="1542"/>
      <c r="B20" s="1493" t="s">
        <v>97</v>
      </c>
      <c r="C20" s="1494">
        <v>4620</v>
      </c>
      <c r="D20" s="1766" t="s">
        <v>3369</v>
      </c>
      <c r="E20" s="1493" t="s">
        <v>26</v>
      </c>
      <c r="F20" s="1495" t="s">
        <v>3370</v>
      </c>
      <c r="G20" s="1495" t="s">
        <v>64</v>
      </c>
      <c r="H20" s="1493" t="s">
        <v>65</v>
      </c>
      <c r="I20" s="1493" t="s">
        <v>78</v>
      </c>
      <c r="J20" s="1600" t="s">
        <v>3371</v>
      </c>
      <c r="K20" s="1600"/>
      <c r="L20" s="1493"/>
      <c r="M20" s="1547"/>
    </row>
    <row r="21" spans="1:13" s="1467" customFormat="1" ht="143.35" customHeight="1">
      <c r="A21" s="1542"/>
      <c r="B21" s="1493" t="s">
        <v>252</v>
      </c>
      <c r="C21" s="1494">
        <v>4000</v>
      </c>
      <c r="D21" s="1766" t="s">
        <v>354</v>
      </c>
      <c r="E21" s="1493" t="s">
        <v>22</v>
      </c>
      <c r="F21" s="1495" t="s">
        <v>3372</v>
      </c>
      <c r="G21" s="1495" t="s">
        <v>64</v>
      </c>
      <c r="H21" s="1493" t="s">
        <v>65</v>
      </c>
      <c r="I21" s="1493" t="s">
        <v>213</v>
      </c>
      <c r="J21" s="1600" t="s">
        <v>3373</v>
      </c>
      <c r="K21" s="1547"/>
      <c r="L21" s="1493"/>
      <c r="M21" s="1547"/>
    </row>
    <row r="22" spans="1:13" s="1467" customFormat="1" ht="68.3" customHeight="1">
      <c r="A22" s="1542"/>
      <c r="B22" s="1493" t="s">
        <v>114</v>
      </c>
      <c r="C22" s="1494">
        <v>3720</v>
      </c>
      <c r="D22" s="1766" t="s">
        <v>3374</v>
      </c>
      <c r="E22" s="1493" t="s">
        <v>26</v>
      </c>
      <c r="F22" s="1495" t="s">
        <v>3375</v>
      </c>
      <c r="G22" s="1495" t="s">
        <v>64</v>
      </c>
      <c r="H22" s="1493" t="s">
        <v>65</v>
      </c>
      <c r="I22" s="1769" t="s">
        <v>213</v>
      </c>
      <c r="J22" s="1770" t="s">
        <v>3376</v>
      </c>
      <c r="K22" s="1771"/>
      <c r="L22" s="1493"/>
      <c r="M22" s="1547"/>
    </row>
    <row r="23" spans="1:13" s="1467" customFormat="1" ht="173.25" customHeight="1">
      <c r="A23" s="1542"/>
      <c r="B23" s="1493" t="s">
        <v>125</v>
      </c>
      <c r="C23" s="1494">
        <v>4250</v>
      </c>
      <c r="D23" s="1766" t="s">
        <v>3377</v>
      </c>
      <c r="E23" s="1493" t="s">
        <v>22</v>
      </c>
      <c r="F23" s="1495" t="s">
        <v>3378</v>
      </c>
      <c r="G23" s="1495" t="s">
        <v>64</v>
      </c>
      <c r="H23" s="1493" t="s">
        <v>65</v>
      </c>
      <c r="I23" s="1773" t="s">
        <v>3379</v>
      </c>
      <c r="J23" s="1774" t="s">
        <v>3380</v>
      </c>
      <c r="K23" s="1600" t="s">
        <v>3381</v>
      </c>
      <c r="L23" s="1493"/>
      <c r="M23" s="1547"/>
    </row>
    <row r="24" spans="1:13" s="1467" customFormat="1" ht="58.6" customHeight="1">
      <c r="A24" s="1542"/>
      <c r="B24" s="1493" t="s">
        <v>103</v>
      </c>
      <c r="C24" s="1494">
        <v>3250</v>
      </c>
      <c r="D24" s="1766" t="s">
        <v>3382</v>
      </c>
      <c r="E24" s="1493" t="s">
        <v>192</v>
      </c>
      <c r="F24" s="1495"/>
      <c r="G24" s="1495" t="s">
        <v>64</v>
      </c>
      <c r="H24" s="1493" t="s">
        <v>65</v>
      </c>
      <c r="I24" s="1769" t="s">
        <v>213</v>
      </c>
      <c r="J24" s="1496" t="s">
        <v>3383</v>
      </c>
      <c r="K24" s="1551"/>
      <c r="L24" s="1493"/>
      <c r="M24" s="1547"/>
    </row>
    <row r="25" spans="1:13" s="1467" customFormat="1" ht="118.55" customHeight="1">
      <c r="A25" s="1542"/>
      <c r="B25" s="1493" t="s">
        <v>3384</v>
      </c>
      <c r="C25" s="1494">
        <v>7000</v>
      </c>
      <c r="D25" s="1495" t="s">
        <v>3385</v>
      </c>
      <c r="E25" s="1493" t="s">
        <v>3386</v>
      </c>
      <c r="F25" s="1495" t="s">
        <v>3387</v>
      </c>
      <c r="G25" s="1495" t="s">
        <v>64</v>
      </c>
      <c r="H25" s="1493" t="s">
        <v>65</v>
      </c>
      <c r="I25" s="1493" t="s">
        <v>73</v>
      </c>
      <c r="J25" s="1778" t="s">
        <v>3388</v>
      </c>
      <c r="K25" s="1775" t="s">
        <v>3389</v>
      </c>
      <c r="L25" s="1493"/>
      <c r="M25" s="1547"/>
    </row>
    <row r="26" spans="1:13" s="1467" customFormat="1" ht="111.1" customHeight="1">
      <c r="A26" s="1542"/>
      <c r="B26" s="1493" t="s">
        <v>3390</v>
      </c>
      <c r="C26" s="1494">
        <v>6000</v>
      </c>
      <c r="D26" s="1495" t="s">
        <v>3385</v>
      </c>
      <c r="E26" s="1493" t="s">
        <v>373</v>
      </c>
      <c r="F26" s="1495" t="s">
        <v>3391</v>
      </c>
      <c r="G26" s="1495" t="s">
        <v>64</v>
      </c>
      <c r="H26" s="1493" t="s">
        <v>65</v>
      </c>
      <c r="I26" s="1493" t="s">
        <v>3392</v>
      </c>
      <c r="J26" s="1779" t="s">
        <v>3393</v>
      </c>
      <c r="K26" s="1547"/>
      <c r="L26" s="1493"/>
      <c r="M26" s="1547"/>
    </row>
    <row r="27" spans="1:13" s="1467" customFormat="1" ht="58.6" customHeight="1">
      <c r="A27" s="1542"/>
      <c r="B27" s="1493" t="s">
        <v>129</v>
      </c>
      <c r="C27" s="1494">
        <v>3050</v>
      </c>
      <c r="D27" s="1495" t="s">
        <v>3394</v>
      </c>
      <c r="E27" s="1493" t="s">
        <v>192</v>
      </c>
      <c r="F27" s="1495" t="s">
        <v>3395</v>
      </c>
      <c r="G27" s="1495" t="s">
        <v>64</v>
      </c>
      <c r="H27" s="1493" t="s">
        <v>65</v>
      </c>
      <c r="I27" s="1495" t="s">
        <v>213</v>
      </c>
      <c r="J27" s="1496" t="s">
        <v>3396</v>
      </c>
      <c r="K27" s="1600"/>
      <c r="L27" s="1493"/>
      <c r="M27" s="1547"/>
    </row>
    <row r="28" spans="1:13" s="1467" customFormat="1" ht="77.3" customHeight="1">
      <c r="A28" s="1542"/>
      <c r="B28" s="1493" t="s">
        <v>158</v>
      </c>
      <c r="C28" s="1494">
        <v>4000</v>
      </c>
      <c r="D28" s="1766" t="s">
        <v>3397</v>
      </c>
      <c r="E28" s="1493" t="s">
        <v>22</v>
      </c>
      <c r="F28" s="1495" t="s">
        <v>3398</v>
      </c>
      <c r="G28" s="1495" t="s">
        <v>64</v>
      </c>
      <c r="H28" s="1493" t="s">
        <v>65</v>
      </c>
      <c r="I28" s="1773" t="s">
        <v>3399</v>
      </c>
      <c r="J28" s="1600" t="s">
        <v>3400</v>
      </c>
      <c r="K28" s="1467" t="s">
        <v>3401</v>
      </c>
      <c r="L28" s="1493"/>
      <c r="M28" s="1547"/>
    </row>
    <row r="29" spans="1:13" s="1467" customFormat="1" ht="58.6" customHeight="1">
      <c r="A29" s="1542"/>
      <c r="B29" s="1493" t="s">
        <v>3402</v>
      </c>
      <c r="C29" s="1494">
        <v>35000</v>
      </c>
      <c r="D29" s="1495" t="s">
        <v>3403</v>
      </c>
      <c r="E29" s="1493" t="s">
        <v>3347</v>
      </c>
      <c r="F29" s="1495" t="s">
        <v>3404</v>
      </c>
      <c r="G29" s="1495" t="s">
        <v>64</v>
      </c>
      <c r="H29" s="1493" t="s">
        <v>65</v>
      </c>
      <c r="I29" s="1495" t="s">
        <v>3405</v>
      </c>
      <c r="J29" s="1600" t="s">
        <v>3406</v>
      </c>
      <c r="K29" s="1600" t="s">
        <v>3407</v>
      </c>
      <c r="L29" s="1493"/>
      <c r="M29" s="1547"/>
    </row>
    <row r="30" spans="1:13" s="1467" customFormat="1" ht="58.6" customHeight="1">
      <c r="A30" s="1542"/>
      <c r="B30" s="1493" t="s">
        <v>114</v>
      </c>
      <c r="C30" s="1494">
        <v>3500</v>
      </c>
      <c r="D30" s="1766" t="s">
        <v>3408</v>
      </c>
      <c r="E30" s="1493" t="s">
        <v>26</v>
      </c>
      <c r="F30" s="1495" t="s">
        <v>3409</v>
      </c>
      <c r="G30" s="1495" t="s">
        <v>64</v>
      </c>
      <c r="H30" s="1493" t="s">
        <v>65</v>
      </c>
      <c r="I30" s="1545" t="s">
        <v>294</v>
      </c>
      <c r="J30" s="1547" t="s">
        <v>3410</v>
      </c>
      <c r="K30" s="1547"/>
      <c r="L30" s="1493"/>
      <c r="M30" s="1547"/>
    </row>
    <row r="31" spans="1:13" s="1467" customFormat="1" ht="126" customHeight="1">
      <c r="A31" s="1542"/>
      <c r="B31" s="1493" t="s">
        <v>186</v>
      </c>
      <c r="C31" s="1494">
        <v>13675</v>
      </c>
      <c r="D31" s="1766" t="s">
        <v>3411</v>
      </c>
      <c r="E31" s="1493" t="s">
        <v>88</v>
      </c>
      <c r="F31" s="1495" t="s">
        <v>3412</v>
      </c>
      <c r="G31" s="1495" t="s">
        <v>3413</v>
      </c>
      <c r="H31" s="1493" t="s">
        <v>65</v>
      </c>
      <c r="I31" s="1493" t="s">
        <v>90</v>
      </c>
      <c r="J31" s="1600" t="s">
        <v>3414</v>
      </c>
      <c r="K31" s="1775" t="s">
        <v>3415</v>
      </c>
      <c r="L31" s="1493"/>
      <c r="M31" s="1547"/>
    </row>
    <row r="32" spans="1:13" s="1467" customFormat="1" ht="77.95" customHeight="1">
      <c r="A32" s="1542"/>
      <c r="B32" s="1493" t="s">
        <v>134</v>
      </c>
      <c r="C32" s="1494">
        <v>2950</v>
      </c>
      <c r="D32" s="1766" t="s">
        <v>3416</v>
      </c>
      <c r="E32" s="1493" t="s">
        <v>22</v>
      </c>
      <c r="F32" s="1495" t="s">
        <v>3417</v>
      </c>
      <c r="G32" s="1495" t="s">
        <v>3418</v>
      </c>
      <c r="H32" s="1493" t="s">
        <v>65</v>
      </c>
      <c r="I32" s="1493" t="s">
        <v>164</v>
      </c>
      <c r="J32" s="1600" t="s">
        <v>3419</v>
      </c>
      <c r="K32" s="1547"/>
      <c r="L32" s="1493"/>
      <c r="M32" s="1547"/>
    </row>
    <row r="33" spans="1:14" s="1467" customFormat="1" ht="159.80000000000001" customHeight="1">
      <c r="A33" s="1542"/>
      <c r="B33" s="1493" t="s">
        <v>191</v>
      </c>
      <c r="C33" s="1494">
        <v>8300</v>
      </c>
      <c r="D33" s="1766" t="s">
        <v>3420</v>
      </c>
      <c r="E33" s="1493" t="s">
        <v>88</v>
      </c>
      <c r="F33" s="1748" t="s">
        <v>3421</v>
      </c>
      <c r="G33" s="1495" t="s">
        <v>3422</v>
      </c>
      <c r="H33" s="1493" t="s">
        <v>65</v>
      </c>
      <c r="I33" s="1493" t="s">
        <v>213</v>
      </c>
      <c r="J33" s="1600" t="s">
        <v>3423</v>
      </c>
      <c r="K33" s="1547"/>
      <c r="L33" s="1493"/>
      <c r="M33" s="1547"/>
    </row>
    <row r="34" spans="1:14" s="1467" customFormat="1" ht="58.6" customHeight="1">
      <c r="A34" s="1542" cm="1">
        <f t="array" ref="A34:A73">_xlfn.SEQUENCE(40,1,1)</f>
        <v>1</v>
      </c>
      <c r="B34" s="1493" t="s">
        <v>252</v>
      </c>
      <c r="C34" s="1494">
        <v>4000</v>
      </c>
      <c r="D34" s="1766" t="s">
        <v>3424</v>
      </c>
      <c r="E34" s="1493" t="s">
        <v>20</v>
      </c>
      <c r="F34" s="1780" t="s">
        <v>3425</v>
      </c>
      <c r="G34" s="1495" t="s">
        <v>64</v>
      </c>
      <c r="H34" s="1493" t="s">
        <v>65</v>
      </c>
      <c r="I34" s="1493" t="s">
        <v>164</v>
      </c>
      <c r="J34" s="1496" t="s">
        <v>3426</v>
      </c>
      <c r="K34" s="1547"/>
      <c r="L34" s="1493"/>
      <c r="M34" s="1547"/>
    </row>
    <row r="35" spans="1:14" ht="58.6" customHeight="1">
      <c r="A35" s="738">
        <v>2</v>
      </c>
      <c r="B35" s="102"/>
      <c r="C35" s="1167"/>
      <c r="D35" s="109"/>
      <c r="E35" s="102"/>
      <c r="F35" s="1772"/>
      <c r="G35" s="109"/>
      <c r="H35" s="103"/>
      <c r="I35" s="102"/>
      <c r="K35" s="143"/>
      <c r="L35" s="102"/>
      <c r="M35" s="143"/>
    </row>
    <row r="36" spans="1:14" ht="58.6" customHeight="1">
      <c r="A36" s="738">
        <v>3</v>
      </c>
      <c r="B36" s="102" t="s">
        <v>68</v>
      </c>
      <c r="C36" s="1167"/>
      <c r="D36" s="109"/>
      <c r="E36" s="102"/>
      <c r="F36" s="1772"/>
      <c r="G36" s="109"/>
      <c r="H36" s="102"/>
      <c r="I36" s="735"/>
      <c r="J36" s="143"/>
      <c r="K36" s="143"/>
      <c r="L36" s="102"/>
      <c r="M36" s="143"/>
    </row>
    <row r="37" spans="1:14" ht="58.6" customHeight="1">
      <c r="A37" s="738">
        <v>4</v>
      </c>
      <c r="B37" s="102"/>
      <c r="C37" s="1167"/>
      <c r="D37" s="109"/>
      <c r="E37" s="102"/>
      <c r="F37" s="1772"/>
      <c r="G37" s="109"/>
      <c r="H37" s="102"/>
      <c r="I37" s="109"/>
      <c r="J37" s="143"/>
      <c r="K37" s="143"/>
      <c r="L37" s="102"/>
      <c r="M37" s="143"/>
    </row>
    <row r="38" spans="1:14" ht="86.95" customHeight="1">
      <c r="A38" s="738">
        <v>5</v>
      </c>
      <c r="B38" s="102"/>
      <c r="C38" s="1167"/>
      <c r="D38" s="109"/>
      <c r="E38" s="102"/>
      <c r="F38" s="1772"/>
      <c r="G38" s="109"/>
      <c r="H38" s="102"/>
      <c r="J38" s="670"/>
      <c r="K38" s="143"/>
      <c r="L38" s="102"/>
      <c r="M38" s="143"/>
    </row>
    <row r="39" spans="1:14" ht="75.099999999999994" customHeight="1">
      <c r="A39" s="738">
        <v>6</v>
      </c>
      <c r="B39" s="102"/>
      <c r="C39" s="1167"/>
      <c r="D39" s="109"/>
      <c r="E39" s="102"/>
      <c r="F39" s="1772"/>
      <c r="G39" s="109"/>
      <c r="H39" s="102"/>
      <c r="I39" s="102"/>
      <c r="J39" s="696"/>
      <c r="K39" s="143"/>
      <c r="L39" s="102"/>
      <c r="M39" s="143"/>
    </row>
    <row r="40" spans="1:14" ht="58.6" customHeight="1">
      <c r="A40" s="738">
        <v>7</v>
      </c>
      <c r="B40" s="102"/>
      <c r="C40" s="1167"/>
      <c r="D40" s="109"/>
      <c r="E40" s="102"/>
      <c r="F40" s="1772"/>
      <c r="G40" s="109"/>
      <c r="H40" s="102"/>
      <c r="I40" s="102"/>
      <c r="J40" s="143"/>
      <c r="K40" s="143"/>
      <c r="L40" s="102"/>
      <c r="M40" s="143"/>
    </row>
    <row r="41" spans="1:14" ht="58.6" customHeight="1">
      <c r="A41" s="738">
        <v>8</v>
      </c>
      <c r="B41" s="102"/>
      <c r="C41" s="1167"/>
      <c r="D41" s="109"/>
      <c r="E41" s="102"/>
      <c r="F41" s="109"/>
      <c r="G41" s="109"/>
      <c r="H41" s="102"/>
      <c r="I41" s="102"/>
      <c r="J41" s="143"/>
      <c r="K41" s="143"/>
      <c r="L41" s="102"/>
      <c r="M41" s="143"/>
    </row>
    <row r="42" spans="1:14" ht="58.6" customHeight="1">
      <c r="A42" s="738">
        <v>9</v>
      </c>
      <c r="B42" s="102"/>
      <c r="C42" s="1167"/>
      <c r="D42" s="109"/>
      <c r="E42" s="102"/>
      <c r="F42" s="109"/>
      <c r="G42" s="109"/>
      <c r="H42" s="1776"/>
      <c r="I42" s="102"/>
      <c r="J42" s="143"/>
      <c r="K42" s="143"/>
      <c r="L42" s="102"/>
      <c r="M42" s="143"/>
    </row>
    <row r="43" spans="1:14" ht="58.6" customHeight="1">
      <c r="A43" s="738">
        <v>10</v>
      </c>
      <c r="B43" s="102"/>
      <c r="C43" s="1167"/>
      <c r="D43" s="109"/>
      <c r="E43" s="102"/>
      <c r="F43" s="109"/>
      <c r="G43" s="109"/>
      <c r="H43" s="102"/>
      <c r="I43" s="102"/>
      <c r="J43" s="143"/>
      <c r="K43" s="143"/>
      <c r="L43" s="102"/>
      <c r="M43" s="143"/>
    </row>
    <row r="44" spans="1:14" ht="58.6" customHeight="1">
      <c r="A44" s="738">
        <v>11</v>
      </c>
      <c r="B44" s="102"/>
      <c r="C44" s="1167"/>
      <c r="D44" s="109"/>
      <c r="E44" s="102"/>
      <c r="F44" s="109"/>
      <c r="G44" s="109"/>
      <c r="H44" s="102"/>
      <c r="I44" s="102"/>
      <c r="J44" s="143"/>
      <c r="K44" s="143"/>
      <c r="L44" s="102"/>
      <c r="M44" s="143"/>
    </row>
    <row r="45" spans="1:14" s="1743" customFormat="1" ht="58.6" customHeight="1">
      <c r="A45" s="1735">
        <v>12</v>
      </c>
      <c r="B45" s="1736" t="s">
        <v>1584</v>
      </c>
      <c r="C45" s="1737">
        <v>14000</v>
      </c>
      <c r="D45" s="1738" t="s">
        <v>257</v>
      </c>
      <c r="E45" s="1736" t="s">
        <v>88</v>
      </c>
      <c r="F45" s="1739" t="s">
        <v>3427</v>
      </c>
      <c r="G45" s="1739"/>
      <c r="H45" s="1736"/>
      <c r="I45" s="1736"/>
      <c r="J45" s="1740"/>
      <c r="K45" s="1741"/>
      <c r="L45" s="1736"/>
      <c r="M45" s="1741"/>
      <c r="N45" s="1742"/>
    </row>
    <row r="46" spans="1:14" s="1765" customFormat="1" ht="52.5" customHeight="1">
      <c r="A46" s="1758">
        <v>13</v>
      </c>
      <c r="B46" s="1759" t="s">
        <v>2962</v>
      </c>
      <c r="C46" s="1760">
        <v>5300</v>
      </c>
      <c r="D46" s="1761" t="s">
        <v>257</v>
      </c>
      <c r="E46" s="1759" t="s">
        <v>88</v>
      </c>
      <c r="F46" s="1762" t="s">
        <v>3427</v>
      </c>
      <c r="G46" s="1762"/>
      <c r="H46" s="1759"/>
      <c r="I46" s="1759"/>
      <c r="J46" s="1763"/>
      <c r="K46" s="1764"/>
      <c r="L46" s="1759"/>
      <c r="M46" s="1764"/>
    </row>
    <row r="47" spans="1:14" ht="58.6" customHeight="1">
      <c r="A47" s="738">
        <v>14</v>
      </c>
      <c r="B47" s="102"/>
      <c r="C47" s="1167"/>
      <c r="D47" s="109"/>
      <c r="E47" s="102"/>
      <c r="F47" s="109"/>
      <c r="G47" s="109"/>
      <c r="H47" s="102"/>
      <c r="I47" s="102"/>
      <c r="J47" s="143"/>
      <c r="K47" s="143"/>
      <c r="L47" s="102"/>
      <c r="M47" s="143"/>
    </row>
    <row r="48" spans="1:14" ht="58.6" customHeight="1">
      <c r="A48" s="738">
        <v>15</v>
      </c>
      <c r="B48" s="102"/>
      <c r="C48" s="1167"/>
      <c r="D48" s="109"/>
      <c r="E48" s="102"/>
      <c r="F48" s="109"/>
      <c r="G48" s="109"/>
      <c r="H48" s="102"/>
      <c r="I48" s="102"/>
      <c r="J48" s="143"/>
      <c r="K48" s="143"/>
      <c r="L48" s="102"/>
      <c r="M48" s="143"/>
    </row>
    <row r="49" spans="1:13" ht="58.6" customHeight="1">
      <c r="A49" s="738">
        <v>16</v>
      </c>
      <c r="B49" s="102"/>
      <c r="C49" s="1167"/>
      <c r="D49" s="109"/>
      <c r="E49" s="102"/>
      <c r="F49" s="109"/>
      <c r="G49" s="109"/>
      <c r="H49" s="102"/>
      <c r="I49" s="102"/>
      <c r="J49" s="143"/>
      <c r="K49" s="143"/>
      <c r="L49" s="102"/>
      <c r="M49" s="143"/>
    </row>
    <row r="50" spans="1:13" ht="58.6" customHeight="1">
      <c r="A50" s="738">
        <v>17</v>
      </c>
      <c r="B50" s="102"/>
      <c r="C50" s="1167"/>
      <c r="D50" s="109"/>
      <c r="E50" s="102"/>
      <c r="F50" s="109"/>
      <c r="G50" s="109"/>
      <c r="H50" s="102"/>
      <c r="I50" s="102"/>
      <c r="J50" s="143"/>
      <c r="K50" s="143"/>
      <c r="L50" s="102"/>
      <c r="M50" s="143"/>
    </row>
    <row r="51" spans="1:13" ht="58.6" customHeight="1">
      <c r="A51" s="738">
        <v>18</v>
      </c>
      <c r="B51" s="102"/>
      <c r="C51" s="1167"/>
      <c r="D51" s="109"/>
      <c r="E51" s="102"/>
      <c r="F51" s="109"/>
      <c r="G51" s="109"/>
      <c r="H51" s="102"/>
      <c r="I51" s="102"/>
      <c r="J51" s="143"/>
      <c r="K51" s="143"/>
      <c r="L51" s="102"/>
      <c r="M51" s="143"/>
    </row>
    <row r="52" spans="1:13" ht="58.6" customHeight="1">
      <c r="A52" s="738">
        <v>19</v>
      </c>
      <c r="B52" s="102"/>
      <c r="C52" s="1167"/>
      <c r="D52" s="109"/>
      <c r="E52" s="102"/>
      <c r="F52" s="109"/>
      <c r="G52" s="109"/>
      <c r="H52" s="102"/>
      <c r="I52" s="102"/>
      <c r="J52" s="143"/>
      <c r="K52" s="143"/>
      <c r="L52" s="102"/>
      <c r="M52" s="143"/>
    </row>
    <row r="53" spans="1:13" ht="58.6" customHeight="1">
      <c r="A53" s="738">
        <v>20</v>
      </c>
      <c r="B53" s="102"/>
      <c r="C53" s="1167"/>
      <c r="D53" s="109"/>
      <c r="E53" s="102"/>
      <c r="F53" s="109"/>
      <c r="G53" s="109"/>
      <c r="H53" s="102"/>
      <c r="I53" s="102"/>
      <c r="J53" s="143"/>
      <c r="K53" s="143"/>
      <c r="L53" s="102"/>
      <c r="M53" s="143"/>
    </row>
    <row r="54" spans="1:13" ht="58.6" customHeight="1">
      <c r="A54" s="738">
        <v>21</v>
      </c>
      <c r="B54" s="102"/>
      <c r="C54" s="1167"/>
      <c r="D54" s="109"/>
      <c r="E54" s="102"/>
      <c r="F54" s="109"/>
      <c r="G54" s="109"/>
      <c r="H54" s="102"/>
      <c r="I54" s="102"/>
      <c r="J54" s="143"/>
      <c r="K54" s="143"/>
      <c r="L54" s="102"/>
      <c r="M54" s="143"/>
    </row>
    <row r="55" spans="1:13" ht="58.6" customHeight="1">
      <c r="A55" s="738">
        <v>22</v>
      </c>
      <c r="B55" s="102"/>
      <c r="C55" s="1167"/>
      <c r="D55" s="109"/>
      <c r="E55" s="102"/>
      <c r="F55" s="109"/>
      <c r="G55" s="109"/>
      <c r="H55" s="102"/>
      <c r="I55" s="102"/>
      <c r="J55" s="143"/>
      <c r="K55" s="143"/>
      <c r="L55" s="102"/>
      <c r="M55" s="143"/>
    </row>
    <row r="56" spans="1:13" ht="58.6" customHeight="1">
      <c r="A56" s="738">
        <v>23</v>
      </c>
      <c r="B56" s="102"/>
      <c r="C56" s="1167"/>
      <c r="D56" s="109"/>
      <c r="E56" s="102"/>
      <c r="F56" s="109"/>
      <c r="G56" s="109"/>
      <c r="H56" s="102"/>
      <c r="I56" s="102"/>
      <c r="J56" s="143"/>
      <c r="K56" s="143"/>
      <c r="L56" s="102"/>
      <c r="M56" s="143"/>
    </row>
    <row r="57" spans="1:13" ht="58.6" customHeight="1">
      <c r="A57" s="359">
        <v>24</v>
      </c>
    </row>
    <row r="58" spans="1:13" ht="58.6" customHeight="1">
      <c r="A58" s="359">
        <v>25</v>
      </c>
    </row>
    <row r="59" spans="1:13" ht="58.6" customHeight="1">
      <c r="A59" s="359">
        <v>26</v>
      </c>
    </row>
    <row r="60" spans="1:13" ht="58.6" customHeight="1">
      <c r="A60" s="359">
        <v>27</v>
      </c>
    </row>
    <row r="61" spans="1:13" ht="58.6" customHeight="1">
      <c r="A61" s="359">
        <v>28</v>
      </c>
    </row>
    <row r="62" spans="1:13" ht="58.6" customHeight="1">
      <c r="A62" s="359">
        <v>29</v>
      </c>
    </row>
    <row r="63" spans="1:13" ht="58.6" customHeight="1">
      <c r="A63" s="359">
        <v>30</v>
      </c>
    </row>
    <row r="64" spans="1:13" ht="58.6" customHeight="1">
      <c r="A64" s="359">
        <v>31</v>
      </c>
    </row>
    <row r="65" spans="1:1" ht="58.6" customHeight="1">
      <c r="A65" s="359">
        <v>32</v>
      </c>
    </row>
    <row r="66" spans="1:1" ht="58.6" customHeight="1">
      <c r="A66" s="359">
        <v>33</v>
      </c>
    </row>
    <row r="67" spans="1:1" ht="58.6" customHeight="1">
      <c r="A67" s="359">
        <v>34</v>
      </c>
    </row>
    <row r="68" spans="1:1" ht="58.6" customHeight="1">
      <c r="A68" s="359">
        <v>35</v>
      </c>
    </row>
    <row r="69" spans="1:1" ht="58.6" customHeight="1">
      <c r="A69" s="359">
        <v>36</v>
      </c>
    </row>
    <row r="70" spans="1:1" ht="58.6" customHeight="1">
      <c r="A70" s="359">
        <v>37</v>
      </c>
    </row>
    <row r="71" spans="1:1" ht="58.6" customHeight="1">
      <c r="A71" s="359">
        <v>38</v>
      </c>
    </row>
    <row r="72" spans="1:1" ht="58.6" customHeight="1">
      <c r="A72" s="359">
        <v>39</v>
      </c>
    </row>
    <row r="73" spans="1:1" ht="58.6" customHeight="1">
      <c r="A73" s="359">
        <v>40</v>
      </c>
    </row>
  </sheetData>
  <autoFilter ref="A5:P5" xr:uid="{00000000-0009-0000-0000-000001000000}"/>
  <mergeCells count="4">
    <mergeCell ref="C1:K1"/>
    <mergeCell ref="A2:M2"/>
    <mergeCell ref="B3:M3"/>
    <mergeCell ref="A4:B4"/>
  </mergeCells>
  <conditionalFormatting sqref="A1:A4">
    <cfRule type="duplicateValues" dxfId="472" priority="5"/>
  </conditionalFormatting>
  <conditionalFormatting sqref="A5">
    <cfRule type="duplicateValues" dxfId="471" priority="4"/>
  </conditionalFormatting>
  <conditionalFormatting sqref="B5">
    <cfRule type="duplicateValues" dxfId="470" priority="1"/>
    <cfRule type="duplicateValues" dxfId="469" priority="2"/>
    <cfRule type="duplicateValues" dxfId="468"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6" customHeight="1">
      <c r="B1" s="10"/>
      <c r="C1" s="3671"/>
      <c r="D1" s="3671"/>
      <c r="E1" s="3671"/>
      <c r="F1" s="3671"/>
      <c r="G1" s="3671"/>
      <c r="H1" s="3671"/>
      <c r="I1" s="3671"/>
      <c r="J1" s="3671"/>
      <c r="K1" s="3671"/>
      <c r="M1" s="1848"/>
    </row>
    <row r="2" spans="1:14" ht="41.95" customHeight="1">
      <c r="A2" s="3752" t="s">
        <v>3428</v>
      </c>
      <c r="B2" s="3752"/>
      <c r="C2" s="3752"/>
      <c r="D2" s="3752"/>
      <c r="E2" s="3752"/>
      <c r="F2" s="3752"/>
      <c r="G2" s="3752"/>
      <c r="H2" s="3752"/>
      <c r="I2" s="3752"/>
      <c r="J2" s="3752"/>
      <c r="K2" s="3753"/>
      <c r="L2" s="1905"/>
      <c r="M2" s="1905"/>
      <c r="N2" s="287"/>
    </row>
    <row r="3" spans="1:14" ht="37.549999999999997" customHeight="1">
      <c r="A3" s="3754" t="s">
        <v>3429</v>
      </c>
      <c r="B3" s="3754"/>
      <c r="C3" s="1950">
        <f>SUBTOTAL(9,C5:C585)</f>
        <v>218528</v>
      </c>
      <c r="D3" s="1932"/>
      <c r="E3" s="1951"/>
      <c r="F3" s="1932"/>
      <c r="G3" s="1932"/>
      <c r="H3" s="1932"/>
      <c r="I3" s="1932"/>
      <c r="J3" s="1934">
        <f ca="1">TODAY()</f>
        <v>45988</v>
      </c>
      <c r="K3" s="1622"/>
      <c r="L3" s="1952"/>
      <c r="M3" s="1951"/>
      <c r="N3" s="287"/>
    </row>
    <row r="4" spans="1:14" s="1149" customFormat="1" ht="53.35" customHeight="1">
      <c r="A4" s="1978" t="s">
        <v>48</v>
      </c>
      <c r="B4" s="1818" t="s">
        <v>49</v>
      </c>
      <c r="C4" s="1948" t="s">
        <v>50</v>
      </c>
      <c r="D4" s="1818" t="s">
        <v>3430</v>
      </c>
      <c r="E4" s="1818" t="s">
        <v>52</v>
      </c>
      <c r="F4" s="1818" t="s">
        <v>3431</v>
      </c>
      <c r="G4" s="1818" t="s">
        <v>54</v>
      </c>
      <c r="H4" s="1970" t="s">
        <v>55</v>
      </c>
      <c r="I4" s="1818" t="s">
        <v>56</v>
      </c>
      <c r="J4" s="1818" t="s">
        <v>57</v>
      </c>
      <c r="K4" s="1818" t="s">
        <v>58</v>
      </c>
      <c r="L4" s="1818" t="s">
        <v>59</v>
      </c>
      <c r="M4" s="1949" t="s">
        <v>60</v>
      </c>
      <c r="N4" s="1820" t="e">
        <f>SUM(#REF!)</f>
        <v>#REF!</v>
      </c>
    </row>
    <row r="5" spans="1:14" s="1916" customFormat="1" ht="53.35" customHeight="1">
      <c r="A5" s="1542" cm="1">
        <f t="array" ref="A5:A54">_xlfn.SEQUENCE(50,1,1,)</f>
        <v>1</v>
      </c>
      <c r="B5" s="1495" t="s">
        <v>3432</v>
      </c>
      <c r="C5" s="1901">
        <v>3300</v>
      </c>
      <c r="D5" s="1851" t="s">
        <v>3433</v>
      </c>
      <c r="E5" s="1493" t="s">
        <v>24</v>
      </c>
      <c r="F5" s="1495" t="s">
        <v>3434</v>
      </c>
      <c r="G5" s="2030" t="s">
        <v>64</v>
      </c>
      <c r="H5" s="1568" t="s">
        <v>65</v>
      </c>
      <c r="I5" s="1495" t="s">
        <v>142</v>
      </c>
      <c r="J5" s="1496" t="s">
        <v>3435</v>
      </c>
      <c r="K5" s="1547"/>
      <c r="L5" s="1493"/>
      <c r="M5" s="1790"/>
      <c r="N5" s="1548"/>
    </row>
    <row r="6" spans="1:14" s="1916" customFormat="1" ht="103.6" customHeight="1">
      <c r="A6" s="1542">
        <v>2</v>
      </c>
      <c r="B6" s="1493" t="s">
        <v>3436</v>
      </c>
      <c r="C6" s="1494">
        <v>11000</v>
      </c>
      <c r="D6" s="1851" t="s">
        <v>3437</v>
      </c>
      <c r="E6" s="1493" t="s">
        <v>18</v>
      </c>
      <c r="F6" s="1495" t="s">
        <v>3438</v>
      </c>
      <c r="G6" s="2030" t="s">
        <v>64</v>
      </c>
      <c r="H6" s="1568" t="s">
        <v>65</v>
      </c>
      <c r="I6" s="1495" t="s">
        <v>213</v>
      </c>
      <c r="J6" s="1496" t="s">
        <v>3439</v>
      </c>
      <c r="K6" s="1547"/>
      <c r="L6" s="1493"/>
      <c r="M6" s="1790"/>
      <c r="N6" s="1548"/>
    </row>
    <row r="7" spans="1:14" s="1916" customFormat="1" ht="112.6" customHeight="1">
      <c r="A7" s="1542">
        <v>3</v>
      </c>
      <c r="B7" s="1493" t="s">
        <v>3440</v>
      </c>
      <c r="C7" s="1494">
        <v>8800</v>
      </c>
      <c r="D7" s="1851" t="s">
        <v>3441</v>
      </c>
      <c r="E7" s="1493" t="s">
        <v>16</v>
      </c>
      <c r="F7" s="1495" t="s">
        <v>3442</v>
      </c>
      <c r="G7" s="2030" t="s">
        <v>64</v>
      </c>
      <c r="H7" s="1568" t="s">
        <v>65</v>
      </c>
      <c r="I7" s="1495" t="s">
        <v>558</v>
      </c>
      <c r="J7" s="1496" t="s">
        <v>3443</v>
      </c>
      <c r="K7" s="1600"/>
      <c r="L7" s="1493"/>
      <c r="M7" s="1790"/>
      <c r="N7" s="1548"/>
    </row>
    <row r="8" spans="1:14" s="1916" customFormat="1" ht="129.1" customHeight="1">
      <c r="A8" s="1542">
        <v>4</v>
      </c>
      <c r="B8" s="1495" t="s">
        <v>260</v>
      </c>
      <c r="C8" s="1901">
        <v>3750</v>
      </c>
      <c r="D8" s="1851" t="s">
        <v>3444</v>
      </c>
      <c r="E8" s="1493" t="s">
        <v>20</v>
      </c>
      <c r="F8" s="1495" t="s">
        <v>3445</v>
      </c>
      <c r="G8" s="2030" t="s">
        <v>64</v>
      </c>
      <c r="H8" s="1568" t="s">
        <v>65</v>
      </c>
      <c r="I8" s="1495" t="s">
        <v>558</v>
      </c>
      <c r="J8" s="1600" t="s">
        <v>3446</v>
      </c>
      <c r="K8" s="1498"/>
      <c r="L8" s="1493"/>
      <c r="M8" s="1790"/>
      <c r="N8" s="1548"/>
    </row>
    <row r="9" spans="1:14" s="1997" customFormat="1" ht="71.349999999999994" customHeight="1">
      <c r="A9" s="1542">
        <v>5</v>
      </c>
      <c r="B9" s="1493" t="s">
        <v>158</v>
      </c>
      <c r="C9" s="1494">
        <v>4000</v>
      </c>
      <c r="D9" s="2032" t="s">
        <v>3447</v>
      </c>
      <c r="E9" s="1493" t="s">
        <v>22</v>
      </c>
      <c r="F9" s="1495" t="s">
        <v>3448</v>
      </c>
      <c r="G9" s="2030" t="s">
        <v>64</v>
      </c>
      <c r="H9" s="1568" t="s">
        <v>65</v>
      </c>
      <c r="I9" s="1495" t="s">
        <v>213</v>
      </c>
      <c r="J9" s="1496" t="s">
        <v>3449</v>
      </c>
      <c r="K9" s="1547"/>
      <c r="L9" s="1493"/>
      <c r="M9" s="1790"/>
      <c r="N9" s="1548"/>
    </row>
    <row r="10" spans="1:14" s="1916" customFormat="1" ht="89.35" customHeight="1">
      <c r="A10" s="1850">
        <v>6</v>
      </c>
      <c r="B10" s="1543" t="s">
        <v>3450</v>
      </c>
      <c r="C10" s="2029">
        <v>3050</v>
      </c>
      <c r="D10" s="1851" t="s">
        <v>3451</v>
      </c>
      <c r="E10" s="1601" t="s">
        <v>22</v>
      </c>
      <c r="F10" s="1851" t="s">
        <v>3452</v>
      </c>
      <c r="G10" s="2030" t="s">
        <v>64</v>
      </c>
      <c r="H10" s="1568" t="s">
        <v>65</v>
      </c>
      <c r="I10" s="1495" t="s">
        <v>558</v>
      </c>
      <c r="J10" s="1497" t="s">
        <v>3453</v>
      </c>
      <c r="K10" s="2031"/>
      <c r="L10" s="1630"/>
      <c r="M10" s="1882"/>
      <c r="N10" s="1883"/>
    </row>
    <row r="11" spans="1:14" s="1916" customFormat="1" ht="157.6" customHeight="1">
      <c r="A11" s="1542">
        <v>7</v>
      </c>
      <c r="B11" s="1493" t="s">
        <v>3454</v>
      </c>
      <c r="C11" s="1494">
        <v>24000</v>
      </c>
      <c r="D11" s="2032" t="s">
        <v>3455</v>
      </c>
      <c r="E11" s="1493" t="s">
        <v>14</v>
      </c>
      <c r="F11" s="1495" t="s">
        <v>3456</v>
      </c>
      <c r="G11" s="2030" t="s">
        <v>64</v>
      </c>
      <c r="H11" s="1568" t="s">
        <v>65</v>
      </c>
      <c r="I11" s="1495" t="s">
        <v>3307</v>
      </c>
      <c r="J11" s="1496" t="s">
        <v>3457</v>
      </c>
      <c r="K11" s="1547"/>
      <c r="L11" s="1493"/>
      <c r="M11" s="1790"/>
      <c r="N11" s="1548"/>
    </row>
    <row r="12" spans="1:14" s="1916" customFormat="1" ht="70.5" customHeight="1">
      <c r="A12" s="1542">
        <v>8</v>
      </c>
      <c r="B12" s="1495" t="s">
        <v>3458</v>
      </c>
      <c r="C12" s="1901">
        <v>5000</v>
      </c>
      <c r="D12" s="1495" t="s">
        <v>3459</v>
      </c>
      <c r="E12" s="1493" t="s">
        <v>3460</v>
      </c>
      <c r="F12" s="1495" t="s">
        <v>3461</v>
      </c>
      <c r="G12" s="2030" t="s">
        <v>64</v>
      </c>
      <c r="H12" s="1495" t="s">
        <v>3462</v>
      </c>
      <c r="I12" s="1495" t="s">
        <v>219</v>
      </c>
      <c r="J12" s="1600" t="s">
        <v>3463</v>
      </c>
      <c r="K12" s="1547"/>
      <c r="L12" s="1493"/>
      <c r="M12" s="1790"/>
      <c r="N12" s="1548"/>
    </row>
    <row r="13" spans="1:14" s="1916" customFormat="1" ht="82.55" customHeight="1">
      <c r="A13" s="1542">
        <v>9</v>
      </c>
      <c r="B13" s="1493" t="s">
        <v>3464</v>
      </c>
      <c r="C13" s="1494">
        <v>3500</v>
      </c>
      <c r="D13" s="1851" t="s">
        <v>3465</v>
      </c>
      <c r="E13" s="1493" t="s">
        <v>20</v>
      </c>
      <c r="F13" s="1495" t="s">
        <v>3466</v>
      </c>
      <c r="G13" s="2030" t="s">
        <v>64</v>
      </c>
      <c r="H13" s="1568" t="s">
        <v>65</v>
      </c>
      <c r="I13" s="1495" t="s">
        <v>106</v>
      </c>
      <c r="J13" s="1496" t="s">
        <v>3467</v>
      </c>
      <c r="K13" s="1547"/>
      <c r="L13" s="1493"/>
      <c r="M13" s="1790"/>
      <c r="N13" s="1548"/>
    </row>
    <row r="14" spans="1:14" s="2033" customFormat="1" ht="82.55" customHeight="1">
      <c r="A14" s="1850">
        <v>10</v>
      </c>
      <c r="B14" s="1495" t="s">
        <v>3468</v>
      </c>
      <c r="C14" s="1631">
        <v>3000</v>
      </c>
      <c r="D14" s="1851" t="s">
        <v>3459</v>
      </c>
      <c r="E14" s="1630" t="s">
        <v>3469</v>
      </c>
      <c r="F14" s="1851" t="s">
        <v>3470</v>
      </c>
      <c r="G14" s="2030" t="s">
        <v>64</v>
      </c>
      <c r="H14" s="1568" t="s">
        <v>65</v>
      </c>
      <c r="I14" s="1851" t="s">
        <v>3471</v>
      </c>
      <c r="J14" s="1497" t="s">
        <v>3472</v>
      </c>
      <c r="K14" s="1881"/>
      <c r="L14" s="1630"/>
      <c r="M14" s="1882"/>
      <c r="N14" s="1883"/>
    </row>
    <row r="15" spans="1:14" s="2033" customFormat="1" ht="82.55" customHeight="1">
      <c r="A15" s="1850">
        <v>11</v>
      </c>
      <c r="B15" s="1851" t="s">
        <v>3473</v>
      </c>
      <c r="C15" s="1915">
        <v>507</v>
      </c>
      <c r="D15" s="1851" t="s">
        <v>3474</v>
      </c>
      <c r="E15" s="1630" t="s">
        <v>26</v>
      </c>
      <c r="F15" s="1851" t="s">
        <v>3475</v>
      </c>
      <c r="G15" s="2030" t="s">
        <v>64</v>
      </c>
      <c r="H15" s="1568" t="s">
        <v>65</v>
      </c>
      <c r="I15" s="1495" t="s">
        <v>213</v>
      </c>
      <c r="J15" s="2133" t="s">
        <v>3476</v>
      </c>
      <c r="K15" s="1938"/>
      <c r="L15" s="1630"/>
      <c r="M15" s="1882"/>
      <c r="N15" s="1883"/>
    </row>
    <row r="16" spans="1:14" s="2033" customFormat="1" ht="120.75" customHeight="1">
      <c r="A16" s="1542">
        <v>12</v>
      </c>
      <c r="B16" s="1495" t="s">
        <v>3477</v>
      </c>
      <c r="C16" s="1901">
        <v>4300</v>
      </c>
      <c r="D16" s="1495" t="s">
        <v>3478</v>
      </c>
      <c r="E16" s="1769" t="s">
        <v>22</v>
      </c>
      <c r="F16" s="1851" t="s">
        <v>3479</v>
      </c>
      <c r="G16" s="2030" t="s">
        <v>64</v>
      </c>
      <c r="H16" s="1947" t="s">
        <v>65</v>
      </c>
      <c r="I16" s="1851" t="s">
        <v>213</v>
      </c>
      <c r="J16" s="1497" t="s">
        <v>3480</v>
      </c>
      <c r="K16" s="1873"/>
      <c r="L16" s="1497"/>
      <c r="M16" s="1790"/>
      <c r="N16" s="1548"/>
    </row>
    <row r="17" spans="1:14" s="2033" customFormat="1" ht="104.95" customHeight="1">
      <c r="A17" s="1542">
        <v>13</v>
      </c>
      <c r="B17" s="1495" t="s">
        <v>3440</v>
      </c>
      <c r="C17" s="1901">
        <v>8700</v>
      </c>
      <c r="D17" s="1495" t="s">
        <v>3481</v>
      </c>
      <c r="E17" s="1769" t="s">
        <v>16</v>
      </c>
      <c r="F17" s="1890" t="s">
        <v>3482</v>
      </c>
      <c r="G17" s="2030" t="s">
        <v>64</v>
      </c>
      <c r="H17" s="1947" t="s">
        <v>65</v>
      </c>
      <c r="I17" s="1851" t="s">
        <v>213</v>
      </c>
      <c r="J17" s="1628" t="s">
        <v>3483</v>
      </c>
      <c r="K17" s="1947" t="s">
        <v>3484</v>
      </c>
      <c r="L17" s="1497"/>
      <c r="M17" s="1790"/>
      <c r="N17" s="1548"/>
    </row>
    <row r="18" spans="1:14" s="2033" customFormat="1" ht="77.3" customHeight="1">
      <c r="A18" s="1542">
        <v>14</v>
      </c>
      <c r="B18" s="1851" t="s">
        <v>3485</v>
      </c>
      <c r="C18" s="1915">
        <v>9000</v>
      </c>
      <c r="D18" s="1851" t="s">
        <v>3486</v>
      </c>
      <c r="E18" s="1493" t="s">
        <v>3460</v>
      </c>
      <c r="F18" s="1851" t="s">
        <v>3487</v>
      </c>
      <c r="G18" s="2030" t="s">
        <v>64</v>
      </c>
      <c r="H18" s="1851" t="s">
        <v>3462</v>
      </c>
      <c r="I18" s="1872" t="s">
        <v>3488</v>
      </c>
      <c r="J18" s="2133" t="s">
        <v>3489</v>
      </c>
      <c r="K18" s="1938" t="s">
        <v>3490</v>
      </c>
      <c r="L18" s="1630"/>
      <c r="M18" s="1882"/>
      <c r="N18" s="1548"/>
    </row>
    <row r="19" spans="1:14" s="2033" customFormat="1" ht="73.55" customHeight="1">
      <c r="A19" s="1850">
        <v>15</v>
      </c>
      <c r="B19" s="1851" t="s">
        <v>114</v>
      </c>
      <c r="C19" s="1915">
        <v>2200</v>
      </c>
      <c r="D19" s="1851" t="s">
        <v>3481</v>
      </c>
      <c r="E19" s="1630" t="s">
        <v>18</v>
      </c>
      <c r="F19" s="1851" t="s">
        <v>3491</v>
      </c>
      <c r="G19" s="2030" t="s">
        <v>64</v>
      </c>
      <c r="H19" s="1947" t="s">
        <v>65</v>
      </c>
      <c r="I19" s="1872" t="s">
        <v>558</v>
      </c>
      <c r="J19" s="2133" t="s">
        <v>3492</v>
      </c>
      <c r="K19" s="1873" t="s">
        <v>3493</v>
      </c>
      <c r="L19" s="1630"/>
      <c r="M19" s="1882"/>
      <c r="N19" s="1883"/>
    </row>
    <row r="20" spans="1:14" s="2035" customFormat="1" ht="121.6" customHeight="1">
      <c r="A20" s="1917">
        <v>16</v>
      </c>
      <c r="B20" s="1875" t="s">
        <v>3494</v>
      </c>
      <c r="C20" s="1918">
        <v>6200</v>
      </c>
      <c r="D20" s="1875" t="s">
        <v>3495</v>
      </c>
      <c r="E20" s="1869" t="s">
        <v>16</v>
      </c>
      <c r="F20" s="1875" t="s">
        <v>3496</v>
      </c>
      <c r="G20" s="2030" t="s">
        <v>64</v>
      </c>
      <c r="H20" s="1946" t="s">
        <v>65</v>
      </c>
      <c r="I20" s="2028" t="s">
        <v>3497</v>
      </c>
      <c r="J20" s="1987" t="s">
        <v>3498</v>
      </c>
      <c r="K20" s="2037" t="s">
        <v>3490</v>
      </c>
      <c r="L20" s="1869"/>
      <c r="M20" s="1867"/>
      <c r="N20" s="1945"/>
    </row>
    <row r="21" spans="1:14" s="1958" customFormat="1" ht="76.599999999999994" customHeight="1">
      <c r="A21" s="1542">
        <v>17</v>
      </c>
      <c r="B21" s="1495" t="s">
        <v>3499</v>
      </c>
      <c r="C21" s="1901">
        <v>4000</v>
      </c>
      <c r="D21" s="1495" t="s">
        <v>3500</v>
      </c>
      <c r="E21" s="1493" t="s">
        <v>20</v>
      </c>
      <c r="F21" s="1495" t="s">
        <v>3501</v>
      </c>
      <c r="G21" s="2030" t="s">
        <v>64</v>
      </c>
      <c r="H21" s="1495" t="s">
        <v>65</v>
      </c>
      <c r="I21" s="1495" t="s">
        <v>66</v>
      </c>
      <c r="J21" s="1598" t="s">
        <v>3502</v>
      </c>
      <c r="K21" s="1600"/>
      <c r="L21" s="1493"/>
      <c r="M21" s="1790"/>
      <c r="N21" s="1548"/>
    </row>
    <row r="22" spans="1:14" s="1548" customFormat="1" ht="139.6" customHeight="1">
      <c r="A22" s="1542">
        <v>18</v>
      </c>
      <c r="B22" s="1495" t="s">
        <v>3503</v>
      </c>
      <c r="C22" s="1901">
        <v>3200</v>
      </c>
      <c r="D22" s="1495" t="s">
        <v>3504</v>
      </c>
      <c r="E22" s="1493" t="s">
        <v>22</v>
      </c>
      <c r="F22" s="1495" t="s">
        <v>3505</v>
      </c>
      <c r="G22" s="2030" t="s">
        <v>64</v>
      </c>
      <c r="H22" s="1495" t="s">
        <v>65</v>
      </c>
      <c r="I22" s="1495" t="s">
        <v>558</v>
      </c>
      <c r="J22" s="1967" t="s">
        <v>3506</v>
      </c>
      <c r="K22" s="2039" t="s">
        <v>3507</v>
      </c>
      <c r="L22" s="1600"/>
      <c r="M22" s="2040"/>
      <c r="N22" s="1559"/>
    </row>
    <row r="23" spans="1:14" s="1945" customFormat="1" ht="79.5" customHeight="1">
      <c r="A23" s="1542">
        <v>19</v>
      </c>
      <c r="B23" s="1495" t="s">
        <v>3508</v>
      </c>
      <c r="C23" s="1901">
        <v>4280</v>
      </c>
      <c r="D23" s="1495" t="s">
        <v>3504</v>
      </c>
      <c r="E23" s="1493" t="s">
        <v>22</v>
      </c>
      <c r="F23" s="1495" t="s">
        <v>3509</v>
      </c>
      <c r="G23" s="2030" t="s">
        <v>64</v>
      </c>
      <c r="H23" s="1495" t="s">
        <v>65</v>
      </c>
      <c r="I23" s="1495" t="s">
        <v>213</v>
      </c>
      <c r="J23" s="1967" t="s">
        <v>3510</v>
      </c>
      <c r="K23" s="2039"/>
      <c r="L23" s="1600"/>
      <c r="M23" s="2040"/>
      <c r="N23" s="1559"/>
    </row>
    <row r="24" spans="1:14" s="1945" customFormat="1" ht="71.349999999999994" customHeight="1">
      <c r="A24" s="1542">
        <v>20</v>
      </c>
      <c r="B24" s="1495" t="s">
        <v>3432</v>
      </c>
      <c r="C24" s="1901">
        <v>3300</v>
      </c>
      <c r="D24" s="1495" t="s">
        <v>3511</v>
      </c>
      <c r="E24" s="1493" t="s">
        <v>24</v>
      </c>
      <c r="F24" s="1495" t="s">
        <v>3512</v>
      </c>
      <c r="G24" s="2030" t="s">
        <v>64</v>
      </c>
      <c r="H24" s="1495" t="s">
        <v>65</v>
      </c>
      <c r="I24" s="1495" t="s">
        <v>213</v>
      </c>
      <c r="J24" s="1967" t="s">
        <v>3513</v>
      </c>
      <c r="K24" s="2039"/>
      <c r="L24" s="1600"/>
      <c r="M24" s="2040"/>
      <c r="N24" s="1559"/>
    </row>
    <row r="25" spans="1:14" s="1548" customFormat="1" ht="79.5" customHeight="1">
      <c r="A25" s="1542">
        <v>21</v>
      </c>
      <c r="B25" s="1495" t="s">
        <v>3514</v>
      </c>
      <c r="C25" s="1901">
        <v>3000</v>
      </c>
      <c r="D25" s="1495" t="s">
        <v>3515</v>
      </c>
      <c r="E25" s="1493" t="s">
        <v>3460</v>
      </c>
      <c r="F25" s="1495" t="s">
        <v>3516</v>
      </c>
      <c r="G25" s="2036" t="s">
        <v>64</v>
      </c>
      <c r="H25" s="1495" t="s">
        <v>65</v>
      </c>
      <c r="I25" s="1495" t="s">
        <v>3517</v>
      </c>
      <c r="J25" s="1967" t="s">
        <v>3518</v>
      </c>
      <c r="K25" s="2039" t="s">
        <v>3519</v>
      </c>
      <c r="L25" s="1600"/>
      <c r="M25" s="2040"/>
      <c r="N25" s="1559"/>
    </row>
    <row r="26" spans="1:14" s="2012" customFormat="1" ht="79.5" customHeight="1">
      <c r="A26" s="1542">
        <v>22</v>
      </c>
      <c r="B26" s="1495" t="s">
        <v>3464</v>
      </c>
      <c r="C26" s="1901">
        <v>3726</v>
      </c>
      <c r="D26" s="1495" t="s">
        <v>3520</v>
      </c>
      <c r="E26" s="1493" t="s">
        <v>20</v>
      </c>
      <c r="F26" s="1773" t="s">
        <v>3521</v>
      </c>
      <c r="G26" s="1748" t="s">
        <v>64</v>
      </c>
      <c r="H26" s="1568" t="s">
        <v>65</v>
      </c>
      <c r="I26" s="1495" t="s">
        <v>66</v>
      </c>
      <c r="J26" s="1967" t="s">
        <v>3522</v>
      </c>
      <c r="K26" s="2039" t="s">
        <v>3523</v>
      </c>
      <c r="L26" s="1600"/>
      <c r="M26" s="2040"/>
      <c r="N26" s="1559"/>
    </row>
    <row r="27" spans="1:14" s="1883" customFormat="1" ht="63" customHeight="1">
      <c r="A27" s="1553">
        <v>23</v>
      </c>
      <c r="B27" s="1543" t="s">
        <v>3524</v>
      </c>
      <c r="C27" s="2029">
        <v>11000</v>
      </c>
      <c r="D27" s="1543" t="s">
        <v>3525</v>
      </c>
      <c r="E27" s="1601" t="s">
        <v>3526</v>
      </c>
      <c r="F27" s="1899" t="s">
        <v>3527</v>
      </c>
      <c r="G27" s="1748" t="s">
        <v>64</v>
      </c>
      <c r="H27" s="1900" t="s">
        <v>65</v>
      </c>
      <c r="I27" s="1543" t="s">
        <v>3392</v>
      </c>
      <c r="J27" s="1605" t="s">
        <v>3528</v>
      </c>
      <c r="K27" s="2039" t="s">
        <v>3529</v>
      </c>
      <c r="L27" s="1605"/>
      <c r="M27" s="1852"/>
      <c r="N27" s="1559"/>
    </row>
    <row r="28" spans="1:14" s="1883" customFormat="1" ht="100.55" customHeight="1">
      <c r="A28" s="1553">
        <v>24</v>
      </c>
      <c r="B28" s="1543" t="s">
        <v>3530</v>
      </c>
      <c r="C28" s="2029">
        <v>4250</v>
      </c>
      <c r="D28" s="1543" t="s">
        <v>3531</v>
      </c>
      <c r="E28" s="1601" t="s">
        <v>16</v>
      </c>
      <c r="F28" s="1899" t="s">
        <v>3532</v>
      </c>
      <c r="G28" s="1748" t="s">
        <v>64</v>
      </c>
      <c r="H28" s="1900" t="s">
        <v>65</v>
      </c>
      <c r="I28" s="1543" t="s">
        <v>213</v>
      </c>
      <c r="J28" s="1605" t="s">
        <v>3533</v>
      </c>
      <c r="K28" s="2039"/>
      <c r="L28" s="1605"/>
      <c r="M28" s="1852"/>
      <c r="N28" s="1559"/>
    </row>
    <row r="29" spans="1:14" s="1883" customFormat="1" ht="100.55" customHeight="1">
      <c r="A29" s="1542">
        <v>25</v>
      </c>
      <c r="B29" s="1495" t="s">
        <v>3534</v>
      </c>
      <c r="C29" s="1901">
        <v>9250</v>
      </c>
      <c r="D29" s="1495" t="s">
        <v>3535</v>
      </c>
      <c r="E29" s="1493" t="s">
        <v>18</v>
      </c>
      <c r="F29" s="1495" t="s">
        <v>3536</v>
      </c>
      <c r="G29" s="1748" t="s">
        <v>64</v>
      </c>
      <c r="H29" s="1495" t="s">
        <v>65</v>
      </c>
      <c r="I29" s="1495" t="s">
        <v>213</v>
      </c>
      <c r="J29" s="1600" t="s">
        <v>3537</v>
      </c>
      <c r="K29" s="2052"/>
      <c r="L29" s="1605"/>
      <c r="M29" s="1852"/>
      <c r="N29" s="1559"/>
    </row>
    <row r="30" spans="1:14" s="1883" customFormat="1" ht="80.349999999999994" customHeight="1">
      <c r="A30" s="1542">
        <v>26</v>
      </c>
      <c r="B30" s="1495" t="s">
        <v>3538</v>
      </c>
      <c r="C30" s="1494">
        <v>8570</v>
      </c>
      <c r="D30" s="1495" t="s">
        <v>3539</v>
      </c>
      <c r="E30" s="1493" t="s">
        <v>18</v>
      </c>
      <c r="F30" s="1495" t="s">
        <v>3540</v>
      </c>
      <c r="G30" s="1748" t="s">
        <v>64</v>
      </c>
      <c r="H30" s="1495" t="s">
        <v>65</v>
      </c>
      <c r="I30" s="1495" t="s">
        <v>3541</v>
      </c>
      <c r="J30" s="1600" t="s">
        <v>3542</v>
      </c>
      <c r="K30" s="1873" t="s">
        <v>3490</v>
      </c>
      <c r="L30" s="1630"/>
      <c r="M30" s="1882"/>
    </row>
    <row r="31" spans="1:14" s="1883" customFormat="1" ht="80.349999999999994" customHeight="1">
      <c r="A31" s="1850">
        <v>27</v>
      </c>
      <c r="B31" s="1851" t="s">
        <v>129</v>
      </c>
      <c r="C31" s="1915">
        <v>3080</v>
      </c>
      <c r="D31" s="1851" t="s">
        <v>3543</v>
      </c>
      <c r="E31" s="1630" t="s">
        <v>24</v>
      </c>
      <c r="F31" s="1851" t="s">
        <v>3544</v>
      </c>
      <c r="G31" s="1748" t="s">
        <v>64</v>
      </c>
      <c r="H31" s="2028" t="s">
        <v>65</v>
      </c>
      <c r="I31" s="1495" t="s">
        <v>213</v>
      </c>
      <c r="J31" s="1873" t="s">
        <v>3545</v>
      </c>
      <c r="K31" s="1851"/>
      <c r="L31" s="1497"/>
      <c r="M31" s="1882"/>
    </row>
    <row r="32" spans="1:14" s="1883" customFormat="1" ht="109.55" customHeight="1">
      <c r="A32" s="1850">
        <v>28</v>
      </c>
      <c r="B32" s="1495" t="s">
        <v>3546</v>
      </c>
      <c r="C32" s="1901">
        <v>4400</v>
      </c>
      <c r="D32" s="1495" t="s">
        <v>3543</v>
      </c>
      <c r="E32" s="1769" t="s">
        <v>20</v>
      </c>
      <c r="F32" s="1851" t="s">
        <v>3547</v>
      </c>
      <c r="G32" s="1748" t="s">
        <v>64</v>
      </c>
      <c r="H32" s="1495" t="s">
        <v>65</v>
      </c>
      <c r="I32" s="1495" t="s">
        <v>213</v>
      </c>
      <c r="J32" s="1873" t="s">
        <v>3548</v>
      </c>
      <c r="K32" s="1851"/>
      <c r="L32" s="1497"/>
      <c r="M32" s="1882"/>
    </row>
    <row r="33" spans="1:14" s="1883" customFormat="1" ht="212.95" customHeight="1">
      <c r="A33" s="1542">
        <v>29</v>
      </c>
      <c r="B33" s="1495" t="s">
        <v>3549</v>
      </c>
      <c r="C33" s="1901">
        <v>12475</v>
      </c>
      <c r="D33" s="1495" t="s">
        <v>3550</v>
      </c>
      <c r="E33" s="1493" t="s">
        <v>38</v>
      </c>
      <c r="F33" s="1495" t="s">
        <v>3551</v>
      </c>
      <c r="G33" s="1748" t="s">
        <v>64</v>
      </c>
      <c r="H33" s="1495" t="s">
        <v>65</v>
      </c>
      <c r="I33" s="1495" t="s">
        <v>3552</v>
      </c>
      <c r="J33" s="1598" t="s">
        <v>3553</v>
      </c>
      <c r="K33" s="2134"/>
      <c r="L33" s="2051"/>
      <c r="M33" s="1790"/>
      <c r="N33" s="1548"/>
    </row>
    <row r="34" spans="1:14" s="1559" customFormat="1" ht="357.8" customHeight="1">
      <c r="A34" s="1917">
        <v>30</v>
      </c>
      <c r="B34" s="1875" t="s">
        <v>234</v>
      </c>
      <c r="C34" s="1918">
        <v>12150</v>
      </c>
      <c r="D34" s="1875" t="s">
        <v>3554</v>
      </c>
      <c r="E34" s="1869" t="s">
        <v>16</v>
      </c>
      <c r="F34" s="1875" t="s">
        <v>3555</v>
      </c>
      <c r="G34" s="1748" t="s">
        <v>64</v>
      </c>
      <c r="H34" s="1875" t="s">
        <v>65</v>
      </c>
      <c r="I34" s="1875" t="s">
        <v>558</v>
      </c>
      <c r="J34" s="2135" t="s">
        <v>3556</v>
      </c>
      <c r="K34" s="1600"/>
      <c r="L34" s="1600"/>
      <c r="M34" s="2040"/>
    </row>
    <row r="35" spans="1:14" s="1559" customFormat="1" ht="128.25" customHeight="1">
      <c r="A35" s="1542">
        <v>31</v>
      </c>
      <c r="B35" s="1495" t="s">
        <v>3557</v>
      </c>
      <c r="C35" s="1901">
        <v>12360</v>
      </c>
      <c r="D35" s="1495" t="s">
        <v>3558</v>
      </c>
      <c r="E35" s="1493" t="s">
        <v>3136</v>
      </c>
      <c r="F35" s="1495" t="s">
        <v>3559</v>
      </c>
      <c r="G35" s="1748"/>
      <c r="H35" s="1495" t="s">
        <v>65</v>
      </c>
      <c r="I35" s="1495" t="s">
        <v>3392</v>
      </c>
      <c r="J35" s="1600" t="s">
        <v>3560</v>
      </c>
      <c r="K35" s="1873" t="s">
        <v>3561</v>
      </c>
      <c r="L35" s="1497"/>
      <c r="M35" s="1790"/>
      <c r="N35" s="1548"/>
    </row>
    <row r="36" spans="1:14" s="1945" customFormat="1" ht="245.25" customHeight="1">
      <c r="A36" s="1917">
        <v>32</v>
      </c>
      <c r="B36" s="1875" t="s">
        <v>153</v>
      </c>
      <c r="C36" s="1918">
        <v>11680</v>
      </c>
      <c r="D36" s="1875" t="s">
        <v>3562</v>
      </c>
      <c r="E36" s="1869" t="s">
        <v>24</v>
      </c>
      <c r="F36" s="1875" t="s">
        <v>3563</v>
      </c>
      <c r="G36" s="2053"/>
      <c r="H36" s="1543" t="s">
        <v>65</v>
      </c>
      <c r="I36" s="1946" t="s">
        <v>3307</v>
      </c>
      <c r="J36" s="2037" t="s">
        <v>3564</v>
      </c>
      <c r="K36" s="2054" t="s">
        <v>3565</v>
      </c>
      <c r="L36" s="1966"/>
      <c r="M36" s="1867"/>
    </row>
    <row r="37" spans="1:14" s="1548" customFormat="1" ht="101.25" customHeight="1">
      <c r="A37" s="1542">
        <v>33</v>
      </c>
      <c r="B37" s="1495" t="s">
        <v>2947</v>
      </c>
      <c r="C37" s="1901">
        <v>3500</v>
      </c>
      <c r="D37" s="1495" t="s">
        <v>3566</v>
      </c>
      <c r="E37" s="1493" t="s">
        <v>20</v>
      </c>
      <c r="F37" s="1787" t="s">
        <v>3567</v>
      </c>
      <c r="G37" s="1748" t="s">
        <v>64</v>
      </c>
      <c r="H37" s="1495" t="s">
        <v>65</v>
      </c>
      <c r="I37" s="1495" t="s">
        <v>213</v>
      </c>
      <c r="J37" s="1600" t="s">
        <v>3568</v>
      </c>
      <c r="L37" s="1600"/>
      <c r="M37" s="1790"/>
    </row>
    <row r="38" spans="1:14" s="1548" customFormat="1" ht="104.3" customHeight="1">
      <c r="A38" s="1542">
        <v>34</v>
      </c>
      <c r="B38" s="1495" t="s">
        <v>252</v>
      </c>
      <c r="C38" s="1901">
        <v>4000</v>
      </c>
      <c r="D38" s="1495" t="s">
        <v>3569</v>
      </c>
      <c r="E38" s="1769" t="s">
        <v>20</v>
      </c>
      <c r="F38" s="1495" t="s">
        <v>3570</v>
      </c>
      <c r="G38" s="2055" t="s">
        <v>3571</v>
      </c>
      <c r="H38" s="1773" t="s">
        <v>65</v>
      </c>
      <c r="I38" s="1495" t="s">
        <v>558</v>
      </c>
      <c r="J38" s="2136" t="s">
        <v>3572</v>
      </c>
      <c r="K38" s="1600"/>
      <c r="L38" s="1600"/>
      <c r="M38" s="1790"/>
    </row>
    <row r="39" spans="1:14" s="1998" customFormat="1" ht="60.8"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4.9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1" customHeight="1">
      <c r="A47" s="874">
        <v>43</v>
      </c>
      <c r="B47" s="112"/>
      <c r="C47" s="1925"/>
      <c r="D47" s="735"/>
      <c r="E47" s="875"/>
      <c r="F47" s="735"/>
      <c r="G47" s="2001"/>
      <c r="H47" s="735"/>
      <c r="I47" s="735"/>
      <c r="J47" s="1056"/>
      <c r="K47" s="1927"/>
      <c r="L47" s="112"/>
      <c r="M47" s="1879"/>
    </row>
    <row r="48" spans="1:14" s="1777" customFormat="1" ht="98.35" customHeight="1">
      <c r="A48" s="738">
        <v>44</v>
      </c>
      <c r="B48" s="109"/>
      <c r="C48" s="1894"/>
      <c r="D48" s="109"/>
      <c r="E48" s="102"/>
      <c r="F48" s="109"/>
      <c r="G48" s="2041"/>
      <c r="H48" s="106"/>
      <c r="I48" s="109"/>
      <c r="J48" s="2138"/>
      <c r="K48" s="2038"/>
      <c r="L48" s="696"/>
      <c r="M48" s="1853"/>
    </row>
    <row r="49" spans="1:14" s="1777" customFormat="1" ht="73.5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99999999999994" customHeight="1">
      <c r="A52" s="738">
        <v>48</v>
      </c>
      <c r="B52" s="102"/>
      <c r="C52" s="1148"/>
      <c r="D52" s="109"/>
      <c r="E52" s="102"/>
      <c r="F52" s="109"/>
      <c r="G52" s="109"/>
      <c r="H52" s="109"/>
      <c r="I52" s="735"/>
      <c r="J52" s="670"/>
      <c r="K52" s="143"/>
      <c r="L52" s="102"/>
      <c r="M52" s="1853"/>
    </row>
    <row r="53" spans="1:14" s="1623" customFormat="1" ht="76.599999999999994" customHeight="1">
      <c r="A53" s="1344">
        <v>49</v>
      </c>
      <c r="B53" s="144"/>
      <c r="C53" s="1922"/>
      <c r="D53" s="110"/>
      <c r="E53" s="144"/>
      <c r="F53" s="2013"/>
      <c r="G53" s="111"/>
      <c r="H53" s="2015"/>
      <c r="I53" s="2015"/>
      <c r="J53" s="2140"/>
      <c r="K53" s="1622"/>
      <c r="L53" s="144"/>
      <c r="M53" s="1924"/>
    </row>
    <row r="54" spans="1:14" s="1777" customFormat="1" ht="76.599999999999994" customHeight="1">
      <c r="A54" s="738">
        <v>50</v>
      </c>
      <c r="B54" s="102"/>
      <c r="C54" s="2020"/>
      <c r="D54" s="111"/>
      <c r="E54" s="1147"/>
      <c r="F54" s="109"/>
      <c r="G54" s="106"/>
      <c r="H54" s="106"/>
      <c r="I54" s="109"/>
      <c r="J54" s="1996"/>
      <c r="K54" s="143"/>
      <c r="L54" s="102"/>
      <c r="M54" s="1853"/>
    </row>
    <row r="55" spans="1:14" s="1998" customFormat="1" ht="76.599999999999994" customHeight="1">
      <c r="A55" s="2016"/>
      <c r="B55" s="2014"/>
      <c r="C55" s="2022"/>
      <c r="D55" s="109"/>
      <c r="E55" s="2021"/>
      <c r="F55" s="2015"/>
      <c r="G55" s="2015"/>
      <c r="H55" s="2015"/>
      <c r="I55" s="2015"/>
      <c r="J55" s="2017"/>
      <c r="K55" s="2018"/>
      <c r="L55" s="2014"/>
      <c r="M55" s="2019"/>
    </row>
    <row r="56" spans="1:14" s="1998" customFormat="1" ht="76.599999999999994" customHeight="1">
      <c r="A56" s="738"/>
      <c r="B56" s="102"/>
      <c r="C56" s="2020"/>
      <c r="D56" s="735"/>
      <c r="E56" s="1147"/>
      <c r="F56" s="109"/>
      <c r="G56" s="109"/>
      <c r="H56" s="106"/>
      <c r="I56" s="109"/>
      <c r="J56" s="1996"/>
      <c r="K56" s="143"/>
      <c r="L56" s="102"/>
      <c r="M56" s="1853"/>
      <c r="N56" s="1777"/>
    </row>
    <row r="57" spans="1:14" s="1777" customFormat="1" ht="77.3"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6" customHeight="1">
      <c r="C59" s="2023"/>
    </row>
    <row r="60" spans="1:14" ht="58.6" customHeight="1">
      <c r="C60" s="2023"/>
    </row>
    <row r="61" spans="1:14" ht="58.6" customHeight="1">
      <c r="C61" s="2023"/>
    </row>
    <row r="62" spans="1:14" ht="58.6" customHeight="1">
      <c r="C62" s="2023"/>
    </row>
    <row r="63" spans="1:14" ht="58.6" customHeight="1">
      <c r="C63" s="2023"/>
    </row>
    <row r="64" spans="1:14" ht="58.6" customHeight="1">
      <c r="C64" s="2023"/>
    </row>
    <row r="65" spans="3:3" ht="58.6" customHeight="1">
      <c r="C65" s="2023"/>
    </row>
    <row r="66" spans="3:3" ht="58.6" customHeight="1">
      <c r="C66" s="2023"/>
    </row>
    <row r="67" spans="3:3" ht="58.6" customHeight="1">
      <c r="C67" s="2023"/>
    </row>
    <row r="68" spans="3:3" ht="58.6" customHeight="1">
      <c r="C68" s="2023"/>
    </row>
    <row r="69" spans="3:3" ht="58.6" customHeight="1">
      <c r="C69" s="2023"/>
    </row>
    <row r="70" spans="3:3" ht="58.6" customHeight="1">
      <c r="C70" s="2023"/>
    </row>
    <row r="71" spans="3:3" ht="58.6" customHeight="1">
      <c r="C71" s="2023"/>
    </row>
    <row r="72" spans="3:3" ht="58.6" customHeight="1">
      <c r="C72" s="2023"/>
    </row>
  </sheetData>
  <autoFilter ref="A4:P80" xr:uid="{00000000-0009-0000-0000-000001000000}"/>
  <mergeCells count="3">
    <mergeCell ref="C1:K1"/>
    <mergeCell ref="A2:K2"/>
    <mergeCell ref="A3:B3"/>
  </mergeCells>
  <conditionalFormatting sqref="A1:A3">
    <cfRule type="duplicateValues" dxfId="467" priority="1"/>
  </conditionalFormatting>
  <conditionalFormatting sqref="A4">
    <cfRule type="duplicateValues" dxfId="466" priority="2"/>
  </conditionalFormatting>
  <conditionalFormatting sqref="B4">
    <cfRule type="duplicateValues" dxfId="465" priority="3"/>
    <cfRule type="duplicateValues" dxfId="464" priority="4"/>
    <cfRule type="duplicateValues" dxfId="463"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375" style="271" customWidth="1"/>
    <col min="8" max="8" width="23.25" style="271" customWidth="1"/>
    <col min="9" max="9" width="21.37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6" customHeight="1">
      <c r="B1" s="10"/>
      <c r="C1" s="3671"/>
      <c r="D1" s="3671"/>
      <c r="E1" s="3671"/>
      <c r="F1" s="3671"/>
      <c r="G1" s="3671"/>
      <c r="H1" s="3671"/>
      <c r="I1" s="3671"/>
      <c r="J1" s="3671"/>
      <c r="K1" s="3671"/>
      <c r="M1" s="1848"/>
    </row>
    <row r="2" spans="1:14" ht="41.95" customHeight="1">
      <c r="A2" s="3755" t="s">
        <v>3428</v>
      </c>
      <c r="B2" s="3755"/>
      <c r="C2" s="3755"/>
      <c r="D2" s="3755"/>
      <c r="E2" s="3755"/>
      <c r="F2" s="3755"/>
      <c r="G2" s="3755"/>
      <c r="H2" s="3755"/>
      <c r="I2" s="3755"/>
      <c r="J2" s="3755"/>
      <c r="K2" s="3756"/>
      <c r="L2" s="1905"/>
      <c r="M2" s="1905"/>
      <c r="N2" s="287"/>
    </row>
    <row r="3" spans="1:14" ht="37.549999999999997" customHeight="1">
      <c r="A3" s="3754" t="s">
        <v>3429</v>
      </c>
      <c r="B3" s="3754"/>
      <c r="C3" s="2004">
        <f>SUBTOTAL(9,C5:C565)</f>
        <v>202245</v>
      </c>
      <c r="D3" s="1932"/>
      <c r="E3" s="1951"/>
      <c r="F3" s="1932"/>
      <c r="G3" s="1932"/>
      <c r="H3" s="1932"/>
      <c r="I3" s="1932"/>
      <c r="J3" s="1934">
        <f ca="1">TODAY()</f>
        <v>45988</v>
      </c>
      <c r="K3" s="1622"/>
      <c r="L3" s="1952"/>
      <c r="M3" s="1951"/>
      <c r="N3" s="287"/>
    </row>
    <row r="4" spans="1:14" s="1149" customFormat="1" ht="53.35" customHeight="1">
      <c r="A4" s="1978" t="s">
        <v>48</v>
      </c>
      <c r="B4" s="1818" t="s">
        <v>49</v>
      </c>
      <c r="C4" s="1948" t="s">
        <v>50</v>
      </c>
      <c r="D4" s="1818" t="s">
        <v>3573</v>
      </c>
      <c r="E4" s="1818" t="s">
        <v>52</v>
      </c>
      <c r="F4" s="1818" t="s">
        <v>3574</v>
      </c>
      <c r="G4" s="1818" t="s">
        <v>54</v>
      </c>
      <c r="H4" s="1970" t="s">
        <v>55</v>
      </c>
      <c r="I4" s="1818" t="s">
        <v>56</v>
      </c>
      <c r="J4" s="1818" t="s">
        <v>57</v>
      </c>
      <c r="K4" s="1818" t="s">
        <v>58</v>
      </c>
      <c r="L4" s="1818" t="s">
        <v>59</v>
      </c>
      <c r="M4" s="1949" t="s">
        <v>60</v>
      </c>
      <c r="N4" s="1820" t="e">
        <f>SUM(#REF!)</f>
        <v>#REF!</v>
      </c>
    </row>
    <row r="5" spans="1:14" s="1916" customFormat="1" ht="91.55" customHeight="1">
      <c r="A5" s="1850" cm="1">
        <f t="array" ref="A5:A49">_xlfn.SEQUENCE(45,1,1,)</f>
        <v>1</v>
      </c>
      <c r="B5" s="1630" t="s">
        <v>97</v>
      </c>
      <c r="C5" s="2005">
        <v>4620</v>
      </c>
      <c r="D5" s="1851" t="s">
        <v>3575</v>
      </c>
      <c r="E5" s="1630" t="s">
        <v>18</v>
      </c>
      <c r="F5" s="1851"/>
      <c r="G5" s="1851" t="s">
        <v>267</v>
      </c>
      <c r="H5" s="1851" t="s">
        <v>65</v>
      </c>
      <c r="I5" s="1851" t="s">
        <v>558</v>
      </c>
      <c r="J5" s="1497" t="s">
        <v>3576</v>
      </c>
      <c r="K5" s="1881"/>
      <c r="L5" s="1630"/>
      <c r="M5" s="1882"/>
      <c r="N5" s="1883"/>
    </row>
    <row r="6" spans="1:14" s="1916" customFormat="1" ht="65.25" customHeight="1">
      <c r="A6" s="1850">
        <v>2</v>
      </c>
      <c r="B6" s="1941" t="s">
        <v>252</v>
      </c>
      <c r="C6" s="2005">
        <v>4000</v>
      </c>
      <c r="D6" s="1851" t="s">
        <v>3577</v>
      </c>
      <c r="E6" s="1630" t="s">
        <v>20</v>
      </c>
      <c r="F6" s="1851" t="s">
        <v>3578</v>
      </c>
      <c r="G6" s="1851" t="s">
        <v>267</v>
      </c>
      <c r="H6" s="1851" t="s">
        <v>65</v>
      </c>
      <c r="I6" s="1851" t="s">
        <v>240</v>
      </c>
      <c r="J6" s="1497" t="s">
        <v>3579</v>
      </c>
      <c r="K6" s="1881"/>
      <c r="L6" s="1630"/>
      <c r="M6" s="1882"/>
      <c r="N6" s="1883"/>
    </row>
    <row r="7" spans="1:14" s="1916" customFormat="1" ht="76.599999999999994" customHeight="1">
      <c r="A7" s="1850">
        <v>3</v>
      </c>
      <c r="B7" s="1941" t="s">
        <v>3454</v>
      </c>
      <c r="C7" s="2005">
        <v>10000</v>
      </c>
      <c r="D7" s="1851" t="s">
        <v>3580</v>
      </c>
      <c r="E7" s="1630" t="s">
        <v>14</v>
      </c>
      <c r="F7" s="1851"/>
      <c r="G7" s="1851" t="s">
        <v>267</v>
      </c>
      <c r="H7" s="1851" t="s">
        <v>65</v>
      </c>
      <c r="I7" s="1851" t="s">
        <v>66</v>
      </c>
      <c r="J7" s="1497" t="s">
        <v>3581</v>
      </c>
      <c r="K7" s="1881" t="s">
        <v>3582</v>
      </c>
      <c r="L7" s="1630"/>
      <c r="M7" s="1882"/>
      <c r="N7" s="1883"/>
    </row>
    <row r="8" spans="1:14" s="1149" customFormat="1" ht="89.35" customHeight="1">
      <c r="A8" s="1850">
        <v>4</v>
      </c>
      <c r="B8" s="1941" t="s">
        <v>3432</v>
      </c>
      <c r="C8" s="2005">
        <v>3300</v>
      </c>
      <c r="D8" s="1851" t="s">
        <v>3583</v>
      </c>
      <c r="E8" s="1630" t="s">
        <v>24</v>
      </c>
      <c r="F8" s="1851" t="s">
        <v>3584</v>
      </c>
      <c r="G8" s="1851" t="s">
        <v>267</v>
      </c>
      <c r="H8" s="1851" t="s">
        <v>65</v>
      </c>
      <c r="I8" s="1851" t="s">
        <v>558</v>
      </c>
      <c r="J8" s="1497" t="s">
        <v>3585</v>
      </c>
      <c r="K8" s="1881"/>
      <c r="L8" s="1630"/>
      <c r="M8" s="1882"/>
      <c r="N8" s="1883"/>
    </row>
    <row r="9" spans="1:14" s="1916" customFormat="1" ht="149.94999999999999" customHeight="1">
      <c r="A9" s="1850">
        <v>5</v>
      </c>
      <c r="B9" s="1947" t="s">
        <v>3586</v>
      </c>
      <c r="C9" s="2005">
        <v>13000</v>
      </c>
      <c r="D9" s="1851" t="s">
        <v>3587</v>
      </c>
      <c r="E9" s="1630" t="s">
        <v>16</v>
      </c>
      <c r="F9" s="1872" t="s">
        <v>3588</v>
      </c>
      <c r="G9" s="1851" t="s">
        <v>267</v>
      </c>
      <c r="H9" s="1947" t="s">
        <v>65</v>
      </c>
      <c r="I9" s="1851" t="s">
        <v>558</v>
      </c>
      <c r="J9" s="1497" t="s">
        <v>3589</v>
      </c>
      <c r="K9" s="1999" t="s">
        <v>3590</v>
      </c>
      <c r="L9" s="1630"/>
      <c r="M9" s="1882"/>
      <c r="N9" s="1883"/>
    </row>
    <row r="10" spans="1:14" s="1997" customFormat="1" ht="102.1" customHeight="1">
      <c r="A10" s="1850">
        <v>6</v>
      </c>
      <c r="B10" s="1947" t="s">
        <v>3508</v>
      </c>
      <c r="C10" s="2005">
        <v>4250</v>
      </c>
      <c r="D10" s="1851" t="s">
        <v>3591</v>
      </c>
      <c r="E10" s="1630" t="s">
        <v>22</v>
      </c>
      <c r="F10" s="1872"/>
      <c r="G10" s="1851" t="s">
        <v>267</v>
      </c>
      <c r="H10" s="1947" t="s">
        <v>65</v>
      </c>
      <c r="I10" s="1851" t="s">
        <v>213</v>
      </c>
      <c r="J10" s="1497" t="s">
        <v>3592</v>
      </c>
      <c r="K10" s="1999"/>
      <c r="L10" s="1630"/>
      <c r="M10" s="1882"/>
      <c r="N10" s="1883"/>
    </row>
    <row r="11" spans="1:14" s="1997" customFormat="1" ht="95.3" customHeight="1">
      <c r="A11" s="1850">
        <v>7</v>
      </c>
      <c r="B11" s="1947" t="s">
        <v>3499</v>
      </c>
      <c r="C11" s="2005">
        <v>4030</v>
      </c>
      <c r="D11" s="1851" t="s">
        <v>3593</v>
      </c>
      <c r="E11" s="1630" t="s">
        <v>20</v>
      </c>
      <c r="F11" s="1872"/>
      <c r="G11" s="1851" t="s">
        <v>267</v>
      </c>
      <c r="H11" s="1947" t="s">
        <v>65</v>
      </c>
      <c r="I11" s="1851" t="s">
        <v>294</v>
      </c>
      <c r="J11" s="1497" t="s">
        <v>3594</v>
      </c>
      <c r="K11" s="1999"/>
      <c r="L11" s="1630"/>
      <c r="M11" s="1882"/>
      <c r="N11" s="1883"/>
    </row>
    <row r="12" spans="1:14" s="1916" customFormat="1" ht="75.75" customHeight="1">
      <c r="A12" s="1850">
        <v>8</v>
      </c>
      <c r="B12" s="1941" t="s">
        <v>3595</v>
      </c>
      <c r="C12" s="2005">
        <v>4300</v>
      </c>
      <c r="D12" s="1851" t="s">
        <v>3596</v>
      </c>
      <c r="E12" s="1630" t="s">
        <v>22</v>
      </c>
      <c r="F12" s="1851" t="s">
        <v>3597</v>
      </c>
      <c r="G12" s="1851" t="s">
        <v>267</v>
      </c>
      <c r="H12" s="1851" t="s">
        <v>65</v>
      </c>
      <c r="I12" s="1851" t="s">
        <v>558</v>
      </c>
      <c r="J12" s="1497" t="s">
        <v>3598</v>
      </c>
      <c r="K12" s="1881"/>
      <c r="L12" s="1630"/>
      <c r="M12" s="1882"/>
      <c r="N12" s="1883"/>
    </row>
    <row r="13" spans="1:14" s="1916" customFormat="1" ht="97.5" customHeight="1">
      <c r="A13" s="1850">
        <v>9</v>
      </c>
      <c r="B13" s="1941" t="s">
        <v>114</v>
      </c>
      <c r="C13" s="2005">
        <v>3300</v>
      </c>
      <c r="D13" s="1851" t="s">
        <v>3599</v>
      </c>
      <c r="E13" s="1630" t="s">
        <v>22</v>
      </c>
      <c r="F13" s="1851" t="s">
        <v>3600</v>
      </c>
      <c r="G13" s="1851" t="s">
        <v>267</v>
      </c>
      <c r="H13" s="1947" t="s">
        <v>65</v>
      </c>
      <c r="I13" s="1851" t="s">
        <v>558</v>
      </c>
      <c r="J13" s="1628" t="s">
        <v>3601</v>
      </c>
      <c r="K13" s="1881"/>
      <c r="L13" s="1630"/>
      <c r="M13" s="1882"/>
      <c r="N13" s="1883"/>
    </row>
    <row r="14" spans="1:14" s="1916" customFormat="1" ht="65.25" customHeight="1">
      <c r="A14" s="1850">
        <v>10</v>
      </c>
      <c r="B14" s="1941" t="s">
        <v>3602</v>
      </c>
      <c r="C14" s="2005">
        <v>3400</v>
      </c>
      <c r="D14" s="1851" t="s">
        <v>3603</v>
      </c>
      <c r="E14" s="1630" t="s">
        <v>24</v>
      </c>
      <c r="F14" s="1851" t="s">
        <v>3604</v>
      </c>
      <c r="G14" s="1851" t="s">
        <v>267</v>
      </c>
      <c r="H14" s="1947" t="s">
        <v>65</v>
      </c>
      <c r="I14" s="1851" t="s">
        <v>66</v>
      </c>
      <c r="J14" s="1628" t="s">
        <v>3605</v>
      </c>
      <c r="K14" s="1881"/>
      <c r="L14" s="1630"/>
      <c r="M14" s="1882"/>
      <c r="N14" s="1883"/>
    </row>
    <row r="15" spans="1:14" s="1916" customFormat="1" ht="97.5" customHeight="1">
      <c r="A15" s="1850">
        <v>11</v>
      </c>
      <c r="B15" s="1941" t="s">
        <v>3499</v>
      </c>
      <c r="C15" s="2005">
        <v>4000</v>
      </c>
      <c r="D15" s="1851" t="s">
        <v>3606</v>
      </c>
      <c r="E15" s="1630" t="s">
        <v>20</v>
      </c>
      <c r="F15" s="1851" t="s">
        <v>3240</v>
      </c>
      <c r="G15" s="1851" t="s">
        <v>267</v>
      </c>
      <c r="H15" s="1947" t="s">
        <v>65</v>
      </c>
      <c r="I15" s="1851" t="s">
        <v>3607</v>
      </c>
      <c r="J15" s="1628" t="s">
        <v>3608</v>
      </c>
      <c r="K15" s="1881"/>
      <c r="L15" s="1630"/>
      <c r="M15" s="1882"/>
      <c r="N15" s="1883"/>
    </row>
    <row r="16" spans="1:14" s="2000" customFormat="1" ht="106.5" customHeight="1">
      <c r="A16" s="1850">
        <v>12</v>
      </c>
      <c r="B16" s="1941" t="s">
        <v>252</v>
      </c>
      <c r="C16" s="2005">
        <v>4000</v>
      </c>
      <c r="D16" s="1851" t="s">
        <v>3609</v>
      </c>
      <c r="E16" s="1630" t="s">
        <v>20</v>
      </c>
      <c r="F16" s="1851" t="s">
        <v>3610</v>
      </c>
      <c r="G16" s="1851" t="s">
        <v>267</v>
      </c>
      <c r="H16" s="1947" t="s">
        <v>65</v>
      </c>
      <c r="I16" s="1851" t="s">
        <v>558</v>
      </c>
      <c r="J16" s="1628" t="s">
        <v>3611</v>
      </c>
      <c r="K16" s="1881"/>
      <c r="L16" s="1630"/>
      <c r="M16" s="1882"/>
      <c r="N16" s="1883"/>
    </row>
    <row r="17" spans="1:14" s="1777" customFormat="1" ht="66.099999999999994" customHeight="1">
      <c r="A17" s="1850">
        <v>13</v>
      </c>
      <c r="B17" s="1941" t="s">
        <v>3612</v>
      </c>
      <c r="C17" s="2005">
        <v>4400</v>
      </c>
      <c r="D17" s="1851" t="s">
        <v>3613</v>
      </c>
      <c r="E17" s="1630" t="s">
        <v>16</v>
      </c>
      <c r="F17" s="1851" t="s">
        <v>3614</v>
      </c>
      <c r="G17" s="1851" t="s">
        <v>267</v>
      </c>
      <c r="H17" s="1947" t="s">
        <v>65</v>
      </c>
      <c r="I17" s="1851" t="s">
        <v>558</v>
      </c>
      <c r="J17" s="1628" t="s">
        <v>3615</v>
      </c>
      <c r="K17" s="1881"/>
      <c r="L17" s="1630"/>
      <c r="M17" s="1882"/>
      <c r="N17" s="1883"/>
    </row>
    <row r="18" spans="1:14" s="1880" customFormat="1" ht="81" customHeight="1">
      <c r="A18" s="1850">
        <v>14</v>
      </c>
      <c r="B18" s="1941" t="s">
        <v>2947</v>
      </c>
      <c r="C18" s="2005">
        <v>3500</v>
      </c>
      <c r="D18" s="1851" t="s">
        <v>3616</v>
      </c>
      <c r="E18" s="1630" t="s">
        <v>20</v>
      </c>
      <c r="F18" s="1851" t="s">
        <v>3617</v>
      </c>
      <c r="G18" s="1851" t="s">
        <v>267</v>
      </c>
      <c r="H18" s="1947" t="s">
        <v>65</v>
      </c>
      <c r="I18" s="1851" t="s">
        <v>558</v>
      </c>
      <c r="J18" s="1628" t="s">
        <v>3618</v>
      </c>
      <c r="K18" s="1881"/>
      <c r="L18" s="1630"/>
      <c r="M18" s="1882"/>
      <c r="N18" s="1883"/>
    </row>
    <row r="19" spans="1:14" s="1916" customFormat="1" ht="126.7" customHeight="1">
      <c r="A19" s="1850">
        <v>15</v>
      </c>
      <c r="B19" s="1630" t="s">
        <v>3436</v>
      </c>
      <c r="C19" s="2005">
        <v>9860</v>
      </c>
      <c r="D19" s="1851" t="s">
        <v>3619</v>
      </c>
      <c r="E19" s="1630" t="s">
        <v>18</v>
      </c>
      <c r="F19" s="1851" t="s">
        <v>3620</v>
      </c>
      <c r="G19" s="1851" t="s">
        <v>267</v>
      </c>
      <c r="H19" s="1851" t="s">
        <v>65</v>
      </c>
      <c r="I19" s="1851" t="s">
        <v>558</v>
      </c>
      <c r="J19" s="1628" t="s">
        <v>3621</v>
      </c>
      <c r="K19" s="1497"/>
      <c r="L19" s="1630"/>
      <c r="M19" s="1882"/>
      <c r="N19" s="1883"/>
    </row>
    <row r="20" spans="1:14" s="1559" customFormat="1" ht="69.8" customHeight="1">
      <c r="A20" s="1850">
        <v>16</v>
      </c>
      <c r="B20" s="1630" t="s">
        <v>3622</v>
      </c>
      <c r="C20" s="2005">
        <v>5000</v>
      </c>
      <c r="D20" s="1851" t="s">
        <v>3623</v>
      </c>
      <c r="E20" s="1630" t="s">
        <v>38</v>
      </c>
      <c r="F20" s="1851" t="s">
        <v>3624</v>
      </c>
      <c r="G20" s="1851" t="s">
        <v>267</v>
      </c>
      <c r="H20" s="1851" t="s">
        <v>3462</v>
      </c>
      <c r="I20" s="1851" t="s">
        <v>219</v>
      </c>
      <c r="J20" s="1628" t="s">
        <v>3625</v>
      </c>
      <c r="K20" s="1497" t="s">
        <v>3626</v>
      </c>
      <c r="L20" s="1630"/>
      <c r="M20" s="1882"/>
      <c r="N20" s="1883"/>
    </row>
    <row r="21" spans="1:14" s="1548" customFormat="1" ht="301.60000000000002" customHeight="1">
      <c r="A21" s="1850">
        <v>17</v>
      </c>
      <c r="B21" s="1630" t="s">
        <v>3627</v>
      </c>
      <c r="C21" s="2005">
        <v>5910</v>
      </c>
      <c r="D21" s="1851" t="s">
        <v>3628</v>
      </c>
      <c r="E21" s="1630" t="s">
        <v>3460</v>
      </c>
      <c r="F21" s="1851" t="s">
        <v>3629</v>
      </c>
      <c r="G21" s="1851" t="s">
        <v>267</v>
      </c>
      <c r="H21" s="1851" t="s">
        <v>3462</v>
      </c>
      <c r="I21" s="1851" t="s">
        <v>3630</v>
      </c>
      <c r="J21" s="1628" t="s">
        <v>3631</v>
      </c>
      <c r="K21" s="1497" t="s">
        <v>3632</v>
      </c>
      <c r="L21" s="1630"/>
      <c r="M21" s="1882"/>
      <c r="N21" s="1883"/>
    </row>
    <row r="22" spans="1:14" s="1998" customFormat="1" ht="210.75" customHeight="1">
      <c r="A22" s="1850">
        <v>18</v>
      </c>
      <c r="B22" s="1630" t="s">
        <v>3633</v>
      </c>
      <c r="C22" s="2005">
        <v>14475</v>
      </c>
      <c r="D22" s="1851" t="s">
        <v>3613</v>
      </c>
      <c r="E22" s="1630" t="s">
        <v>38</v>
      </c>
      <c r="F22" s="1851" t="s">
        <v>3634</v>
      </c>
      <c r="G22" s="1851" t="s">
        <v>267</v>
      </c>
      <c r="H22" s="1851" t="s">
        <v>3462</v>
      </c>
      <c r="I22" s="1851" t="s">
        <v>3552</v>
      </c>
      <c r="J22" s="1628" t="s">
        <v>3635</v>
      </c>
      <c r="K22" s="1497"/>
      <c r="L22" s="1630"/>
      <c r="M22" s="1882"/>
      <c r="N22" s="1883"/>
    </row>
    <row r="23" spans="1:14" s="1997" customFormat="1" ht="108.7" customHeight="1">
      <c r="A23" s="1850">
        <v>19</v>
      </c>
      <c r="B23" s="1630" t="s">
        <v>3534</v>
      </c>
      <c r="C23" s="2005">
        <v>9250</v>
      </c>
      <c r="D23" s="1851" t="s">
        <v>3613</v>
      </c>
      <c r="E23" s="1630" t="s">
        <v>16</v>
      </c>
      <c r="F23" s="1851" t="s">
        <v>3636</v>
      </c>
      <c r="G23" s="1851" t="s">
        <v>267</v>
      </c>
      <c r="H23" s="1851" t="s">
        <v>65</v>
      </c>
      <c r="I23" s="1851" t="s">
        <v>558</v>
      </c>
      <c r="J23" s="1628" t="s">
        <v>3637</v>
      </c>
      <c r="K23" s="1497"/>
      <c r="L23" s="1630"/>
      <c r="M23" s="1882"/>
      <c r="N23" s="1883"/>
    </row>
    <row r="24" spans="1:14" s="2003" customFormat="1" ht="66.75" customHeight="1">
      <c r="A24" s="1542">
        <v>20</v>
      </c>
      <c r="B24" s="1493" t="s">
        <v>134</v>
      </c>
      <c r="C24" s="2006">
        <v>2950</v>
      </c>
      <c r="D24" s="1495" t="s">
        <v>3638</v>
      </c>
      <c r="E24" s="1493" t="s">
        <v>22</v>
      </c>
      <c r="F24" s="1495" t="s">
        <v>3639</v>
      </c>
      <c r="G24" s="1851" t="s">
        <v>267</v>
      </c>
      <c r="H24" s="1851" t="s">
        <v>65</v>
      </c>
      <c r="I24" s="1851" t="s">
        <v>213</v>
      </c>
      <c r="J24" s="1600" t="s">
        <v>3640</v>
      </c>
      <c r="K24" s="1908" t="s">
        <v>3641</v>
      </c>
      <c r="L24" s="1493"/>
      <c r="M24" s="1790"/>
      <c r="N24" s="1548"/>
    </row>
    <row r="25" spans="1:14" s="2002" customFormat="1" ht="126.7" customHeight="1">
      <c r="A25" s="1542">
        <v>21</v>
      </c>
      <c r="B25" s="1493" t="s">
        <v>97</v>
      </c>
      <c r="C25" s="2006">
        <v>4620</v>
      </c>
      <c r="D25" s="1495" t="s">
        <v>3642</v>
      </c>
      <c r="E25" s="1493" t="s">
        <v>18</v>
      </c>
      <c r="F25" s="1495" t="s">
        <v>3643</v>
      </c>
      <c r="G25" s="1851" t="s">
        <v>267</v>
      </c>
      <c r="H25" s="1851" t="s">
        <v>65</v>
      </c>
      <c r="I25" s="1851" t="s">
        <v>213</v>
      </c>
      <c r="J25" s="1600" t="s">
        <v>3644</v>
      </c>
      <c r="K25" s="1908" t="s">
        <v>3645</v>
      </c>
      <c r="L25" s="1493"/>
      <c r="M25" s="1790"/>
      <c r="N25" s="1548"/>
    </row>
    <row r="26" spans="1:14" s="2002" customFormat="1" ht="96.8" customHeight="1">
      <c r="A26" s="1542">
        <v>22</v>
      </c>
      <c r="B26" s="1493" t="s">
        <v>125</v>
      </c>
      <c r="C26" s="2006">
        <v>4250</v>
      </c>
      <c r="D26" s="1495" t="s">
        <v>3646</v>
      </c>
      <c r="E26" s="1493" t="s">
        <v>22</v>
      </c>
      <c r="F26" s="1495" t="s">
        <v>3647</v>
      </c>
      <c r="G26" s="1851" t="s">
        <v>267</v>
      </c>
      <c r="H26" s="1851" t="s">
        <v>65</v>
      </c>
      <c r="I26" s="1851" t="s">
        <v>213</v>
      </c>
      <c r="J26" s="1600" t="s">
        <v>3640</v>
      </c>
      <c r="K26" s="1908" t="s">
        <v>3648</v>
      </c>
      <c r="L26" s="1493"/>
      <c r="M26" s="1790"/>
      <c r="N26" s="1548"/>
    </row>
    <row r="27" spans="1:14" s="1777" customFormat="1" ht="65.25" customHeight="1">
      <c r="A27" s="1542">
        <v>23</v>
      </c>
      <c r="B27" s="1493" t="s">
        <v>2956</v>
      </c>
      <c r="C27" s="2006">
        <v>3200</v>
      </c>
      <c r="D27" s="1495" t="s">
        <v>3649</v>
      </c>
      <c r="E27" s="1493" t="s">
        <v>20</v>
      </c>
      <c r="F27" s="1495" t="s">
        <v>3650</v>
      </c>
      <c r="G27" s="1851" t="s">
        <v>267</v>
      </c>
      <c r="H27" s="1851" t="s">
        <v>65</v>
      </c>
      <c r="I27" s="1851" t="s">
        <v>142</v>
      </c>
      <c r="J27" s="1600" t="s">
        <v>3651</v>
      </c>
      <c r="K27" s="1547"/>
      <c r="L27" s="1493"/>
      <c r="M27" s="1790"/>
      <c r="N27" s="1548"/>
    </row>
    <row r="28" spans="1:14" s="1997" customFormat="1" ht="94.6" customHeight="1">
      <c r="A28" s="1542">
        <v>24</v>
      </c>
      <c r="B28" s="1493" t="s">
        <v>3508</v>
      </c>
      <c r="C28" s="2006">
        <v>4280</v>
      </c>
      <c r="D28" s="1495" t="s">
        <v>3652</v>
      </c>
      <c r="E28" s="1493" t="s">
        <v>22</v>
      </c>
      <c r="F28" s="1495" t="s">
        <v>3653</v>
      </c>
      <c r="G28" s="1851" t="s">
        <v>267</v>
      </c>
      <c r="H28" s="1851" t="s">
        <v>65</v>
      </c>
      <c r="I28" s="1851" t="s">
        <v>213</v>
      </c>
      <c r="J28" s="1600" t="s">
        <v>3654</v>
      </c>
      <c r="K28" s="1908"/>
      <c r="L28" s="1493"/>
      <c r="M28" s="1790"/>
      <c r="N28" s="1548"/>
    </row>
    <row r="29" spans="1:14" s="1977" customFormat="1" ht="169.5" customHeight="1">
      <c r="A29" s="1542">
        <v>25</v>
      </c>
      <c r="B29" s="1493" t="s">
        <v>3655</v>
      </c>
      <c r="C29" s="2006">
        <f>6200+3000+11650</f>
        <v>20850</v>
      </c>
      <c r="D29" s="1495" t="s">
        <v>3613</v>
      </c>
      <c r="E29" s="1493" t="s">
        <v>3136</v>
      </c>
      <c r="F29" s="1495" t="s">
        <v>3656</v>
      </c>
      <c r="G29" s="1851" t="s">
        <v>267</v>
      </c>
      <c r="H29" s="1851" t="s">
        <v>3462</v>
      </c>
      <c r="I29" s="1851" t="s">
        <v>3392</v>
      </c>
      <c r="J29" s="1600" t="s">
        <v>3657</v>
      </c>
      <c r="K29" s="1547"/>
      <c r="L29" s="1493"/>
      <c r="M29" s="1790"/>
      <c r="N29" s="1548"/>
    </row>
    <row r="30" spans="1:14" s="1559" customFormat="1" ht="75.099999999999994" customHeight="1">
      <c r="A30" s="1553">
        <v>26</v>
      </c>
      <c r="B30" s="1545" t="s">
        <v>3658</v>
      </c>
      <c r="C30" s="2007">
        <v>11000</v>
      </c>
      <c r="D30" s="1543" t="s">
        <v>3659</v>
      </c>
      <c r="E30" s="1545" t="s">
        <v>18</v>
      </c>
      <c r="F30" s="1543" t="s">
        <v>3660</v>
      </c>
      <c r="G30" s="1851" t="s">
        <v>267</v>
      </c>
      <c r="H30" s="1543" t="s">
        <v>65</v>
      </c>
      <c r="I30" s="1543" t="s">
        <v>213</v>
      </c>
      <c r="J30" s="1605" t="s">
        <v>3661</v>
      </c>
      <c r="K30" s="1828"/>
      <c r="L30" s="1545"/>
      <c r="M30" s="1852"/>
    </row>
    <row r="31" spans="1:14" s="1548" customFormat="1" ht="90.7" customHeight="1">
      <c r="A31" s="1542">
        <v>27</v>
      </c>
      <c r="B31" s="1493" t="s">
        <v>3546</v>
      </c>
      <c r="C31" s="2006">
        <v>4400</v>
      </c>
      <c r="D31" s="1495" t="s">
        <v>3662</v>
      </c>
      <c r="E31" s="1493" t="s">
        <v>20</v>
      </c>
      <c r="F31" s="1495" t="s">
        <v>3663</v>
      </c>
      <c r="G31" s="1851" t="s">
        <v>267</v>
      </c>
      <c r="H31" s="1495" t="s">
        <v>65</v>
      </c>
      <c r="I31" s="1495" t="s">
        <v>558</v>
      </c>
      <c r="J31" s="1600" t="s">
        <v>3664</v>
      </c>
      <c r="K31" s="1547"/>
      <c r="L31" s="1493"/>
      <c r="M31" s="1790"/>
    </row>
    <row r="32" spans="1:14" s="1548" customFormat="1" ht="113.95" customHeight="1">
      <c r="A32" s="1542">
        <v>28</v>
      </c>
      <c r="B32" s="1493" t="s">
        <v>3499</v>
      </c>
      <c r="C32" s="2006">
        <v>4000</v>
      </c>
      <c r="D32" s="1495" t="s">
        <v>3665</v>
      </c>
      <c r="E32" s="1769" t="s">
        <v>20</v>
      </c>
      <c r="F32" s="1495" t="s">
        <v>3666</v>
      </c>
      <c r="G32" s="1851" t="s">
        <v>267</v>
      </c>
      <c r="H32" s="1851" t="s">
        <v>65</v>
      </c>
      <c r="I32" s="1872" t="s">
        <v>558</v>
      </c>
      <c r="J32" s="1600" t="s">
        <v>3667</v>
      </c>
      <c r="K32" s="1771"/>
      <c r="L32" s="1493"/>
      <c r="M32" s="1790"/>
    </row>
    <row r="33" spans="1:14" s="1548" customFormat="1" ht="176.3" customHeight="1">
      <c r="A33" s="1542">
        <v>29</v>
      </c>
      <c r="B33" s="1493" t="s">
        <v>3668</v>
      </c>
      <c r="C33" s="2006">
        <v>16000</v>
      </c>
      <c r="D33" s="1495" t="s">
        <v>3662</v>
      </c>
      <c r="E33" s="1493" t="s">
        <v>14</v>
      </c>
      <c r="F33" s="1875" t="s">
        <v>3669</v>
      </c>
      <c r="G33" s="1851" t="s">
        <v>267</v>
      </c>
      <c r="H33" s="1851" t="s">
        <v>65</v>
      </c>
      <c r="I33" s="1851" t="s">
        <v>558</v>
      </c>
      <c r="J33" s="1966" t="s">
        <v>3670</v>
      </c>
      <c r="K33" s="1547"/>
      <c r="L33" s="1493"/>
      <c r="M33" s="1790"/>
    </row>
    <row r="34" spans="1:14" s="1548" customFormat="1" ht="83.25" customHeight="1">
      <c r="A34" s="1850">
        <v>30</v>
      </c>
      <c r="B34" s="1851" t="s">
        <v>3671</v>
      </c>
      <c r="C34" s="2005">
        <v>3100</v>
      </c>
      <c r="D34" s="2009" t="s">
        <v>3672</v>
      </c>
      <c r="E34" s="1935" t="s">
        <v>2301</v>
      </c>
      <c r="F34" s="1495" t="s">
        <v>3673</v>
      </c>
      <c r="G34" s="1851" t="s">
        <v>267</v>
      </c>
      <c r="H34" s="1851" t="s">
        <v>3462</v>
      </c>
      <c r="I34" s="1872" t="s">
        <v>3674</v>
      </c>
      <c r="J34" s="1600" t="s">
        <v>3675</v>
      </c>
      <c r="K34" s="1938"/>
      <c r="L34" s="1630"/>
      <c r="M34" s="1882"/>
      <c r="N34" s="1883"/>
    </row>
    <row r="35" spans="1:14" s="1548" customFormat="1" ht="132.80000000000001" customHeight="1">
      <c r="A35" s="1542">
        <v>31</v>
      </c>
      <c r="B35" s="1493" t="s">
        <v>3534</v>
      </c>
      <c r="C35" s="1808">
        <v>9000</v>
      </c>
      <c r="D35" s="1495" t="s">
        <v>3676</v>
      </c>
      <c r="E35" s="1769" t="s">
        <v>16</v>
      </c>
      <c r="F35" s="1851" t="s">
        <v>3677</v>
      </c>
      <c r="G35" s="1851" t="s">
        <v>267</v>
      </c>
      <c r="H35" s="1851" t="s">
        <v>65</v>
      </c>
      <c r="I35" s="1851" t="s">
        <v>213</v>
      </c>
      <c r="J35" s="1497" t="s">
        <v>3678</v>
      </c>
      <c r="K35" s="1547"/>
      <c r="L35" s="1493"/>
      <c r="M35" s="1790"/>
    </row>
    <row r="36" spans="1:14" s="1777" customFormat="1" ht="81.7" customHeight="1">
      <c r="A36" s="738">
        <v>32</v>
      </c>
      <c r="B36" s="102"/>
      <c r="C36" s="2008"/>
      <c r="D36" s="109"/>
      <c r="E36" s="102"/>
      <c r="F36" s="109"/>
      <c r="G36" s="109"/>
      <c r="H36" s="109"/>
      <c r="I36" s="109"/>
      <c r="J36" s="696"/>
      <c r="K36" s="143"/>
      <c r="L36" s="102"/>
      <c r="M36" s="1853"/>
    </row>
    <row r="37" spans="1:14" s="1777" customFormat="1" ht="77.3" customHeight="1">
      <c r="A37" s="102">
        <v>33</v>
      </c>
      <c r="C37" s="102"/>
    </row>
    <row r="38" spans="1:14" s="1777" customFormat="1" ht="72" customHeight="1">
      <c r="A38" s="102">
        <v>34</v>
      </c>
      <c r="C38" s="102"/>
    </row>
    <row r="39" spans="1:14" ht="58.6" customHeight="1">
      <c r="A39" s="359">
        <v>35</v>
      </c>
    </row>
    <row r="40" spans="1:14" ht="58.6" customHeight="1">
      <c r="A40" s="359">
        <v>36</v>
      </c>
    </row>
    <row r="41" spans="1:14" ht="58.6" customHeight="1">
      <c r="A41" s="359">
        <v>37</v>
      </c>
    </row>
    <row r="42" spans="1:14" ht="58.6" customHeight="1">
      <c r="A42" s="359">
        <v>38</v>
      </c>
    </row>
    <row r="43" spans="1:14" ht="58.6" customHeight="1">
      <c r="A43" s="359">
        <v>39</v>
      </c>
    </row>
    <row r="44" spans="1:14" ht="58.6" customHeight="1">
      <c r="A44" s="359">
        <v>40</v>
      </c>
    </row>
    <row r="45" spans="1:14" ht="58.6" customHeight="1">
      <c r="A45" s="359">
        <v>41</v>
      </c>
    </row>
    <row r="46" spans="1:14" ht="58.6" customHeight="1">
      <c r="A46" s="359">
        <v>42</v>
      </c>
    </row>
    <row r="47" spans="1:14" ht="58.6" customHeight="1">
      <c r="A47" s="359">
        <v>43</v>
      </c>
    </row>
    <row r="48" spans="1:14" ht="58.6" customHeight="1">
      <c r="A48" s="359">
        <v>44</v>
      </c>
    </row>
    <row r="49" spans="1:1" ht="58.6" customHeight="1">
      <c r="A49" s="359">
        <v>45</v>
      </c>
    </row>
  </sheetData>
  <mergeCells count="3">
    <mergeCell ref="C1:K1"/>
    <mergeCell ref="A2:K2"/>
    <mergeCell ref="A3:B3"/>
  </mergeCells>
  <conditionalFormatting sqref="A1:A3">
    <cfRule type="duplicateValues" dxfId="462" priority="5"/>
  </conditionalFormatting>
  <conditionalFormatting sqref="A4">
    <cfRule type="duplicateValues" dxfId="461" priority="1072"/>
  </conditionalFormatting>
  <conditionalFormatting sqref="B4">
    <cfRule type="duplicateValues" dxfId="460" priority="1073"/>
    <cfRule type="duplicateValues" dxfId="459" priority="1074"/>
    <cfRule type="duplicateValues" dxfId="458"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37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6" customHeight="1">
      <c r="B1" s="10"/>
      <c r="C1" s="3671"/>
      <c r="D1" s="3671"/>
      <c r="E1" s="3671"/>
      <c r="F1" s="3671"/>
      <c r="G1" s="3671"/>
      <c r="H1" s="3671"/>
      <c r="I1" s="3671"/>
      <c r="J1" s="3671"/>
      <c r="K1" s="3671"/>
      <c r="M1" s="1848"/>
    </row>
    <row r="2" spans="1:14" ht="41.95" customHeight="1">
      <c r="A2" s="3755" t="s">
        <v>3428</v>
      </c>
      <c r="B2" s="3755"/>
      <c r="C2" s="3755"/>
      <c r="D2" s="3755"/>
      <c r="E2" s="3755"/>
      <c r="F2" s="3755"/>
      <c r="G2" s="3755"/>
      <c r="H2" s="3755"/>
      <c r="I2" s="3755"/>
      <c r="J2" s="3755"/>
      <c r="K2" s="3756"/>
      <c r="L2" s="1905"/>
      <c r="M2" s="1905"/>
      <c r="N2" s="287"/>
    </row>
    <row r="3" spans="1:14" ht="37.549999999999997" customHeight="1">
      <c r="A3" s="3754" t="s">
        <v>3429</v>
      </c>
      <c r="B3" s="3754"/>
      <c r="C3" s="1950">
        <f>SUBTOTAL(9,C5:C559)</f>
        <v>214355</v>
      </c>
      <c r="D3" s="1932"/>
      <c r="E3" s="1951"/>
      <c r="F3" s="1932"/>
      <c r="G3" s="1932"/>
      <c r="H3" s="1932"/>
      <c r="I3" s="1932"/>
      <c r="J3" s="1934">
        <f ca="1">TODAY()</f>
        <v>45988</v>
      </c>
      <c r="K3" s="1622"/>
      <c r="L3" s="1952"/>
      <c r="M3" s="1951"/>
      <c r="N3" s="287"/>
    </row>
    <row r="4" spans="1:14" s="1149" customFormat="1" ht="53.35" customHeight="1">
      <c r="A4" s="1978" t="s">
        <v>48</v>
      </c>
      <c r="B4" s="1818" t="s">
        <v>49</v>
      </c>
      <c r="C4" s="1948" t="s">
        <v>50</v>
      </c>
      <c r="D4" s="1818" t="s">
        <v>3573</v>
      </c>
      <c r="E4" s="1818" t="s">
        <v>52</v>
      </c>
      <c r="F4" s="1818" t="s">
        <v>3574</v>
      </c>
      <c r="G4" s="1818" t="s">
        <v>54</v>
      </c>
      <c r="H4" s="1970" t="s">
        <v>55</v>
      </c>
      <c r="I4" s="1818" t="s">
        <v>56</v>
      </c>
      <c r="J4" s="1818" t="s">
        <v>57</v>
      </c>
      <c r="K4" s="1818" t="s">
        <v>58</v>
      </c>
      <c r="L4" s="1818" t="s">
        <v>59</v>
      </c>
      <c r="M4" s="1949" t="s">
        <v>60</v>
      </c>
      <c r="N4" s="1820" t="e">
        <f>SUM(#REF!)</f>
        <v>#REF!</v>
      </c>
    </row>
    <row r="5" spans="1:14" s="1916" customFormat="1" ht="69.8" customHeight="1">
      <c r="A5" s="1542" cm="1">
        <f t="array" ref="A5:A54">_xlfn.SEQUENCE(50,1,1,)</f>
        <v>1</v>
      </c>
      <c r="B5" s="1495" t="s">
        <v>3679</v>
      </c>
      <c r="C5" s="1494">
        <v>3750</v>
      </c>
      <c r="D5" s="1495" t="s">
        <v>3680</v>
      </c>
      <c r="E5" s="1769" t="s">
        <v>18</v>
      </c>
      <c r="F5" s="1495" t="s">
        <v>3681</v>
      </c>
      <c r="G5" s="1495" t="s">
        <v>267</v>
      </c>
      <c r="H5" s="1851" t="s">
        <v>65</v>
      </c>
      <c r="I5" s="1851" t="s">
        <v>294</v>
      </c>
      <c r="J5" s="1497" t="s">
        <v>3682</v>
      </c>
      <c r="K5" s="1547"/>
      <c r="L5" s="1493"/>
      <c r="M5" s="1790"/>
      <c r="N5" s="1548"/>
    </row>
    <row r="6" spans="1:14" s="1916" customFormat="1" ht="175.6" customHeight="1">
      <c r="A6" s="1542">
        <v>2</v>
      </c>
      <c r="B6" s="1493" t="s">
        <v>2956</v>
      </c>
      <c r="C6" s="1494">
        <v>3250</v>
      </c>
      <c r="D6" s="1495" t="s">
        <v>3683</v>
      </c>
      <c r="E6" s="1493" t="s">
        <v>20</v>
      </c>
      <c r="F6" s="1495" t="s">
        <v>3684</v>
      </c>
      <c r="G6" s="1495" t="s">
        <v>267</v>
      </c>
      <c r="H6" s="1851" t="s">
        <v>65</v>
      </c>
      <c r="I6" s="1851" t="s">
        <v>558</v>
      </c>
      <c r="J6" s="1496" t="s">
        <v>3685</v>
      </c>
      <c r="K6" s="1547"/>
      <c r="L6" s="1493"/>
      <c r="M6" s="1493"/>
      <c r="N6" s="1548"/>
    </row>
    <row r="7" spans="1:14" s="1916" customFormat="1" ht="69.8" customHeight="1">
      <c r="A7" s="1542">
        <v>3</v>
      </c>
      <c r="B7" s="1495" t="s">
        <v>97</v>
      </c>
      <c r="C7" s="1494">
        <v>3100</v>
      </c>
      <c r="D7" s="1495" t="s">
        <v>3686</v>
      </c>
      <c r="E7" s="1769" t="s">
        <v>22</v>
      </c>
      <c r="F7" s="1495" t="s">
        <v>3687</v>
      </c>
      <c r="G7" s="1495" t="s">
        <v>267</v>
      </c>
      <c r="H7" s="1851" t="s">
        <v>65</v>
      </c>
      <c r="I7" s="1851" t="s">
        <v>142</v>
      </c>
      <c r="J7" s="1497" t="s">
        <v>3688</v>
      </c>
      <c r="K7" s="1547"/>
      <c r="L7" s="1493"/>
      <c r="M7" s="1790"/>
      <c r="N7" s="1548"/>
    </row>
    <row r="8" spans="1:14" s="1548" customFormat="1" ht="85.6" customHeight="1">
      <c r="A8" s="1542">
        <v>4</v>
      </c>
      <c r="B8" s="1495" t="s">
        <v>3689</v>
      </c>
      <c r="C8" s="1494">
        <v>7000</v>
      </c>
      <c r="D8" s="2010" t="s">
        <v>3690</v>
      </c>
      <c r="E8" s="1493" t="s">
        <v>3460</v>
      </c>
      <c r="F8" s="1495" t="s">
        <v>3691</v>
      </c>
      <c r="G8" s="1495" t="s">
        <v>267</v>
      </c>
      <c r="H8" s="1495" t="s">
        <v>3462</v>
      </c>
      <c r="I8" s="1495" t="s">
        <v>112</v>
      </c>
      <c r="J8" s="1600" t="s">
        <v>3692</v>
      </c>
      <c r="K8" s="1547"/>
      <c r="L8" s="1493"/>
      <c r="M8" s="1790"/>
    </row>
    <row r="9" spans="1:14" s="1883" customFormat="1" ht="80.349999999999994" customHeight="1">
      <c r="A9" s="1850">
        <v>5</v>
      </c>
      <c r="B9" s="1495" t="s">
        <v>114</v>
      </c>
      <c r="C9" s="1631">
        <v>3000</v>
      </c>
      <c r="D9" s="1851" t="s">
        <v>3690</v>
      </c>
      <c r="E9" s="1630" t="s">
        <v>18</v>
      </c>
      <c r="F9" s="1851" t="s">
        <v>3693</v>
      </c>
      <c r="G9" s="1495" t="s">
        <v>267</v>
      </c>
      <c r="H9" s="1495" t="s">
        <v>65</v>
      </c>
      <c r="I9" s="1851" t="s">
        <v>294</v>
      </c>
      <c r="J9" s="1497" t="s">
        <v>3694</v>
      </c>
      <c r="K9" s="1881"/>
      <c r="L9" s="1630"/>
      <c r="M9" s="1882"/>
    </row>
    <row r="10" spans="1:14" s="2011" customFormat="1" ht="62.35" customHeight="1">
      <c r="A10" s="1850">
        <v>6</v>
      </c>
      <c r="B10" s="1495" t="s">
        <v>252</v>
      </c>
      <c r="C10" s="1631">
        <v>4000</v>
      </c>
      <c r="D10" s="1851" t="s">
        <v>3695</v>
      </c>
      <c r="E10" s="1630" t="s">
        <v>20</v>
      </c>
      <c r="F10" s="1851" t="s">
        <v>675</v>
      </c>
      <c r="G10" s="1495" t="s">
        <v>267</v>
      </c>
      <c r="H10" s="1495" t="s">
        <v>65</v>
      </c>
      <c r="I10" s="1851" t="s">
        <v>558</v>
      </c>
      <c r="J10" s="1497" t="s">
        <v>3696</v>
      </c>
      <c r="K10" s="1881"/>
      <c r="L10" s="1630"/>
      <c r="M10" s="1882"/>
      <c r="N10" s="1883"/>
    </row>
    <row r="11" spans="1:14" s="1883" customFormat="1" ht="95.95" customHeight="1">
      <c r="A11" s="1850">
        <v>7</v>
      </c>
      <c r="B11" s="1495" t="s">
        <v>3697</v>
      </c>
      <c r="C11" s="1631">
        <v>3700</v>
      </c>
      <c r="D11" s="1851" t="s">
        <v>3698</v>
      </c>
      <c r="E11" s="1630" t="s">
        <v>20</v>
      </c>
      <c r="F11" s="1851" t="s">
        <v>3699</v>
      </c>
      <c r="G11" s="1495" t="s">
        <v>267</v>
      </c>
      <c r="H11" s="1495" t="s">
        <v>65</v>
      </c>
      <c r="I11" s="1851" t="s">
        <v>213</v>
      </c>
      <c r="J11" s="1497" t="s">
        <v>3700</v>
      </c>
      <c r="K11" s="1881"/>
      <c r="L11" s="1630"/>
      <c r="M11" s="1882"/>
    </row>
    <row r="12" spans="1:14" s="1880" customFormat="1" ht="148.6" customHeight="1">
      <c r="A12" s="1850">
        <v>8</v>
      </c>
      <c r="B12" s="1495" t="s">
        <v>3701</v>
      </c>
      <c r="C12" s="1631">
        <v>14600</v>
      </c>
      <c r="D12" s="1851" t="s">
        <v>3702</v>
      </c>
      <c r="E12" s="1630" t="s">
        <v>14</v>
      </c>
      <c r="F12" s="1851"/>
      <c r="G12" s="1495" t="s">
        <v>267</v>
      </c>
      <c r="H12" s="1495" t="s">
        <v>65</v>
      </c>
      <c r="I12" s="1851" t="s">
        <v>213</v>
      </c>
      <c r="J12" s="1497" t="s">
        <v>3703</v>
      </c>
      <c r="K12" s="1881"/>
      <c r="L12" s="1630"/>
      <c r="M12" s="1882"/>
      <c r="N12" s="1883"/>
    </row>
    <row r="13" spans="1:14" s="2012" customFormat="1" ht="90" customHeight="1">
      <c r="A13" s="1850">
        <v>9</v>
      </c>
      <c r="B13" s="1495" t="s">
        <v>125</v>
      </c>
      <c r="C13" s="1631">
        <v>4230</v>
      </c>
      <c r="D13" s="1851" t="s">
        <v>3704</v>
      </c>
      <c r="E13" s="1630" t="s">
        <v>22</v>
      </c>
      <c r="F13" s="1851" t="s">
        <v>3705</v>
      </c>
      <c r="G13" s="1495" t="s">
        <v>292</v>
      </c>
      <c r="H13" s="1495" t="s">
        <v>65</v>
      </c>
      <c r="I13" s="1851" t="s">
        <v>213</v>
      </c>
      <c r="J13" s="1497" t="s">
        <v>3706</v>
      </c>
      <c r="K13" s="1940"/>
      <c r="L13" s="1630"/>
      <c r="M13" s="1882"/>
      <c r="N13" s="1883"/>
    </row>
    <row r="14" spans="1:14" s="1883" customFormat="1" ht="280.55" customHeight="1">
      <c r="A14" s="1850">
        <v>10</v>
      </c>
      <c r="B14" s="1495" t="s">
        <v>3707</v>
      </c>
      <c r="C14" s="1631">
        <v>27275</v>
      </c>
      <c r="D14" s="1851" t="s">
        <v>3708</v>
      </c>
      <c r="E14" s="1630" t="s">
        <v>38</v>
      </c>
      <c r="F14" s="1851" t="s">
        <v>3709</v>
      </c>
      <c r="G14" s="1495" t="s">
        <v>292</v>
      </c>
      <c r="H14" s="1495" t="s">
        <v>3462</v>
      </c>
      <c r="I14" s="1851" t="s">
        <v>3552</v>
      </c>
      <c r="J14" s="1497" t="s">
        <v>3710</v>
      </c>
      <c r="K14" s="1881"/>
      <c r="L14" s="1630"/>
      <c r="M14" s="1882"/>
    </row>
    <row r="15" spans="1:14" s="1883" customFormat="1" ht="90" customHeight="1">
      <c r="A15" s="1542">
        <v>11</v>
      </c>
      <c r="B15" s="1493" t="s">
        <v>2962</v>
      </c>
      <c r="C15" s="1901">
        <v>6000</v>
      </c>
      <c r="D15" s="1495" t="s">
        <v>3711</v>
      </c>
      <c r="E15" s="1769" t="s">
        <v>16</v>
      </c>
      <c r="F15" s="1851" t="s">
        <v>3712</v>
      </c>
      <c r="G15" s="1495" t="s">
        <v>292</v>
      </c>
      <c r="H15" s="1851" t="s">
        <v>65</v>
      </c>
      <c r="I15" s="1851" t="s">
        <v>558</v>
      </c>
      <c r="J15" s="2133" t="s">
        <v>3713</v>
      </c>
      <c r="K15" s="1771"/>
      <c r="L15" s="1493"/>
      <c r="M15" s="1790"/>
      <c r="N15" s="1548"/>
    </row>
    <row r="16" spans="1:14" s="1548" customFormat="1" ht="149.94999999999999" customHeight="1">
      <c r="A16" s="1542">
        <v>12</v>
      </c>
      <c r="B16" s="1495" t="s">
        <v>3714</v>
      </c>
      <c r="C16" s="1901">
        <v>8180</v>
      </c>
      <c r="D16" s="1495" t="s">
        <v>3715</v>
      </c>
      <c r="E16" s="1493" t="s">
        <v>3136</v>
      </c>
      <c r="F16" s="1495" t="s">
        <v>3716</v>
      </c>
      <c r="G16" s="2030" t="s">
        <v>3717</v>
      </c>
      <c r="H16" s="1495" t="s">
        <v>3462</v>
      </c>
      <c r="I16" s="1851" t="s">
        <v>3115</v>
      </c>
      <c r="J16" s="1600" t="s">
        <v>3718</v>
      </c>
      <c r="K16" s="1908" t="s">
        <v>3719</v>
      </c>
      <c r="L16" s="1493"/>
      <c r="M16" s="1790"/>
    </row>
    <row r="17" spans="1:14" s="1548" customFormat="1" ht="80.349999999999994" customHeight="1">
      <c r="A17" s="1542">
        <v>13</v>
      </c>
      <c r="B17" s="1493" t="s">
        <v>87</v>
      </c>
      <c r="C17" s="1901">
        <v>6000</v>
      </c>
      <c r="D17" s="1495" t="s">
        <v>3720</v>
      </c>
      <c r="E17" s="1493" t="s">
        <v>16</v>
      </c>
      <c r="F17" s="1495" t="s">
        <v>3721</v>
      </c>
      <c r="G17" s="1495" t="s">
        <v>292</v>
      </c>
      <c r="H17" s="1851" t="s">
        <v>65</v>
      </c>
      <c r="I17" s="1851" t="s">
        <v>558</v>
      </c>
      <c r="J17" s="1600" t="s">
        <v>3722</v>
      </c>
      <c r="K17" s="1547"/>
      <c r="L17" s="1493"/>
      <c r="M17" s="1790"/>
    </row>
    <row r="18" spans="1:14" s="1548" customFormat="1" ht="69.8" customHeight="1">
      <c r="A18" s="1542">
        <v>14</v>
      </c>
      <c r="B18" s="1493" t="s">
        <v>129</v>
      </c>
      <c r="C18" s="1901">
        <v>3100</v>
      </c>
      <c r="D18" s="1495" t="s">
        <v>3723</v>
      </c>
      <c r="E18" s="1769" t="s">
        <v>20</v>
      </c>
      <c r="F18" s="1851" t="s">
        <v>3724</v>
      </c>
      <c r="G18" s="1495" t="s">
        <v>292</v>
      </c>
      <c r="H18" s="1851" t="s">
        <v>65</v>
      </c>
      <c r="I18" s="1851" t="s">
        <v>213</v>
      </c>
      <c r="J18" s="2133" t="s">
        <v>3725</v>
      </c>
      <c r="K18" s="1771"/>
      <c r="L18" s="1493"/>
      <c r="M18" s="1790"/>
    </row>
    <row r="19" spans="1:14" s="1548" customFormat="1" ht="69.8" customHeight="1">
      <c r="A19" s="1542">
        <v>15</v>
      </c>
      <c r="B19" s="1495" t="s">
        <v>3726</v>
      </c>
      <c r="C19" s="1901">
        <v>35000</v>
      </c>
      <c r="D19" s="1495" t="s">
        <v>3727</v>
      </c>
      <c r="E19" s="1493" t="s">
        <v>3728</v>
      </c>
      <c r="F19" s="1495" t="s">
        <v>3729</v>
      </c>
      <c r="G19" s="1495" t="s">
        <v>292</v>
      </c>
      <c r="H19" s="1495" t="s">
        <v>3462</v>
      </c>
      <c r="I19" s="1851" t="s">
        <v>3730</v>
      </c>
      <c r="J19" s="1600" t="s">
        <v>3731</v>
      </c>
      <c r="K19" s="1854" t="s">
        <v>3732</v>
      </c>
      <c r="L19" s="1493"/>
      <c r="M19" s="1790"/>
    </row>
    <row r="20" spans="1:14" s="1548" customFormat="1" ht="57.1" customHeight="1">
      <c r="A20" s="1542">
        <v>16</v>
      </c>
      <c r="B20" s="1493" t="s">
        <v>260</v>
      </c>
      <c r="C20" s="1901">
        <v>3750</v>
      </c>
      <c r="D20" s="1495" t="s">
        <v>3733</v>
      </c>
      <c r="E20" s="1769" t="s">
        <v>20</v>
      </c>
      <c r="F20" s="1851" t="s">
        <v>3734</v>
      </c>
      <c r="G20" s="1495" t="s">
        <v>292</v>
      </c>
      <c r="H20" s="1851" t="s">
        <v>65</v>
      </c>
      <c r="I20" s="1851" t="s">
        <v>66</v>
      </c>
      <c r="J20" s="2133" t="s">
        <v>3735</v>
      </c>
      <c r="K20" s="1771"/>
      <c r="L20" s="1493"/>
      <c r="M20" s="1790"/>
    </row>
    <row r="21" spans="1:14" s="1548" customFormat="1" ht="57.1" customHeight="1">
      <c r="A21" s="1542">
        <v>17</v>
      </c>
      <c r="B21" s="1493" t="s">
        <v>3736</v>
      </c>
      <c r="C21" s="1901">
        <v>3700</v>
      </c>
      <c r="D21" s="1495" t="s">
        <v>3733</v>
      </c>
      <c r="E21" s="1769" t="s">
        <v>24</v>
      </c>
      <c r="F21" s="1851" t="s">
        <v>199</v>
      </c>
      <c r="G21" s="1495" t="s">
        <v>292</v>
      </c>
      <c r="H21" s="1495" t="s">
        <v>65</v>
      </c>
      <c r="I21" s="1851" t="s">
        <v>213</v>
      </c>
      <c r="J21" s="2133" t="s">
        <v>3737</v>
      </c>
      <c r="K21" s="1771"/>
      <c r="L21" s="1493"/>
      <c r="M21" s="1790"/>
    </row>
    <row r="22" spans="1:14" s="1548" customFormat="1" ht="69.8" customHeight="1">
      <c r="A22" s="1542">
        <v>18</v>
      </c>
      <c r="B22" s="1493" t="s">
        <v>3738</v>
      </c>
      <c r="C22" s="1901">
        <v>4370</v>
      </c>
      <c r="D22" s="1495" t="s">
        <v>3739</v>
      </c>
      <c r="E22" s="1493" t="s">
        <v>20</v>
      </c>
      <c r="F22" s="1851" t="s">
        <v>3740</v>
      </c>
      <c r="G22" s="1495" t="s">
        <v>292</v>
      </c>
      <c r="H22" s="1851" t="s">
        <v>65</v>
      </c>
      <c r="I22" s="1851" t="s">
        <v>558</v>
      </c>
      <c r="J22" s="1497" t="s">
        <v>3741</v>
      </c>
      <c r="K22" s="1547"/>
      <c r="L22" s="1493"/>
      <c r="M22" s="1790"/>
    </row>
    <row r="23" spans="1:14" s="1548" customFormat="1" ht="76.599999999999994" customHeight="1">
      <c r="A23" s="1542">
        <v>19</v>
      </c>
      <c r="B23" s="1493" t="s">
        <v>134</v>
      </c>
      <c r="C23" s="1901">
        <v>2950</v>
      </c>
      <c r="D23" s="1495" t="s">
        <v>3739</v>
      </c>
      <c r="E23" s="1769" t="s">
        <v>22</v>
      </c>
      <c r="F23" s="1851" t="s">
        <v>3742</v>
      </c>
      <c r="G23" s="1495" t="s">
        <v>292</v>
      </c>
      <c r="H23" s="1851" t="s">
        <v>65</v>
      </c>
      <c r="I23" s="1851" t="s">
        <v>66</v>
      </c>
      <c r="J23" s="2133" t="s">
        <v>3743</v>
      </c>
      <c r="K23" s="1771"/>
      <c r="L23" s="1493"/>
      <c r="M23" s="1790"/>
    </row>
    <row r="24" spans="1:14" s="1548" customFormat="1" ht="135" customHeight="1">
      <c r="A24" s="1542">
        <v>20</v>
      </c>
      <c r="B24" s="1493" t="s">
        <v>153</v>
      </c>
      <c r="C24" s="1901">
        <v>11000</v>
      </c>
      <c r="D24" s="1495" t="s">
        <v>3744</v>
      </c>
      <c r="E24" s="1769" t="s">
        <v>18</v>
      </c>
      <c r="F24" s="1851" t="s">
        <v>3745</v>
      </c>
      <c r="G24" s="1495" t="s">
        <v>292</v>
      </c>
      <c r="H24" s="1495" t="s">
        <v>65</v>
      </c>
      <c r="I24" s="1851" t="s">
        <v>213</v>
      </c>
      <c r="J24" s="2133" t="s">
        <v>3746</v>
      </c>
      <c r="K24" s="1771"/>
      <c r="L24" s="1493"/>
      <c r="M24" s="1790"/>
    </row>
    <row r="25" spans="1:14" s="1548" customFormat="1" ht="115.5" customHeight="1">
      <c r="A25" s="1542">
        <v>21</v>
      </c>
      <c r="B25" s="1493" t="s">
        <v>3747</v>
      </c>
      <c r="C25" s="1901">
        <v>6000</v>
      </c>
      <c r="D25" s="1495" t="s">
        <v>3748</v>
      </c>
      <c r="E25" s="1493" t="s">
        <v>16</v>
      </c>
      <c r="F25" s="1495" t="s">
        <v>3749</v>
      </c>
      <c r="G25" s="1495" t="s">
        <v>292</v>
      </c>
      <c r="H25" s="1851" t="s">
        <v>65</v>
      </c>
      <c r="I25" s="1851" t="s">
        <v>558</v>
      </c>
      <c r="J25" s="1600" t="s">
        <v>3750</v>
      </c>
      <c r="K25" s="1547"/>
      <c r="L25" s="1493"/>
      <c r="M25" s="1790"/>
    </row>
    <row r="26" spans="1:14" s="1548" customFormat="1" ht="66.75" customHeight="1">
      <c r="A26" s="1542">
        <v>22</v>
      </c>
      <c r="B26" s="1493" t="s">
        <v>3499</v>
      </c>
      <c r="C26" s="1901">
        <v>4000</v>
      </c>
      <c r="D26" s="1495" t="s">
        <v>3751</v>
      </c>
      <c r="E26" s="1493" t="s">
        <v>20</v>
      </c>
      <c r="F26" s="1851" t="s">
        <v>3752</v>
      </c>
      <c r="G26" s="1495" t="s">
        <v>292</v>
      </c>
      <c r="H26" s="1851" t="s">
        <v>65</v>
      </c>
      <c r="I26" s="1851" t="s">
        <v>558</v>
      </c>
      <c r="J26" s="2141" t="s">
        <v>3753</v>
      </c>
      <c r="K26" s="1547"/>
      <c r="L26" s="1493"/>
      <c r="M26" s="1790"/>
    </row>
    <row r="27" spans="1:14" s="1548" customFormat="1" ht="126.7" customHeight="1">
      <c r="A27" s="1542">
        <v>23</v>
      </c>
      <c r="B27" s="1493" t="s">
        <v>3754</v>
      </c>
      <c r="C27" s="1901">
        <v>4500</v>
      </c>
      <c r="D27" s="1495" t="s">
        <v>3755</v>
      </c>
      <c r="E27" s="1493" t="s">
        <v>22</v>
      </c>
      <c r="F27" s="1851" t="s">
        <v>3756</v>
      </c>
      <c r="G27" s="1495" t="s">
        <v>292</v>
      </c>
      <c r="H27" s="1851" t="s">
        <v>65</v>
      </c>
      <c r="I27" s="1851" t="s">
        <v>558</v>
      </c>
      <c r="J27" s="1600" t="s">
        <v>3757</v>
      </c>
      <c r="K27" s="2142"/>
      <c r="L27" s="1493"/>
      <c r="M27" s="1790"/>
    </row>
    <row r="28" spans="1:14" s="1559" customFormat="1" ht="144.69999999999999" customHeight="1">
      <c r="A28" s="1553">
        <v>24</v>
      </c>
      <c r="B28" s="1545" t="s">
        <v>3668</v>
      </c>
      <c r="C28" s="2029">
        <v>18000</v>
      </c>
      <c r="D28" s="1543" t="s">
        <v>3580</v>
      </c>
      <c r="E28" s="1601" t="s">
        <v>14</v>
      </c>
      <c r="F28" s="1900" t="s">
        <v>194</v>
      </c>
      <c r="G28" s="1495" t="s">
        <v>292</v>
      </c>
      <c r="H28" s="1875" t="s">
        <v>65</v>
      </c>
      <c r="I28" s="1875" t="s">
        <v>3758</v>
      </c>
      <c r="J28" s="1546" t="s">
        <v>3759</v>
      </c>
      <c r="K28" s="1828"/>
      <c r="L28" s="1545"/>
      <c r="M28" s="1852"/>
    </row>
    <row r="29" spans="1:14" s="1548" customFormat="1" ht="99.7" customHeight="1">
      <c r="A29" s="1542">
        <v>25</v>
      </c>
      <c r="B29" s="1493" t="s">
        <v>252</v>
      </c>
      <c r="C29" s="1901">
        <v>1650</v>
      </c>
      <c r="D29" s="1495" t="s">
        <v>3760</v>
      </c>
      <c r="E29" s="1493" t="s">
        <v>20</v>
      </c>
      <c r="F29" s="1495" t="s">
        <v>3761</v>
      </c>
      <c r="G29" s="1495" t="s">
        <v>292</v>
      </c>
      <c r="H29" s="1495" t="s">
        <v>65</v>
      </c>
      <c r="I29" s="1495" t="s">
        <v>558</v>
      </c>
      <c r="J29" s="1496" t="s">
        <v>3762</v>
      </c>
      <c r="K29" s="2143"/>
      <c r="L29" s="1493"/>
      <c r="M29" s="1790"/>
    </row>
    <row r="30" spans="1:14" s="1945" customFormat="1" ht="65.25" customHeight="1">
      <c r="A30" s="1917">
        <v>26</v>
      </c>
      <c r="B30" s="1630" t="s">
        <v>2962</v>
      </c>
      <c r="C30" s="1631">
        <v>6000</v>
      </c>
      <c r="D30" s="1851" t="s">
        <v>3763</v>
      </c>
      <c r="E30" s="1630" t="s">
        <v>16</v>
      </c>
      <c r="F30" s="2024" t="s">
        <v>3764</v>
      </c>
      <c r="G30" s="1495" t="s">
        <v>292</v>
      </c>
      <c r="H30" s="2025" t="s">
        <v>65</v>
      </c>
      <c r="I30" s="1851" t="s">
        <v>66</v>
      </c>
      <c r="J30" s="2144" t="s">
        <v>3765</v>
      </c>
      <c r="K30" s="2026"/>
      <c r="L30" s="1869"/>
      <c r="M30" s="1867"/>
    </row>
    <row r="31" spans="1:14" s="1945" customFormat="1" ht="99.7" customHeight="1">
      <c r="A31" s="1553">
        <v>27</v>
      </c>
      <c r="B31" s="1493" t="s">
        <v>258</v>
      </c>
      <c r="C31" s="1494">
        <v>4250</v>
      </c>
      <c r="D31" s="1851" t="s">
        <v>3766</v>
      </c>
      <c r="E31" s="1626" t="s">
        <v>16</v>
      </c>
      <c r="F31" s="1943" t="s">
        <v>3767</v>
      </c>
      <c r="G31" s="1495" t="s">
        <v>292</v>
      </c>
      <c r="H31" s="1568" t="s">
        <v>65</v>
      </c>
      <c r="I31" s="1851" t="s">
        <v>213</v>
      </c>
      <c r="J31" s="2141" t="s">
        <v>3768</v>
      </c>
      <c r="K31" s="1828"/>
      <c r="L31" s="1545"/>
      <c r="M31" s="1852"/>
      <c r="N31" s="1559"/>
    </row>
    <row r="32" spans="1:14" s="1945" customFormat="1" ht="81.7" customHeight="1">
      <c r="A32" s="1553">
        <v>28</v>
      </c>
      <c r="B32" s="1545" t="s">
        <v>103</v>
      </c>
      <c r="C32" s="2027">
        <v>3200</v>
      </c>
      <c r="D32" s="1875" t="s">
        <v>3769</v>
      </c>
      <c r="E32" s="1601" t="s">
        <v>20</v>
      </c>
      <c r="F32" s="1943" t="s">
        <v>3770</v>
      </c>
      <c r="G32" s="1495" t="s">
        <v>292</v>
      </c>
      <c r="H32" s="2024" t="s">
        <v>65</v>
      </c>
      <c r="I32" s="2028" t="s">
        <v>3307</v>
      </c>
      <c r="J32" s="1546" t="s">
        <v>3771</v>
      </c>
      <c r="K32" s="1936"/>
      <c r="L32" s="1545"/>
      <c r="M32" s="1852"/>
      <c r="N32" s="1559"/>
    </row>
    <row r="33" spans="1:13" s="1548" customFormat="1" ht="86.3" customHeight="1">
      <c r="A33" s="1542">
        <v>29</v>
      </c>
      <c r="B33" s="1493" t="s">
        <v>3772</v>
      </c>
      <c r="C33" s="1901">
        <v>8800</v>
      </c>
      <c r="D33" s="1495" t="s">
        <v>3773</v>
      </c>
      <c r="E33" s="1493" t="s">
        <v>16</v>
      </c>
      <c r="F33" s="1495" t="s">
        <v>3774</v>
      </c>
      <c r="G33" s="1495" t="s">
        <v>292</v>
      </c>
      <c r="H33" s="1495" t="s">
        <v>65</v>
      </c>
      <c r="I33" s="1495" t="s">
        <v>66</v>
      </c>
      <c r="J33" s="1496" t="s">
        <v>3775</v>
      </c>
      <c r="K33" s="1547"/>
      <c r="L33" s="1493"/>
      <c r="M33" s="1790"/>
    </row>
    <row r="34" spans="1:13" ht="58.6" customHeight="1">
      <c r="A34" s="359">
        <v>30</v>
      </c>
    </row>
    <row r="35" spans="1:13" ht="58.6" customHeight="1">
      <c r="A35" s="359">
        <v>31</v>
      </c>
    </row>
    <row r="36" spans="1:13" ht="58.6" customHeight="1">
      <c r="A36" s="359">
        <v>32</v>
      </c>
    </row>
    <row r="37" spans="1:13" ht="58.6" customHeight="1">
      <c r="A37" s="359">
        <v>33</v>
      </c>
    </row>
    <row r="38" spans="1:13" ht="58.6" customHeight="1">
      <c r="A38" s="359">
        <v>34</v>
      </c>
    </row>
    <row r="39" spans="1:13" ht="58.6" customHeight="1">
      <c r="A39" s="359">
        <v>35</v>
      </c>
    </row>
    <row r="40" spans="1:13" ht="58.6" customHeight="1">
      <c r="A40" s="359">
        <v>36</v>
      </c>
    </row>
    <row r="41" spans="1:13" ht="58.6" customHeight="1">
      <c r="A41" s="359">
        <v>37</v>
      </c>
    </row>
    <row r="42" spans="1:13" ht="58.6" customHeight="1">
      <c r="A42" s="359">
        <v>38</v>
      </c>
    </row>
    <row r="43" spans="1:13" ht="58.6" customHeight="1">
      <c r="A43" s="359">
        <v>39</v>
      </c>
    </row>
    <row r="44" spans="1:13" ht="58.6" customHeight="1">
      <c r="A44" s="359">
        <v>40</v>
      </c>
    </row>
    <row r="45" spans="1:13" ht="58.6" customHeight="1">
      <c r="A45" s="359">
        <v>41</v>
      </c>
    </row>
    <row r="46" spans="1:13" ht="58.6" customHeight="1">
      <c r="A46" s="359">
        <v>42</v>
      </c>
    </row>
    <row r="47" spans="1:13" ht="58.6" customHeight="1">
      <c r="A47" s="359">
        <v>43</v>
      </c>
    </row>
    <row r="48" spans="1:13" ht="58.6" customHeight="1">
      <c r="A48" s="359">
        <v>44</v>
      </c>
    </row>
    <row r="49" spans="1:1" ht="58.6" customHeight="1">
      <c r="A49" s="359">
        <v>45</v>
      </c>
    </row>
    <row r="50" spans="1:1" ht="58.6" customHeight="1">
      <c r="A50" s="359">
        <v>46</v>
      </c>
    </row>
    <row r="51" spans="1:1" ht="58.6" customHeight="1">
      <c r="A51" s="359">
        <v>47</v>
      </c>
    </row>
    <row r="52" spans="1:1" ht="58.6" customHeight="1">
      <c r="A52" s="359">
        <v>48</v>
      </c>
    </row>
    <row r="53" spans="1:1" ht="58.6" customHeight="1">
      <c r="A53" s="359">
        <v>49</v>
      </c>
    </row>
    <row r="54" spans="1:1" ht="58.6" customHeight="1">
      <c r="A54" s="359">
        <v>50</v>
      </c>
    </row>
  </sheetData>
  <autoFilter ref="A4:P54" xr:uid="{00000000-0009-0000-0000-000001000000}"/>
  <mergeCells count="3">
    <mergeCell ref="C1:K1"/>
    <mergeCell ref="A2:K2"/>
    <mergeCell ref="A3:B3"/>
  </mergeCells>
  <conditionalFormatting sqref="A1:A3">
    <cfRule type="duplicateValues" dxfId="457" priority="1"/>
  </conditionalFormatting>
  <conditionalFormatting sqref="A4">
    <cfRule type="duplicateValues" dxfId="456" priority="2"/>
  </conditionalFormatting>
  <conditionalFormatting sqref="B4">
    <cfRule type="duplicateValues" dxfId="455" priority="3"/>
    <cfRule type="duplicateValues" dxfId="454" priority="4"/>
    <cfRule type="duplicateValues" dxfId="453"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37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6" customHeight="1">
      <c r="B1" s="10"/>
      <c r="C1" s="3757"/>
      <c r="D1" s="3757"/>
      <c r="E1" s="3757"/>
      <c r="F1" s="3757"/>
      <c r="G1" s="3757"/>
      <c r="H1" s="3757"/>
      <c r="I1" s="3757"/>
      <c r="J1" s="3757"/>
      <c r="K1" s="3757"/>
      <c r="M1" s="1848"/>
    </row>
    <row r="2" spans="1:26" ht="41.95" customHeight="1">
      <c r="A2" s="3758" t="s">
        <v>3428</v>
      </c>
      <c r="B2" s="3758"/>
      <c r="C2" s="3758"/>
      <c r="D2" s="3758"/>
      <c r="E2" s="3758"/>
      <c r="F2" s="3758"/>
      <c r="G2" s="3758"/>
      <c r="H2" s="3758"/>
      <c r="I2" s="3758"/>
      <c r="J2" s="3758"/>
      <c r="K2" s="3758"/>
      <c r="L2" s="1959"/>
      <c r="M2" s="1959"/>
      <c r="N2" s="218"/>
      <c r="O2" s="1777"/>
      <c r="P2" s="1777"/>
      <c r="Q2" s="1777"/>
      <c r="R2" s="1777"/>
      <c r="S2" s="1777"/>
      <c r="T2" s="1777"/>
      <c r="U2" s="1777"/>
      <c r="V2" s="1777"/>
      <c r="W2" s="1777"/>
      <c r="X2" s="1777"/>
      <c r="Y2" s="1777"/>
    </row>
    <row r="3" spans="1:26" ht="37.549999999999997" customHeight="1">
      <c r="A3" s="3759" t="s">
        <v>3429</v>
      </c>
      <c r="B3" s="3759"/>
      <c r="C3" s="1960">
        <f>SUBTOTAL(9,C5:C572)</f>
        <v>247335</v>
      </c>
      <c r="D3" s="1815"/>
      <c r="E3" s="1961"/>
      <c r="F3" s="1815"/>
      <c r="G3" s="1815"/>
      <c r="H3" s="1815"/>
      <c r="I3" s="1815"/>
      <c r="J3" s="1816">
        <f ca="1">TODAY()</f>
        <v>45988</v>
      </c>
      <c r="K3" s="143"/>
      <c r="L3" s="1816"/>
      <c r="M3" s="1961"/>
      <c r="N3" s="218"/>
      <c r="O3" s="1777"/>
      <c r="P3" s="1777"/>
      <c r="Q3" s="1777"/>
      <c r="R3" s="1777"/>
      <c r="S3" s="1777"/>
      <c r="T3" s="1777"/>
      <c r="U3" s="1777"/>
      <c r="V3" s="1777"/>
      <c r="W3" s="1777"/>
      <c r="X3" s="1777"/>
      <c r="Y3" s="1777"/>
    </row>
    <row r="4" spans="1:26" s="1149" customFormat="1" ht="53.35" customHeight="1">
      <c r="A4" s="1817" t="s">
        <v>48</v>
      </c>
      <c r="B4" s="1818" t="s">
        <v>49</v>
      </c>
      <c r="C4" s="1948" t="s">
        <v>50</v>
      </c>
      <c r="D4" s="1818" t="s">
        <v>3573</v>
      </c>
      <c r="E4" s="1818" t="s">
        <v>52</v>
      </c>
      <c r="F4" s="1818" t="s">
        <v>3574</v>
      </c>
      <c r="G4" s="1818" t="s">
        <v>54</v>
      </c>
      <c r="H4" s="1818" t="s">
        <v>55</v>
      </c>
      <c r="I4" s="1818" t="s">
        <v>56</v>
      </c>
      <c r="J4" s="1818" t="s">
        <v>57</v>
      </c>
      <c r="K4" s="1818" t="s">
        <v>58</v>
      </c>
      <c r="L4" s="1818" t="s">
        <v>59</v>
      </c>
      <c r="M4" s="1949" t="s">
        <v>60</v>
      </c>
      <c r="N4" s="1820" t="e">
        <f>SUM(#REF!)</f>
        <v>#REF!</v>
      </c>
      <c r="Z4" s="1980"/>
    </row>
    <row r="5" spans="1:26" s="1770" customFormat="1" ht="72.7" customHeight="1">
      <c r="A5" s="1971" cm="1">
        <f t="array" ref="A5:A54">_xlfn.SEQUENCE(50,1,1,)</f>
        <v>1</v>
      </c>
      <c r="B5" s="1972" t="s">
        <v>139</v>
      </c>
      <c r="C5" s="1973">
        <v>4350</v>
      </c>
      <c r="D5" s="1972" t="s">
        <v>3776</v>
      </c>
      <c r="E5" s="1972" t="s">
        <v>24</v>
      </c>
      <c r="F5" s="1972" t="s">
        <v>3777</v>
      </c>
      <c r="G5" s="1972" t="s">
        <v>267</v>
      </c>
      <c r="H5" s="1495" t="s">
        <v>65</v>
      </c>
      <c r="I5" s="1495" t="s">
        <v>558</v>
      </c>
      <c r="J5" s="1979" t="s">
        <v>3778</v>
      </c>
      <c r="K5" s="1972"/>
      <c r="L5" s="1972"/>
      <c r="M5" s="1974"/>
      <c r="N5" s="1975"/>
      <c r="Z5" s="1981"/>
    </row>
    <row r="6" spans="1:26" s="1559" customFormat="1" ht="185.95" customHeight="1">
      <c r="A6" s="1542">
        <v>2</v>
      </c>
      <c r="B6" s="1493" t="s">
        <v>3668</v>
      </c>
      <c r="C6" s="1901">
        <v>24000</v>
      </c>
      <c r="D6" s="1495" t="s">
        <v>3779</v>
      </c>
      <c r="E6" s="1493" t="s">
        <v>14</v>
      </c>
      <c r="F6" s="1495" t="s">
        <v>3780</v>
      </c>
      <c r="G6" s="1972" t="s">
        <v>267</v>
      </c>
      <c r="H6" s="1495" t="s">
        <v>65</v>
      </c>
      <c r="I6" s="1495" t="s">
        <v>155</v>
      </c>
      <c r="J6" s="1600" t="s">
        <v>3781</v>
      </c>
      <c r="K6" s="1908" t="s">
        <v>3782</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3783</v>
      </c>
      <c r="C7" s="1901">
        <v>10000</v>
      </c>
      <c r="D7" s="1495" t="s">
        <v>3784</v>
      </c>
      <c r="E7" s="1493" t="s">
        <v>38</v>
      </c>
      <c r="F7" s="1495"/>
      <c r="G7" s="1972" t="s">
        <v>267</v>
      </c>
      <c r="H7" s="1495" t="s">
        <v>3462</v>
      </c>
      <c r="I7" s="1495" t="s">
        <v>219</v>
      </c>
      <c r="J7" s="1496" t="s">
        <v>3785</v>
      </c>
      <c r="K7" s="1547"/>
      <c r="L7" s="1493"/>
      <c r="M7" s="1790"/>
      <c r="N7" s="1964"/>
      <c r="O7" s="1548"/>
      <c r="P7" s="1548"/>
      <c r="Q7" s="1548"/>
      <c r="R7" s="1548"/>
      <c r="S7" s="1548"/>
      <c r="T7" s="1548"/>
      <c r="U7" s="1548"/>
      <c r="V7" s="1548"/>
      <c r="W7" s="1548"/>
      <c r="X7" s="1548"/>
      <c r="Y7" s="1548"/>
      <c r="Z7" s="1747"/>
    </row>
    <row r="8" spans="1:26" s="1548" customFormat="1" ht="122.95" customHeight="1">
      <c r="A8" s="1542">
        <v>4</v>
      </c>
      <c r="B8" s="1493" t="s">
        <v>252</v>
      </c>
      <c r="C8" s="1901">
        <v>4000</v>
      </c>
      <c r="D8" s="1495" t="s">
        <v>3786</v>
      </c>
      <c r="E8" s="1493" t="s">
        <v>20</v>
      </c>
      <c r="F8" s="1495" t="s">
        <v>3787</v>
      </c>
      <c r="G8" s="1972" t="s">
        <v>267</v>
      </c>
      <c r="H8" s="1495" t="s">
        <v>65</v>
      </c>
      <c r="I8" s="1495" t="s">
        <v>558</v>
      </c>
      <c r="J8" s="1976" t="s">
        <v>3788</v>
      </c>
      <c r="K8" s="1547" t="s">
        <v>3789</v>
      </c>
      <c r="L8" s="1493" t="s">
        <v>3790</v>
      </c>
      <c r="M8" s="1790" t="s">
        <v>3791</v>
      </c>
      <c r="N8" s="1548" t="s">
        <v>3792</v>
      </c>
      <c r="O8" s="1548" t="s">
        <v>3793</v>
      </c>
      <c r="P8" s="1548" t="s">
        <v>3794</v>
      </c>
      <c r="Q8" s="1548" t="s">
        <v>3795</v>
      </c>
      <c r="R8" s="1548" t="s">
        <v>3796</v>
      </c>
      <c r="S8" s="1548" t="s">
        <v>3797</v>
      </c>
      <c r="T8" s="1548" t="s">
        <v>3798</v>
      </c>
      <c r="U8" s="1548" t="s">
        <v>3799</v>
      </c>
      <c r="V8" s="1548" t="s">
        <v>3800</v>
      </c>
      <c r="W8" s="1548" t="s">
        <v>3801</v>
      </c>
      <c r="X8" s="1548" t="s">
        <v>3802</v>
      </c>
      <c r="Y8" s="1548" t="s">
        <v>3803</v>
      </c>
      <c r="Z8" s="1807"/>
    </row>
    <row r="9" spans="1:26" s="1883" customFormat="1" ht="165.1" customHeight="1">
      <c r="A9" s="1542">
        <v>5</v>
      </c>
      <c r="B9" s="1493" t="s">
        <v>3804</v>
      </c>
      <c r="C9" s="1901">
        <v>13475</v>
      </c>
      <c r="D9" s="1495" t="s">
        <v>3805</v>
      </c>
      <c r="E9" s="1493" t="s">
        <v>38</v>
      </c>
      <c r="F9" s="1495" t="s">
        <v>3806</v>
      </c>
      <c r="G9" s="1972" t="s">
        <v>267</v>
      </c>
      <c r="H9" s="1495" t="s">
        <v>65</v>
      </c>
      <c r="I9" s="1495" t="s">
        <v>3552</v>
      </c>
      <c r="J9" s="1976" t="s">
        <v>3807</v>
      </c>
      <c r="K9" s="1547"/>
      <c r="L9" s="1493"/>
      <c r="M9" s="1790"/>
      <c r="N9" s="1548"/>
      <c r="O9" s="1548"/>
      <c r="P9" s="1548"/>
      <c r="Q9" s="1548"/>
      <c r="R9" s="1548"/>
      <c r="S9" s="1548"/>
      <c r="T9" s="1548"/>
      <c r="U9" s="1548"/>
      <c r="V9" s="1548"/>
      <c r="W9" s="1548"/>
      <c r="X9" s="1548"/>
      <c r="Y9" s="1548"/>
      <c r="Z9" s="1982"/>
    </row>
    <row r="10" spans="1:26" s="1883" customFormat="1" ht="122.95" customHeight="1">
      <c r="A10" s="1542">
        <v>6</v>
      </c>
      <c r="B10" s="1493" t="s">
        <v>114</v>
      </c>
      <c r="C10" s="1901">
        <v>3600</v>
      </c>
      <c r="D10" s="1495" t="s">
        <v>3805</v>
      </c>
      <c r="E10" s="1493" t="s">
        <v>18</v>
      </c>
      <c r="F10" s="1495" t="s">
        <v>3808</v>
      </c>
      <c r="G10" s="1972" t="s">
        <v>267</v>
      </c>
      <c r="H10" s="1495" t="s">
        <v>65</v>
      </c>
      <c r="I10" s="1495" t="s">
        <v>558</v>
      </c>
      <c r="J10" s="1976" t="s">
        <v>3809</v>
      </c>
      <c r="K10" s="1547">
        <v>45512</v>
      </c>
      <c r="L10" s="1493" t="s">
        <v>3810</v>
      </c>
      <c r="M10" s="1790" t="s">
        <v>3811</v>
      </c>
      <c r="N10" s="1548" t="s">
        <v>3812</v>
      </c>
      <c r="O10" s="1548" t="s">
        <v>3813</v>
      </c>
      <c r="P10" s="1548" t="s">
        <v>3783</v>
      </c>
      <c r="Q10" s="1548"/>
      <c r="R10" s="1548" t="s">
        <v>3814</v>
      </c>
      <c r="S10" s="1548" t="s">
        <v>3815</v>
      </c>
      <c r="T10" s="1548" t="s">
        <v>3816</v>
      </c>
      <c r="U10" s="1548"/>
      <c r="V10" s="1548"/>
      <c r="W10" s="1548"/>
      <c r="X10" s="1548"/>
      <c r="Y10" s="1548" t="s">
        <v>3817</v>
      </c>
      <c r="Z10" s="1982"/>
    </row>
    <row r="11" spans="1:26" s="1977" customFormat="1" ht="77.3" customHeight="1">
      <c r="A11" s="1542">
        <v>7</v>
      </c>
      <c r="B11" s="1493" t="s">
        <v>3612</v>
      </c>
      <c r="C11" s="1901">
        <v>4450</v>
      </c>
      <c r="D11" s="1495" t="s">
        <v>3818</v>
      </c>
      <c r="E11" s="1493" t="s">
        <v>192</v>
      </c>
      <c r="F11" s="1495" t="s">
        <v>3819</v>
      </c>
      <c r="G11" s="1972" t="s">
        <v>267</v>
      </c>
      <c r="H11" s="1495" t="s">
        <v>65</v>
      </c>
      <c r="I11" s="1495" t="s">
        <v>213</v>
      </c>
      <c r="J11" s="1976" t="s">
        <v>3820</v>
      </c>
      <c r="K11" s="1547"/>
      <c r="L11" s="1493"/>
      <c r="M11" s="1790"/>
      <c r="N11" s="1548"/>
      <c r="O11" s="1548"/>
      <c r="P11" s="1548"/>
      <c r="Q11" s="1548"/>
      <c r="R11" s="1548"/>
      <c r="S11" s="1548"/>
      <c r="T11" s="1548"/>
      <c r="U11" s="1548"/>
      <c r="V11" s="1548"/>
      <c r="W11" s="1548"/>
      <c r="X11" s="1548"/>
      <c r="Y11" s="1548"/>
      <c r="Z11" s="1983"/>
    </row>
    <row r="12" spans="1:26" s="1977" customFormat="1" ht="188.35" customHeight="1">
      <c r="A12" s="1542">
        <v>8</v>
      </c>
      <c r="B12" s="1493" t="s">
        <v>172</v>
      </c>
      <c r="C12" s="1901">
        <v>3940</v>
      </c>
      <c r="D12" s="1495" t="s">
        <v>3818</v>
      </c>
      <c r="E12" s="1493" t="s">
        <v>3460</v>
      </c>
      <c r="F12" s="1495" t="s">
        <v>3821</v>
      </c>
      <c r="G12" s="1972" t="s">
        <v>267</v>
      </c>
      <c r="H12" s="1495" t="s">
        <v>3462</v>
      </c>
      <c r="I12" s="1495" t="s">
        <v>3552</v>
      </c>
      <c r="J12" s="1976" t="s">
        <v>3822</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92</v>
      </c>
      <c r="C13" s="1901">
        <v>4250</v>
      </c>
      <c r="D13" s="1495" t="s">
        <v>3823</v>
      </c>
      <c r="E13" s="1493" t="s">
        <v>16</v>
      </c>
      <c r="F13" s="1495" t="s">
        <v>3824</v>
      </c>
      <c r="G13" s="1972" t="s">
        <v>267</v>
      </c>
      <c r="H13" s="1495" t="s">
        <v>65</v>
      </c>
      <c r="I13" s="1495" t="s">
        <v>213</v>
      </c>
      <c r="J13" s="1976" t="s">
        <v>3825</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3747</v>
      </c>
      <c r="C14" s="1901">
        <v>6000</v>
      </c>
      <c r="D14" s="1495" t="s">
        <v>3826</v>
      </c>
      <c r="E14" s="1493" t="s">
        <v>16</v>
      </c>
      <c r="F14" s="1495" t="s">
        <v>3827</v>
      </c>
      <c r="G14" s="1972" t="s">
        <v>267</v>
      </c>
      <c r="H14" s="1495" t="s">
        <v>65</v>
      </c>
      <c r="I14" s="1495" t="s">
        <v>558</v>
      </c>
      <c r="J14" s="1976" t="s">
        <v>3828</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125</v>
      </c>
      <c r="C15" s="1901">
        <v>4250</v>
      </c>
      <c r="D15" s="1495" t="s">
        <v>3829</v>
      </c>
      <c r="E15" s="1493" t="s">
        <v>22</v>
      </c>
      <c r="F15" s="1495" t="s">
        <v>3830</v>
      </c>
      <c r="G15" s="1972" t="s">
        <v>267</v>
      </c>
      <c r="H15" s="1495" t="s">
        <v>65</v>
      </c>
      <c r="I15" s="1495" t="s">
        <v>558</v>
      </c>
      <c r="J15" s="1976" t="s">
        <v>3831</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3546</v>
      </c>
      <c r="C16" s="1901">
        <v>4300</v>
      </c>
      <c r="D16" s="1495" t="s">
        <v>3832</v>
      </c>
      <c r="E16" s="1493" t="s">
        <v>24</v>
      </c>
      <c r="F16" s="1495" t="s">
        <v>3833</v>
      </c>
      <c r="G16" s="1972" t="s">
        <v>267</v>
      </c>
      <c r="H16" s="1495" t="s">
        <v>65</v>
      </c>
      <c r="I16" s="1495" t="s">
        <v>213</v>
      </c>
      <c r="J16" s="1976" t="s">
        <v>3834</v>
      </c>
      <c r="K16" s="1547"/>
      <c r="L16" s="1493"/>
      <c r="M16" s="1790"/>
      <c r="N16" s="1548"/>
      <c r="O16" s="1548"/>
      <c r="P16" s="1548"/>
      <c r="Q16" s="1548"/>
      <c r="R16" s="1548"/>
      <c r="S16" s="1548"/>
      <c r="T16" s="1548"/>
      <c r="U16" s="1548"/>
      <c r="V16" s="1548"/>
      <c r="W16" s="1548"/>
      <c r="X16" s="1548"/>
      <c r="Y16" s="1548"/>
      <c r="Z16" s="1983"/>
    </row>
    <row r="17" spans="1:26" s="1958" customFormat="1" ht="82.55" customHeight="1">
      <c r="A17" s="1542">
        <v>13</v>
      </c>
      <c r="B17" s="1493" t="s">
        <v>3602</v>
      </c>
      <c r="C17" s="1901">
        <v>3300</v>
      </c>
      <c r="D17" s="1495" t="s">
        <v>3835</v>
      </c>
      <c r="E17" s="1493" t="s">
        <v>24</v>
      </c>
      <c r="F17" s="1495" t="s">
        <v>3836</v>
      </c>
      <c r="G17" s="1972" t="s">
        <v>267</v>
      </c>
      <c r="H17" s="1495" t="s">
        <v>65</v>
      </c>
      <c r="I17" s="1495" t="s">
        <v>213</v>
      </c>
      <c r="J17" s="1976" t="s">
        <v>3837</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3838</v>
      </c>
      <c r="C18" s="1901">
        <v>11610</v>
      </c>
      <c r="D18" s="1495" t="s">
        <v>3839</v>
      </c>
      <c r="E18" s="1495" t="s">
        <v>3136</v>
      </c>
      <c r="F18" s="1495" t="s">
        <v>3840</v>
      </c>
      <c r="G18" s="1972" t="s">
        <v>267</v>
      </c>
      <c r="H18" s="1495" t="s">
        <v>65</v>
      </c>
      <c r="I18" s="1495" t="s">
        <v>3392</v>
      </c>
      <c r="J18" s="1854" t="s">
        <v>3841</v>
      </c>
      <c r="K18" s="1547"/>
      <c r="L18" s="1493"/>
      <c r="M18" s="1790"/>
      <c r="N18" s="1548"/>
      <c r="O18" s="1548"/>
      <c r="P18" s="1548"/>
      <c r="Q18" s="1548"/>
      <c r="R18" s="1548"/>
      <c r="S18" s="1548"/>
      <c r="T18" s="1548"/>
      <c r="U18" s="1548"/>
      <c r="V18" s="1548"/>
      <c r="W18" s="1548"/>
      <c r="X18" s="1548"/>
      <c r="Y18" s="1548"/>
      <c r="Z18" s="1985"/>
    </row>
    <row r="19" spans="1:26" s="1548" customFormat="1" ht="84.1" customHeight="1">
      <c r="A19" s="1542">
        <v>15</v>
      </c>
      <c r="B19" s="1493" t="s">
        <v>3499</v>
      </c>
      <c r="C19" s="1901">
        <v>4000</v>
      </c>
      <c r="D19" s="1495" t="s">
        <v>3842</v>
      </c>
      <c r="E19" s="1495" t="s">
        <v>20</v>
      </c>
      <c r="F19" s="1495" t="s">
        <v>3843</v>
      </c>
      <c r="G19" s="1972" t="s">
        <v>267</v>
      </c>
      <c r="H19" s="1495" t="s">
        <v>65</v>
      </c>
      <c r="I19" s="1495" t="s">
        <v>213</v>
      </c>
      <c r="J19" s="1854" t="s">
        <v>3844</v>
      </c>
      <c r="K19" s="1547"/>
      <c r="L19" s="1493"/>
      <c r="M19" s="1790"/>
      <c r="Z19" s="1807"/>
    </row>
    <row r="20" spans="1:26" s="1548" customFormat="1" ht="63" customHeight="1">
      <c r="A20" s="1542">
        <v>16</v>
      </c>
      <c r="B20" s="1493" t="s">
        <v>252</v>
      </c>
      <c r="C20" s="1901">
        <v>4000</v>
      </c>
      <c r="D20" s="1495" t="s">
        <v>3842</v>
      </c>
      <c r="E20" s="1495" t="s">
        <v>20</v>
      </c>
      <c r="F20" s="1495" t="s">
        <v>3845</v>
      </c>
      <c r="G20" s="1972" t="s">
        <v>267</v>
      </c>
      <c r="H20" s="1495" t="s">
        <v>65</v>
      </c>
      <c r="I20" s="1495" t="s">
        <v>213</v>
      </c>
      <c r="J20" s="1854" t="s">
        <v>3846</v>
      </c>
      <c r="K20" s="1547"/>
      <c r="L20" s="1493"/>
      <c r="M20" s="1790"/>
      <c r="Z20" s="1807"/>
    </row>
    <row r="21" spans="1:26" s="1559" customFormat="1" ht="59.95" customHeight="1">
      <c r="A21" s="1542">
        <v>17</v>
      </c>
      <c r="B21" s="1493" t="s">
        <v>158</v>
      </c>
      <c r="C21" s="1901">
        <v>4000</v>
      </c>
      <c r="D21" s="1495" t="s">
        <v>3842</v>
      </c>
      <c r="E21" s="1493" t="s">
        <v>22</v>
      </c>
      <c r="F21" s="1495" t="s">
        <v>3847</v>
      </c>
      <c r="G21" s="1972" t="s">
        <v>267</v>
      </c>
      <c r="H21" s="1495" t="s">
        <v>65</v>
      </c>
      <c r="I21" s="1495" t="s">
        <v>558</v>
      </c>
      <c r="J21" s="1600" t="s">
        <v>3848</v>
      </c>
      <c r="K21" s="1547"/>
      <c r="L21" s="1493"/>
      <c r="M21" s="1790"/>
      <c r="N21" s="1548"/>
      <c r="O21" s="1548"/>
      <c r="P21" s="1548"/>
      <c r="Q21" s="1548"/>
      <c r="R21" s="1548"/>
      <c r="S21" s="1548"/>
      <c r="T21" s="1548"/>
      <c r="U21" s="1548"/>
      <c r="V21" s="1548"/>
      <c r="W21" s="1548"/>
      <c r="X21" s="1548"/>
      <c r="Y21" s="1548"/>
      <c r="Z21" s="1747"/>
    </row>
    <row r="22" spans="1:26" s="1559" customFormat="1" ht="68.95" customHeight="1">
      <c r="A22" s="1542">
        <v>18</v>
      </c>
      <c r="B22" s="1493" t="s">
        <v>97</v>
      </c>
      <c r="C22" s="1901">
        <v>4620</v>
      </c>
      <c r="D22" s="1495" t="s">
        <v>3849</v>
      </c>
      <c r="E22" s="1493" t="s">
        <v>22</v>
      </c>
      <c r="F22" s="1495" t="s">
        <v>3850</v>
      </c>
      <c r="G22" s="1972" t="s">
        <v>267</v>
      </c>
      <c r="H22" s="1495" t="s">
        <v>65</v>
      </c>
      <c r="I22" s="1495" t="s">
        <v>558</v>
      </c>
      <c r="J22" s="1496" t="s">
        <v>3851</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3852</v>
      </c>
      <c r="C23" s="1901">
        <v>15000</v>
      </c>
      <c r="D23" s="1495" t="s">
        <v>3853</v>
      </c>
      <c r="E23" s="1495" t="s">
        <v>3854</v>
      </c>
      <c r="F23" s="1495" t="s">
        <v>3855</v>
      </c>
      <c r="G23" s="1972" t="s">
        <v>267</v>
      </c>
      <c r="H23" s="1495" t="s">
        <v>65</v>
      </c>
      <c r="I23" s="1495" t="s">
        <v>3856</v>
      </c>
      <c r="J23" s="1600" t="s">
        <v>3857</v>
      </c>
      <c r="K23" s="1547"/>
      <c r="L23" s="1493"/>
      <c r="M23" s="1790"/>
      <c r="Z23" s="1807"/>
    </row>
    <row r="24" spans="1:26" s="1977" customFormat="1" ht="104.95" customHeight="1">
      <c r="A24" s="1542">
        <v>20</v>
      </c>
      <c r="B24" s="1493" t="s">
        <v>3440</v>
      </c>
      <c r="C24" s="1901">
        <v>8000</v>
      </c>
      <c r="D24" s="1495" t="s">
        <v>3858</v>
      </c>
      <c r="E24" s="1495" t="s">
        <v>16</v>
      </c>
      <c r="F24" s="1495" t="s">
        <v>3859</v>
      </c>
      <c r="G24" s="1972" t="s">
        <v>267</v>
      </c>
      <c r="H24" s="1495" t="s">
        <v>65</v>
      </c>
      <c r="I24" s="1495" t="s">
        <v>213</v>
      </c>
      <c r="J24" s="1600" t="s">
        <v>3860</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3861</v>
      </c>
      <c r="C25" s="1901">
        <v>11000</v>
      </c>
      <c r="D25" s="1495" t="s">
        <v>3862</v>
      </c>
      <c r="E25" s="1493" t="s">
        <v>3863</v>
      </c>
      <c r="F25" s="1787" t="s">
        <v>3864</v>
      </c>
      <c r="G25" s="1972" t="s">
        <v>267</v>
      </c>
      <c r="H25" s="1495" t="s">
        <v>65</v>
      </c>
      <c r="I25" s="1495" t="s">
        <v>3392</v>
      </c>
      <c r="J25" s="1600" t="s">
        <v>3865</v>
      </c>
      <c r="K25" s="1547"/>
      <c r="L25" s="1493"/>
      <c r="M25" s="1790"/>
      <c r="N25" s="1548"/>
      <c r="O25" s="1548"/>
      <c r="P25" s="1548"/>
      <c r="Q25" s="1548"/>
      <c r="R25" s="1548"/>
      <c r="S25" s="1548"/>
      <c r="T25" s="1548"/>
      <c r="U25" s="1548"/>
      <c r="V25" s="1548"/>
      <c r="W25" s="1548"/>
      <c r="X25" s="1548"/>
      <c r="Y25" s="1548"/>
      <c r="Z25" s="1985"/>
    </row>
    <row r="26" spans="1:26" s="1548" customFormat="1" ht="261.7" customHeight="1">
      <c r="A26" s="1542">
        <v>22</v>
      </c>
      <c r="B26" s="1493" t="s">
        <v>3866</v>
      </c>
      <c r="C26" s="1901">
        <v>24990</v>
      </c>
      <c r="D26" s="1495" t="s">
        <v>3867</v>
      </c>
      <c r="E26" s="1493" t="s">
        <v>38</v>
      </c>
      <c r="F26" s="1495" t="s">
        <v>3868</v>
      </c>
      <c r="G26" s="1972" t="s">
        <v>267</v>
      </c>
      <c r="H26" s="1495" t="s">
        <v>65</v>
      </c>
      <c r="I26" s="1495" t="s">
        <v>3552</v>
      </c>
      <c r="J26" s="1600" t="s">
        <v>3869</v>
      </c>
      <c r="K26" s="1547" t="s">
        <v>3870</v>
      </c>
      <c r="L26" s="1493"/>
      <c r="M26" s="1790"/>
      <c r="Z26" s="1807"/>
    </row>
    <row r="27" spans="1:26" s="1548" customFormat="1" ht="70.5" customHeight="1">
      <c r="A27" s="1542">
        <v>23</v>
      </c>
      <c r="B27" s="1493" t="s">
        <v>114</v>
      </c>
      <c r="C27" s="1901">
        <v>3750</v>
      </c>
      <c r="D27" s="1495" t="s">
        <v>3871</v>
      </c>
      <c r="E27" s="1493" t="s">
        <v>18</v>
      </c>
      <c r="F27" s="1495" t="s">
        <v>3872</v>
      </c>
      <c r="G27" s="1972" t="s">
        <v>267</v>
      </c>
      <c r="H27" s="1495" t="s">
        <v>65</v>
      </c>
      <c r="I27" s="1495" t="s">
        <v>558</v>
      </c>
      <c r="J27" s="1600" t="s">
        <v>3873</v>
      </c>
      <c r="K27" s="1547"/>
      <c r="L27" s="1493"/>
      <c r="M27" s="1790"/>
      <c r="Z27" s="1807"/>
    </row>
    <row r="28" spans="1:26" s="1548" customFormat="1" ht="111.75" customHeight="1">
      <c r="A28" s="1542">
        <v>24</v>
      </c>
      <c r="B28" s="1495" t="s">
        <v>3874</v>
      </c>
      <c r="C28" s="1494">
        <v>4000</v>
      </c>
      <c r="D28" s="1495" t="s">
        <v>3875</v>
      </c>
      <c r="E28" s="1495" t="s">
        <v>20</v>
      </c>
      <c r="F28" s="1495" t="s">
        <v>3876</v>
      </c>
      <c r="G28" s="1972" t="s">
        <v>267</v>
      </c>
      <c r="H28" s="1495" t="s">
        <v>65</v>
      </c>
      <c r="I28" s="1495" t="s">
        <v>558</v>
      </c>
      <c r="J28" s="1600" t="s">
        <v>3877</v>
      </c>
      <c r="K28" s="1547"/>
      <c r="L28" s="1493"/>
      <c r="M28" s="1790"/>
      <c r="Z28" s="1807"/>
    </row>
    <row r="29" spans="1:26" s="1977" customFormat="1" ht="65.25" customHeight="1">
      <c r="A29" s="1542">
        <v>25</v>
      </c>
      <c r="B29" s="1495" t="s">
        <v>3602</v>
      </c>
      <c r="C29" s="1494">
        <v>3300</v>
      </c>
      <c r="D29" s="1495" t="s">
        <v>3878</v>
      </c>
      <c r="E29" s="1495" t="s">
        <v>24</v>
      </c>
      <c r="F29" s="1495" t="s">
        <v>3879</v>
      </c>
      <c r="G29" s="1972" t="s">
        <v>267</v>
      </c>
      <c r="H29" s="1495" t="s">
        <v>65</v>
      </c>
      <c r="I29" s="1495" t="s">
        <v>142</v>
      </c>
      <c r="J29" s="1600" t="s">
        <v>3880</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3881</v>
      </c>
      <c r="C30" s="1494">
        <v>9800</v>
      </c>
      <c r="D30" s="1495" t="s">
        <v>3858</v>
      </c>
      <c r="E30" s="1493" t="s">
        <v>3460</v>
      </c>
      <c r="F30" s="1495" t="s">
        <v>3882</v>
      </c>
      <c r="G30" s="1972" t="s">
        <v>267</v>
      </c>
      <c r="H30" s="1495" t="s">
        <v>65</v>
      </c>
      <c r="I30" s="1495" t="s">
        <v>3883</v>
      </c>
      <c r="J30" s="1496" t="s">
        <v>3884</v>
      </c>
      <c r="K30" s="1600" t="s">
        <v>3885</v>
      </c>
      <c r="L30" s="1493"/>
      <c r="M30" s="1790"/>
      <c r="N30" s="1548"/>
      <c r="O30" s="1548"/>
      <c r="P30" s="1548"/>
      <c r="Q30" s="1548"/>
      <c r="R30" s="1548"/>
      <c r="S30" s="1548"/>
      <c r="T30" s="1548"/>
      <c r="U30" s="1548"/>
      <c r="V30" s="1548"/>
      <c r="W30" s="1548"/>
      <c r="X30" s="1548"/>
      <c r="Y30" s="1548"/>
      <c r="Z30" s="1985"/>
    </row>
    <row r="31" spans="1:26" s="1945" customFormat="1" ht="62.35" customHeight="1">
      <c r="A31" s="1542">
        <v>27</v>
      </c>
      <c r="B31" s="1493" t="s">
        <v>3658</v>
      </c>
      <c r="C31" s="1494">
        <v>11000</v>
      </c>
      <c r="D31" s="1495" t="s">
        <v>3886</v>
      </c>
      <c r="E31" s="1493" t="s">
        <v>18</v>
      </c>
      <c r="F31" s="1495" t="s">
        <v>3887</v>
      </c>
      <c r="G31" s="1972" t="s">
        <v>267</v>
      </c>
      <c r="H31" s="1495" t="s">
        <v>65</v>
      </c>
      <c r="I31" s="1495" t="s">
        <v>66</v>
      </c>
      <c r="J31" s="1600" t="s">
        <v>3888</v>
      </c>
      <c r="K31" s="1547"/>
      <c r="L31" s="1493"/>
      <c r="M31" s="1790"/>
      <c r="N31" s="1548"/>
      <c r="O31" s="1548"/>
      <c r="P31" s="1548"/>
      <c r="Q31" s="1548"/>
      <c r="R31" s="1548"/>
      <c r="S31" s="1548"/>
      <c r="T31" s="1548"/>
      <c r="U31" s="1548"/>
      <c r="V31" s="1548"/>
      <c r="W31" s="1548"/>
      <c r="X31" s="1548"/>
      <c r="Y31" s="1548"/>
      <c r="Z31" s="1985"/>
    </row>
    <row r="32" spans="1:26" s="1559" customFormat="1" ht="57.1" customHeight="1">
      <c r="A32" s="1542">
        <v>28</v>
      </c>
      <c r="B32" s="1495" t="s">
        <v>252</v>
      </c>
      <c r="C32" s="1494">
        <v>4000</v>
      </c>
      <c r="D32" s="1495" t="s">
        <v>3889</v>
      </c>
      <c r="E32" s="1493" t="s">
        <v>20</v>
      </c>
      <c r="F32" s="1495" t="s">
        <v>3890</v>
      </c>
      <c r="G32" s="1972" t="s">
        <v>267</v>
      </c>
      <c r="H32" s="1495" t="s">
        <v>65</v>
      </c>
      <c r="I32" s="1495" t="s">
        <v>294</v>
      </c>
      <c r="J32" s="1600" t="s">
        <v>3891</v>
      </c>
      <c r="K32" s="1547"/>
      <c r="L32" s="1493"/>
      <c r="M32" s="1790"/>
      <c r="N32" s="1548"/>
      <c r="O32" s="1548"/>
      <c r="P32" s="1548"/>
      <c r="Q32" s="1548"/>
      <c r="R32" s="1548"/>
      <c r="S32" s="1548"/>
      <c r="T32" s="1548"/>
      <c r="U32" s="1548"/>
      <c r="V32" s="1548"/>
      <c r="W32" s="1548"/>
      <c r="X32" s="1548"/>
      <c r="Y32" s="1548"/>
      <c r="Z32" s="1747"/>
    </row>
    <row r="33" spans="1:26" s="1958" customFormat="1" ht="69.8" customHeight="1">
      <c r="A33" s="1542">
        <v>29</v>
      </c>
      <c r="B33" s="1495" t="s">
        <v>125</v>
      </c>
      <c r="C33" s="1494">
        <v>1300</v>
      </c>
      <c r="D33" s="1495" t="s">
        <v>3892</v>
      </c>
      <c r="E33" s="1493" t="s">
        <v>22</v>
      </c>
      <c r="F33" s="1495" t="s">
        <v>3893</v>
      </c>
      <c r="G33" s="1972" t="s">
        <v>267</v>
      </c>
      <c r="H33" s="1495" t="s">
        <v>65</v>
      </c>
      <c r="I33" s="1495" t="s">
        <v>558</v>
      </c>
      <c r="J33" s="1600" t="s">
        <v>3894</v>
      </c>
      <c r="K33" s="1547"/>
      <c r="L33" s="1493"/>
      <c r="M33" s="1790"/>
      <c r="N33" s="1548"/>
      <c r="O33" s="1548"/>
      <c r="P33" s="1548"/>
      <c r="Q33" s="1548"/>
      <c r="R33" s="1548"/>
      <c r="S33" s="1548"/>
      <c r="T33" s="1548"/>
      <c r="U33" s="1548"/>
      <c r="V33" s="1548"/>
      <c r="W33" s="1548"/>
      <c r="X33" s="1548"/>
      <c r="Y33" s="1548"/>
      <c r="Z33" s="1747"/>
    </row>
    <row r="34" spans="1:26" s="1977" customFormat="1" ht="57.1" customHeight="1">
      <c r="A34" s="1542">
        <v>30</v>
      </c>
      <c r="B34" s="1495" t="s">
        <v>3895</v>
      </c>
      <c r="C34" s="1494">
        <v>3950</v>
      </c>
      <c r="D34" s="1495" t="s">
        <v>3892</v>
      </c>
      <c r="E34" s="1493" t="s">
        <v>24</v>
      </c>
      <c r="F34" s="1495" t="s">
        <v>3896</v>
      </c>
      <c r="G34" s="1972" t="s">
        <v>267</v>
      </c>
      <c r="H34" s="1495" t="s">
        <v>65</v>
      </c>
      <c r="I34" s="1495" t="s">
        <v>213</v>
      </c>
      <c r="J34" s="1600" t="s">
        <v>3897</v>
      </c>
      <c r="K34" s="1547"/>
      <c r="L34" s="1493"/>
      <c r="M34" s="1790"/>
      <c r="N34" s="1548"/>
      <c r="O34" s="1548"/>
      <c r="P34" s="1548"/>
      <c r="Q34" s="1548"/>
      <c r="R34" s="1548"/>
      <c r="S34" s="1548"/>
      <c r="T34" s="1548"/>
      <c r="U34" s="1548"/>
      <c r="V34" s="1548"/>
      <c r="W34" s="1548"/>
      <c r="X34" s="1548"/>
      <c r="Y34" s="1548"/>
      <c r="Z34" s="1747"/>
    </row>
    <row r="35" spans="1:26" s="1559" customFormat="1" ht="81.7" customHeight="1">
      <c r="A35" s="1542">
        <v>31</v>
      </c>
      <c r="B35" s="1493" t="s">
        <v>3898</v>
      </c>
      <c r="C35" s="1494">
        <v>8000</v>
      </c>
      <c r="D35" s="1495" t="s">
        <v>3889</v>
      </c>
      <c r="E35" s="1493" t="s">
        <v>3460</v>
      </c>
      <c r="F35" s="1495" t="s">
        <v>3899</v>
      </c>
      <c r="G35" s="1972" t="s">
        <v>267</v>
      </c>
      <c r="H35" s="1495" t="s">
        <v>65</v>
      </c>
      <c r="I35" s="1495" t="s">
        <v>3883</v>
      </c>
      <c r="J35" s="1600" t="s">
        <v>3900</v>
      </c>
      <c r="K35" s="1547" t="s">
        <v>3901</v>
      </c>
      <c r="L35" s="1493"/>
      <c r="M35" s="1790"/>
      <c r="N35" s="1548"/>
      <c r="O35" s="1548"/>
      <c r="P35" s="1548"/>
      <c r="Q35" s="1548"/>
      <c r="R35" s="1548"/>
      <c r="S35" s="1548"/>
      <c r="T35" s="1548"/>
      <c r="U35" s="1548"/>
      <c r="V35" s="1548"/>
      <c r="W35" s="1548"/>
      <c r="X35" s="1548"/>
      <c r="Y35" s="1548"/>
      <c r="Z35" s="1747"/>
    </row>
    <row r="36" spans="1:26" s="1945" customFormat="1" ht="57.1" customHeight="1">
      <c r="A36" s="1542">
        <v>32</v>
      </c>
      <c r="B36" s="1495" t="s">
        <v>2962</v>
      </c>
      <c r="C36" s="1494">
        <v>6000</v>
      </c>
      <c r="D36" s="1495" t="s">
        <v>3902</v>
      </c>
      <c r="E36" s="1493" t="s">
        <v>16</v>
      </c>
      <c r="F36" s="1495" t="s">
        <v>3903</v>
      </c>
      <c r="G36" s="1972" t="s">
        <v>267</v>
      </c>
      <c r="H36" s="1495" t="s">
        <v>65</v>
      </c>
      <c r="I36" s="1495" t="s">
        <v>213</v>
      </c>
      <c r="J36" s="1600" t="s">
        <v>3904</v>
      </c>
      <c r="K36" s="1547"/>
      <c r="L36" s="1493"/>
      <c r="M36" s="1790"/>
      <c r="N36" s="1548"/>
      <c r="O36" s="1548"/>
      <c r="P36" s="1548"/>
      <c r="Q36" s="1548"/>
      <c r="R36" s="1548"/>
      <c r="S36" s="1548"/>
      <c r="T36" s="1548"/>
      <c r="U36" s="1548"/>
      <c r="V36" s="1548"/>
      <c r="W36" s="1548"/>
      <c r="X36" s="1548"/>
      <c r="Y36" s="1548"/>
      <c r="Z36" s="1985"/>
    </row>
    <row r="37" spans="1:26" s="1548" customFormat="1" ht="64.55" customHeight="1">
      <c r="A37" s="1542">
        <v>33</v>
      </c>
      <c r="B37" s="1493" t="s">
        <v>3546</v>
      </c>
      <c r="C37" s="1494">
        <v>4400</v>
      </c>
      <c r="D37" s="1495" t="s">
        <v>3905</v>
      </c>
      <c r="E37" s="1493" t="s">
        <v>20</v>
      </c>
      <c r="F37" s="1495" t="s">
        <v>3906</v>
      </c>
      <c r="G37" s="1972" t="s">
        <v>267</v>
      </c>
      <c r="H37" s="1495" t="s">
        <v>65</v>
      </c>
      <c r="I37" s="1495" t="s">
        <v>294</v>
      </c>
      <c r="J37" s="1600" t="s">
        <v>3907</v>
      </c>
      <c r="K37" s="1547"/>
      <c r="L37" s="1493"/>
      <c r="M37" s="1790"/>
      <c r="Z37" s="1807"/>
    </row>
    <row r="38" spans="1:26" s="1883" customFormat="1" ht="64.55" customHeight="1">
      <c r="A38" s="1542">
        <v>34</v>
      </c>
      <c r="B38" s="1493" t="s">
        <v>3464</v>
      </c>
      <c r="C38" s="1494">
        <v>3700</v>
      </c>
      <c r="D38" s="1495" t="s">
        <v>3908</v>
      </c>
      <c r="E38" s="1493" t="s">
        <v>24</v>
      </c>
      <c r="F38" s="1495" t="s">
        <v>3909</v>
      </c>
      <c r="G38" s="1495"/>
      <c r="H38" s="1495" t="s">
        <v>65</v>
      </c>
      <c r="I38" s="1495" t="s">
        <v>558</v>
      </c>
      <c r="J38" s="1600" t="s">
        <v>3910</v>
      </c>
      <c r="K38" s="1547"/>
      <c r="L38" s="1493"/>
      <c r="M38" s="1790"/>
      <c r="N38" s="1548"/>
      <c r="O38" s="1548"/>
      <c r="P38" s="1548"/>
      <c r="Q38" s="1548"/>
      <c r="R38" s="1548"/>
      <c r="S38" s="1548"/>
      <c r="T38" s="1548"/>
      <c r="U38" s="1548"/>
      <c r="V38" s="1548"/>
      <c r="W38" s="1548"/>
      <c r="X38" s="1548"/>
      <c r="Y38" s="1548"/>
      <c r="Z38" s="1982"/>
    </row>
    <row r="39" spans="1:26" s="1548" customFormat="1" ht="140.94999999999999" customHeight="1">
      <c r="A39" s="1542">
        <v>35</v>
      </c>
      <c r="B39" s="1493" t="s">
        <v>2968</v>
      </c>
      <c r="C39" s="1494">
        <v>7000</v>
      </c>
      <c r="D39" s="1495" t="s">
        <v>3911</v>
      </c>
      <c r="E39" s="1493" t="s">
        <v>16</v>
      </c>
      <c r="F39" s="1495" t="s">
        <v>3912</v>
      </c>
      <c r="G39" s="1495"/>
      <c r="H39" s="1495" t="s">
        <v>65</v>
      </c>
      <c r="I39" s="1495" t="s">
        <v>213</v>
      </c>
      <c r="J39" s="1600" t="s">
        <v>3913</v>
      </c>
      <c r="K39" s="1547"/>
      <c r="L39" s="1493"/>
      <c r="M39" s="1790"/>
      <c r="Z39" s="1807"/>
    </row>
    <row r="40" spans="1:26" s="1777" customFormat="1" ht="67.599999999999994" customHeight="1">
      <c r="A40" s="738">
        <v>36</v>
      </c>
      <c r="B40" s="102"/>
      <c r="C40" s="1894"/>
      <c r="D40" s="109"/>
      <c r="E40" s="102"/>
      <c r="F40" s="109"/>
      <c r="G40" s="109"/>
      <c r="H40" s="109"/>
      <c r="I40" s="109"/>
      <c r="J40" s="696"/>
      <c r="K40" s="143"/>
      <c r="L40" s="102"/>
      <c r="M40" s="1853"/>
      <c r="Z40" s="1986"/>
    </row>
    <row r="41" spans="1:26" s="1777" customFormat="1" ht="95.95" customHeight="1">
      <c r="A41" s="738">
        <v>37</v>
      </c>
      <c r="B41" s="102"/>
      <c r="C41" s="1167"/>
      <c r="D41" s="109"/>
      <c r="E41" s="102"/>
      <c r="F41" s="109"/>
      <c r="G41" s="109"/>
      <c r="H41" s="109"/>
      <c r="I41" s="109"/>
      <c r="J41" s="696"/>
      <c r="K41" s="143"/>
      <c r="L41" s="102"/>
      <c r="M41" s="1853"/>
      <c r="Z41" s="1986"/>
    </row>
    <row r="42" spans="1:26" s="1777" customFormat="1" ht="81.7" customHeight="1">
      <c r="A42" s="738">
        <v>38</v>
      </c>
      <c r="B42" s="102"/>
      <c r="C42" s="1167"/>
      <c r="D42" s="109"/>
      <c r="E42" s="102"/>
      <c r="F42" s="109"/>
      <c r="G42" s="109"/>
      <c r="H42" s="109"/>
      <c r="I42" s="109"/>
      <c r="J42" s="696"/>
      <c r="K42" s="143"/>
      <c r="L42" s="102"/>
      <c r="M42" s="1853"/>
      <c r="Z42" s="1986"/>
    </row>
    <row r="43" spans="1:26" s="1777" customFormat="1" ht="81.7" customHeight="1">
      <c r="A43" s="738">
        <v>39</v>
      </c>
      <c r="B43" s="102"/>
      <c r="C43" s="1167"/>
      <c r="D43" s="109"/>
      <c r="E43" s="102"/>
      <c r="F43" s="109"/>
      <c r="G43" s="109"/>
      <c r="H43" s="109"/>
      <c r="I43" s="109"/>
      <c r="J43" s="696"/>
      <c r="K43" s="143"/>
      <c r="L43" s="102"/>
      <c r="M43" s="1853"/>
      <c r="Z43" s="1986"/>
    </row>
    <row r="44" spans="1:26" s="1777" customFormat="1" ht="77.3" customHeight="1">
      <c r="A44" s="102">
        <v>40</v>
      </c>
      <c r="Z44" s="1986"/>
    </row>
    <row r="45" spans="1:26" s="1777" customFormat="1" ht="72" customHeight="1">
      <c r="A45" s="102">
        <v>41</v>
      </c>
      <c r="Z45" s="1986"/>
    </row>
    <row r="46" spans="1:26" ht="58.6"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6"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6"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6"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6"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6"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6"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6"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6"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2" priority="5"/>
  </conditionalFormatting>
  <conditionalFormatting sqref="A4:A5">
    <cfRule type="duplicateValues" dxfId="451" priority="4"/>
  </conditionalFormatting>
  <conditionalFormatting sqref="B4:B5">
    <cfRule type="duplicateValues" dxfId="450" priority="1"/>
    <cfRule type="duplicateValues" dxfId="449" priority="2"/>
    <cfRule type="duplicateValues" dxfId="448"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6" customHeight="1">
      <c r="B1" s="10"/>
      <c r="C1" s="3671"/>
      <c r="D1" s="3671"/>
      <c r="E1" s="3671"/>
      <c r="F1" s="3671"/>
      <c r="G1" s="3671"/>
      <c r="H1" s="3671"/>
      <c r="I1" s="3671"/>
      <c r="J1" s="3671"/>
      <c r="K1" s="3671"/>
      <c r="M1" s="1848"/>
    </row>
    <row r="2" spans="1:14" ht="41.95" customHeight="1">
      <c r="A2" s="3755" t="s">
        <v>3428</v>
      </c>
      <c r="B2" s="3755"/>
      <c r="C2" s="3755"/>
      <c r="D2" s="3755"/>
      <c r="E2" s="3755"/>
      <c r="F2" s="3755"/>
      <c r="G2" s="3755"/>
      <c r="H2" s="3755"/>
      <c r="I2" s="3755"/>
      <c r="J2" s="3755"/>
      <c r="K2" s="3756"/>
      <c r="L2" s="1905"/>
      <c r="M2" s="1905"/>
      <c r="N2" s="287"/>
    </row>
    <row r="3" spans="1:14" ht="37.549999999999997" customHeight="1">
      <c r="A3" s="3754" t="s">
        <v>3429</v>
      </c>
      <c r="B3" s="3754"/>
      <c r="C3" s="1950">
        <f>SUM(C5:C157)</f>
        <v>187725</v>
      </c>
      <c r="D3" s="1932"/>
      <c r="E3" s="1951"/>
      <c r="F3" s="1932"/>
      <c r="G3" s="1932"/>
      <c r="H3" s="1932"/>
      <c r="I3" s="1932"/>
      <c r="J3" s="1934">
        <f ca="1">TODAY()</f>
        <v>45988</v>
      </c>
      <c r="K3" s="1622"/>
      <c r="L3" s="1952"/>
      <c r="M3" s="1951"/>
      <c r="N3" s="287"/>
    </row>
    <row r="4" spans="1:14" s="1149" customFormat="1" ht="53.35" customHeight="1">
      <c r="A4" s="1817" t="s">
        <v>48</v>
      </c>
      <c r="B4" s="1818" t="s">
        <v>49</v>
      </c>
      <c r="C4" s="1948" t="s">
        <v>50</v>
      </c>
      <c r="D4" s="1818" t="s">
        <v>3573</v>
      </c>
      <c r="E4" s="1818" t="s">
        <v>52</v>
      </c>
      <c r="F4" s="1818" t="s">
        <v>3574</v>
      </c>
      <c r="G4" s="1818" t="s">
        <v>54</v>
      </c>
      <c r="H4" s="1818" t="s">
        <v>55</v>
      </c>
      <c r="I4" s="1818" t="s">
        <v>56</v>
      </c>
      <c r="J4" s="1818" t="s">
        <v>57</v>
      </c>
      <c r="K4" s="1818" t="s">
        <v>58</v>
      </c>
      <c r="L4" s="1818" t="s">
        <v>59</v>
      </c>
      <c r="M4" s="1949" t="s">
        <v>60</v>
      </c>
      <c r="N4" s="1820" t="e">
        <f>SUM(#REF!)</f>
        <v>#REF!</v>
      </c>
    </row>
    <row r="5" spans="1:14" s="1548" customFormat="1" ht="67.599999999999994" customHeight="1">
      <c r="A5" s="1542" cm="1">
        <f t="array" ref="A5:A49">_xlfn.SEQUENCE(45,1,1,)</f>
        <v>1</v>
      </c>
      <c r="B5" s="1493" t="s">
        <v>3754</v>
      </c>
      <c r="C5" s="1901">
        <v>4450</v>
      </c>
      <c r="D5" s="1495" t="s">
        <v>3914</v>
      </c>
      <c r="E5" s="1493" t="s">
        <v>22</v>
      </c>
      <c r="F5" s="1495" t="s">
        <v>3915</v>
      </c>
      <c r="G5" s="1495" t="s">
        <v>267</v>
      </c>
      <c r="H5" s="1495" t="s">
        <v>65</v>
      </c>
      <c r="I5" s="1495" t="s">
        <v>558</v>
      </c>
      <c r="J5" s="1600" t="s">
        <v>3916</v>
      </c>
      <c r="K5" s="1843"/>
      <c r="L5" s="1493"/>
      <c r="M5" s="1790"/>
    </row>
    <row r="6" spans="1:14" s="1548" customFormat="1" ht="57.1" customHeight="1">
      <c r="A6" s="1542">
        <v>2</v>
      </c>
      <c r="B6" s="1493" t="s">
        <v>114</v>
      </c>
      <c r="C6" s="1901">
        <v>3720</v>
      </c>
      <c r="D6" s="1495" t="s">
        <v>3917</v>
      </c>
      <c r="E6" s="1493" t="s">
        <v>18</v>
      </c>
      <c r="F6" s="1495" t="s">
        <v>3918</v>
      </c>
      <c r="G6" s="1495" t="s">
        <v>267</v>
      </c>
      <c r="H6" s="1495" t="s">
        <v>65</v>
      </c>
      <c r="I6" s="1495" t="s">
        <v>558</v>
      </c>
      <c r="J6" s="1600" t="s">
        <v>3919</v>
      </c>
      <c r="K6" s="1843"/>
      <c r="L6" s="1493"/>
      <c r="M6" s="1790"/>
    </row>
    <row r="7" spans="1:14" s="1548" customFormat="1" ht="63.7" customHeight="1">
      <c r="A7" s="1542">
        <v>3</v>
      </c>
      <c r="B7" s="1493" t="s">
        <v>134</v>
      </c>
      <c r="C7" s="1901">
        <v>2950</v>
      </c>
      <c r="D7" s="1495" t="s">
        <v>3920</v>
      </c>
      <c r="E7" s="1493" t="s">
        <v>22</v>
      </c>
      <c r="F7" s="1495" t="s">
        <v>3918</v>
      </c>
      <c r="G7" s="1495" t="s">
        <v>267</v>
      </c>
      <c r="H7" s="1495" t="s">
        <v>65</v>
      </c>
      <c r="I7" s="1495" t="s">
        <v>294</v>
      </c>
      <c r="J7" s="1496" t="s">
        <v>3921</v>
      </c>
      <c r="K7" s="1843"/>
      <c r="L7" s="1493"/>
      <c r="M7" s="1790"/>
    </row>
    <row r="8" spans="1:14" s="1548" customFormat="1" ht="57.1" customHeight="1">
      <c r="A8" s="1542">
        <v>4</v>
      </c>
      <c r="B8" s="1493" t="s">
        <v>3499</v>
      </c>
      <c r="C8" s="1901">
        <v>4000</v>
      </c>
      <c r="D8" s="1495" t="s">
        <v>3922</v>
      </c>
      <c r="E8" s="1493" t="s">
        <v>20</v>
      </c>
      <c r="F8" s="1495" t="s">
        <v>3923</v>
      </c>
      <c r="G8" s="1495" t="s">
        <v>267</v>
      </c>
      <c r="H8" s="1495" t="s">
        <v>65</v>
      </c>
      <c r="I8" s="1495" t="s">
        <v>142</v>
      </c>
      <c r="J8" s="1496" t="s">
        <v>3924</v>
      </c>
      <c r="K8" s="1843"/>
      <c r="L8" s="1493"/>
      <c r="M8" s="1790"/>
    </row>
    <row r="9" spans="1:14" s="1958" customFormat="1" ht="72.7" customHeight="1">
      <c r="A9" s="1542">
        <v>5</v>
      </c>
      <c r="B9" s="1493" t="s">
        <v>97</v>
      </c>
      <c r="C9" s="1901">
        <v>4430</v>
      </c>
      <c r="D9" s="1495" t="s">
        <v>3925</v>
      </c>
      <c r="E9" s="1493" t="s">
        <v>22</v>
      </c>
      <c r="F9" s="1495" t="s">
        <v>3926</v>
      </c>
      <c r="G9" s="1495" t="s">
        <v>267</v>
      </c>
      <c r="H9" s="1495" t="s">
        <v>65</v>
      </c>
      <c r="I9" s="1495" t="s">
        <v>558</v>
      </c>
      <c r="J9" s="1496" t="s">
        <v>3927</v>
      </c>
      <c r="K9" s="1843"/>
      <c r="L9" s="1493"/>
      <c r="M9" s="1790"/>
      <c r="N9" s="1548"/>
    </row>
    <row r="10" spans="1:14" ht="65.25" customHeight="1">
      <c r="A10" s="1542">
        <v>6</v>
      </c>
      <c r="B10" s="1493" t="s">
        <v>3468</v>
      </c>
      <c r="C10" s="1901">
        <v>3000</v>
      </c>
      <c r="D10" s="1495" t="s">
        <v>3928</v>
      </c>
      <c r="E10" s="1493" t="s">
        <v>3929</v>
      </c>
      <c r="F10" s="1495" t="s">
        <v>3930</v>
      </c>
      <c r="G10" s="1495" t="s">
        <v>267</v>
      </c>
      <c r="H10" s="1495" t="s">
        <v>65</v>
      </c>
      <c r="I10" s="1495" t="s">
        <v>3931</v>
      </c>
      <c r="J10" s="1496" t="s">
        <v>263</v>
      </c>
      <c r="K10" s="1843"/>
      <c r="L10" s="1493"/>
      <c r="M10" s="1790"/>
      <c r="N10" s="1548"/>
    </row>
    <row r="11" spans="1:14" s="1467" customFormat="1" ht="65.25" customHeight="1">
      <c r="A11" s="1542">
        <v>7</v>
      </c>
      <c r="B11" s="1493" t="s">
        <v>3895</v>
      </c>
      <c r="C11" s="1901">
        <v>4000</v>
      </c>
      <c r="D11" s="1495" t="s">
        <v>3932</v>
      </c>
      <c r="E11" s="1493" t="s">
        <v>26</v>
      </c>
      <c r="F11" s="1495" t="s">
        <v>3933</v>
      </c>
      <c r="G11" s="1495" t="s">
        <v>267</v>
      </c>
      <c r="H11" s="1495" t="s">
        <v>65</v>
      </c>
      <c r="I11" s="1495" t="s">
        <v>558</v>
      </c>
      <c r="J11" s="1605" t="s">
        <v>3934</v>
      </c>
      <c r="K11" s="1860"/>
      <c r="L11" s="1493"/>
      <c r="M11" s="1790"/>
      <c r="N11" s="1548"/>
    </row>
    <row r="12" spans="1:14" s="1548" customFormat="1" ht="59.95" customHeight="1">
      <c r="A12" s="1542">
        <v>8</v>
      </c>
      <c r="B12" s="1493" t="s">
        <v>3935</v>
      </c>
      <c r="C12" s="1901">
        <v>5100</v>
      </c>
      <c r="D12" s="1495" t="s">
        <v>3936</v>
      </c>
      <c r="E12" s="1493" t="s">
        <v>38</v>
      </c>
      <c r="F12" s="1495" t="s">
        <v>3937</v>
      </c>
      <c r="G12" s="1495" t="s">
        <v>267</v>
      </c>
      <c r="H12" s="1495" t="s">
        <v>3462</v>
      </c>
      <c r="I12" s="1773" t="s">
        <v>3883</v>
      </c>
      <c r="J12" s="1496" t="s">
        <v>3938</v>
      </c>
      <c r="K12" s="1938"/>
      <c r="L12" s="1493"/>
      <c r="M12" s="1790"/>
      <c r="N12" s="1964"/>
    </row>
    <row r="13" spans="1:14" s="432" customFormat="1" ht="153" customHeight="1">
      <c r="A13" s="1542">
        <v>9</v>
      </c>
      <c r="B13" s="1493" t="s">
        <v>3454</v>
      </c>
      <c r="C13" s="1901">
        <v>24000</v>
      </c>
      <c r="D13" s="1495" t="s">
        <v>3939</v>
      </c>
      <c r="E13" s="1493" t="s">
        <v>14</v>
      </c>
      <c r="F13" s="1495" t="s">
        <v>3940</v>
      </c>
      <c r="G13" s="1495" t="s">
        <v>267</v>
      </c>
      <c r="H13" s="1495" t="s">
        <v>65</v>
      </c>
      <c r="I13" s="1773" t="s">
        <v>213</v>
      </c>
      <c r="J13" s="1496" t="s">
        <v>3941</v>
      </c>
      <c r="K13" s="1938"/>
      <c r="L13" s="1493"/>
      <c r="M13" s="1790"/>
      <c r="N13" s="1964"/>
    </row>
    <row r="14" spans="1:14" s="1467" customFormat="1" ht="95.3" customHeight="1">
      <c r="A14" s="1542">
        <v>10</v>
      </c>
      <c r="B14" s="1493" t="s">
        <v>2956</v>
      </c>
      <c r="C14" s="1901">
        <v>3200</v>
      </c>
      <c r="D14" s="1495" t="s">
        <v>3942</v>
      </c>
      <c r="E14" s="1493" t="s">
        <v>24</v>
      </c>
      <c r="F14" s="1495" t="s">
        <v>3943</v>
      </c>
      <c r="G14" s="1495" t="s">
        <v>267</v>
      </c>
      <c r="H14" s="1495" t="s">
        <v>65</v>
      </c>
      <c r="I14" s="1773" t="s">
        <v>558</v>
      </c>
      <c r="J14" s="1496" t="s">
        <v>3944</v>
      </c>
      <c r="K14" s="1938"/>
      <c r="L14" s="1493"/>
      <c r="M14" s="1790"/>
      <c r="N14" s="1964"/>
    </row>
    <row r="15" spans="1:14" s="1467" customFormat="1" ht="77.95" customHeight="1">
      <c r="A15" s="1542">
        <v>11</v>
      </c>
      <c r="B15" s="1493" t="s">
        <v>134</v>
      </c>
      <c r="C15" s="1901">
        <v>2950</v>
      </c>
      <c r="D15" s="1495" t="s">
        <v>3932</v>
      </c>
      <c r="E15" s="1493" t="s">
        <v>22</v>
      </c>
      <c r="F15" s="1495" t="s">
        <v>3945</v>
      </c>
      <c r="G15" s="1495" t="s">
        <v>267</v>
      </c>
      <c r="H15" s="1495" t="s">
        <v>65</v>
      </c>
      <c r="I15" s="1773" t="s">
        <v>558</v>
      </c>
      <c r="J15" s="1496" t="s">
        <v>3946</v>
      </c>
      <c r="K15" s="1938"/>
      <c r="L15" s="1493"/>
      <c r="M15" s="1790"/>
      <c r="N15" s="1964"/>
    </row>
    <row r="16" spans="1:14" s="1467" customFormat="1" ht="81" customHeight="1">
      <c r="A16" s="1542">
        <v>12</v>
      </c>
      <c r="B16" s="1493" t="s">
        <v>3947</v>
      </c>
      <c r="C16" s="1901">
        <v>4350</v>
      </c>
      <c r="D16" s="1495" t="s">
        <v>3948</v>
      </c>
      <c r="E16" s="1493" t="s">
        <v>22</v>
      </c>
      <c r="F16" s="1495" t="s">
        <v>3949</v>
      </c>
      <c r="G16" s="1495" t="s">
        <v>267</v>
      </c>
      <c r="H16" s="1495" t="s">
        <v>65</v>
      </c>
      <c r="I16" s="1773" t="s">
        <v>558</v>
      </c>
      <c r="J16" s="1496" t="s">
        <v>3950</v>
      </c>
      <c r="K16" s="1938"/>
      <c r="L16" s="1493"/>
      <c r="M16" s="1790"/>
      <c r="N16" s="1964"/>
    </row>
    <row r="17" spans="1:15" s="432" customFormat="1" ht="86.3" customHeight="1">
      <c r="A17" s="1542">
        <v>13</v>
      </c>
      <c r="B17" s="1493" t="s">
        <v>139</v>
      </c>
      <c r="C17" s="1901">
        <v>4150</v>
      </c>
      <c r="D17" s="1495" t="s">
        <v>3951</v>
      </c>
      <c r="E17" s="1493" t="s">
        <v>24</v>
      </c>
      <c r="F17" s="1495" t="s">
        <v>3952</v>
      </c>
      <c r="G17" s="1495" t="s">
        <v>267</v>
      </c>
      <c r="H17" s="1495" t="s">
        <v>65</v>
      </c>
      <c r="I17" s="1773" t="s">
        <v>213</v>
      </c>
      <c r="J17" s="1496" t="s">
        <v>3953</v>
      </c>
      <c r="K17" s="1938"/>
      <c r="L17" s="1493"/>
      <c r="M17" s="1790"/>
      <c r="N17" s="1964"/>
    </row>
    <row r="18" spans="1:15" ht="69.8" customHeight="1">
      <c r="A18" s="1542">
        <v>14</v>
      </c>
      <c r="B18" s="1493" t="s">
        <v>3508</v>
      </c>
      <c r="C18" s="1901">
        <v>4280</v>
      </c>
      <c r="D18" s="1495" t="s">
        <v>3954</v>
      </c>
      <c r="E18" s="1493" t="s">
        <v>22</v>
      </c>
      <c r="F18" s="1495" t="s">
        <v>3955</v>
      </c>
      <c r="G18" s="1495" t="s">
        <v>267</v>
      </c>
      <c r="H18" s="1495" t="s">
        <v>65</v>
      </c>
      <c r="I18" s="1773" t="s">
        <v>213</v>
      </c>
      <c r="J18" s="1496" t="s">
        <v>3956</v>
      </c>
      <c r="K18" s="1938"/>
      <c r="L18" s="1493"/>
      <c r="M18" s="1790"/>
      <c r="N18" s="1964"/>
    </row>
    <row r="19" spans="1:15" s="432" customFormat="1" ht="63.7" customHeight="1">
      <c r="A19" s="1542">
        <v>15</v>
      </c>
      <c r="B19" s="1493" t="s">
        <v>258</v>
      </c>
      <c r="C19" s="1901">
        <v>4250</v>
      </c>
      <c r="D19" s="1495" t="s">
        <v>3957</v>
      </c>
      <c r="E19" s="1493" t="s">
        <v>16</v>
      </c>
      <c r="F19" s="1495" t="s">
        <v>3958</v>
      </c>
      <c r="G19" s="1495" t="s">
        <v>267</v>
      </c>
      <c r="H19" s="1495" t="s">
        <v>65</v>
      </c>
      <c r="I19" s="1773" t="s">
        <v>558</v>
      </c>
      <c r="J19" s="1496" t="s">
        <v>3959</v>
      </c>
      <c r="K19" s="1938"/>
      <c r="L19" s="1493"/>
      <c r="M19" s="1790"/>
      <c r="N19" s="1964"/>
    </row>
    <row r="20" spans="1:15" ht="68.3" customHeight="1">
      <c r="A20" s="1542">
        <v>16</v>
      </c>
      <c r="B20" s="1493" t="s">
        <v>252</v>
      </c>
      <c r="C20" s="1901">
        <v>3950</v>
      </c>
      <c r="D20" s="1495" t="s">
        <v>3960</v>
      </c>
      <c r="E20" s="1493" t="s">
        <v>20</v>
      </c>
      <c r="F20" s="1495" t="s">
        <v>3961</v>
      </c>
      <c r="G20" s="1495" t="s">
        <v>267</v>
      </c>
      <c r="H20" s="1495" t="s">
        <v>65</v>
      </c>
      <c r="I20" s="1773" t="s">
        <v>142</v>
      </c>
      <c r="J20" s="1496" t="s">
        <v>3962</v>
      </c>
      <c r="K20" s="1938"/>
      <c r="L20" s="1493"/>
      <c r="M20" s="1790"/>
      <c r="N20" s="1964"/>
    </row>
    <row r="21" spans="1:15" s="1548" customFormat="1" ht="95.3" customHeight="1">
      <c r="A21" s="1542">
        <v>17</v>
      </c>
      <c r="B21" s="1493" t="s">
        <v>3963</v>
      </c>
      <c r="C21" s="1901">
        <v>7250</v>
      </c>
      <c r="D21" s="1495" t="s">
        <v>3964</v>
      </c>
      <c r="E21" s="1493" t="s">
        <v>16</v>
      </c>
      <c r="F21" s="1748" t="s">
        <v>3965</v>
      </c>
      <c r="G21" s="1495" t="s">
        <v>267</v>
      </c>
      <c r="H21" s="1495" t="s">
        <v>65</v>
      </c>
      <c r="I21" s="1773" t="s">
        <v>558</v>
      </c>
      <c r="J21" s="1496" t="s">
        <v>3966</v>
      </c>
      <c r="K21" s="1938"/>
      <c r="L21" s="1493"/>
      <c r="M21" s="1790"/>
      <c r="N21" s="1964"/>
    </row>
    <row r="22" spans="1:15" s="432" customFormat="1" ht="65.25" customHeight="1">
      <c r="A22" s="1542">
        <v>18</v>
      </c>
      <c r="B22" s="1493" t="s">
        <v>92</v>
      </c>
      <c r="C22" s="1901">
        <v>4250</v>
      </c>
      <c r="D22" s="1495" t="s">
        <v>3967</v>
      </c>
      <c r="E22" s="1493" t="s">
        <v>16</v>
      </c>
      <c r="F22" s="1748" t="s">
        <v>3968</v>
      </c>
      <c r="G22" s="1495" t="s">
        <v>267</v>
      </c>
      <c r="H22" s="1495" t="s">
        <v>65</v>
      </c>
      <c r="I22" s="1773" t="s">
        <v>213</v>
      </c>
      <c r="J22" s="1496" t="s">
        <v>3969</v>
      </c>
      <c r="K22" s="1938" t="s">
        <v>3970</v>
      </c>
      <c r="L22" s="1493"/>
      <c r="M22" s="1790"/>
      <c r="N22" s="1964"/>
    </row>
    <row r="23" spans="1:15" s="432" customFormat="1" ht="79.5" customHeight="1">
      <c r="A23" s="1542">
        <v>19</v>
      </c>
      <c r="B23" s="1493" t="s">
        <v>158</v>
      </c>
      <c r="C23" s="1901">
        <v>3950</v>
      </c>
      <c r="D23" s="1495" t="s">
        <v>3971</v>
      </c>
      <c r="E23" s="1493" t="s">
        <v>22</v>
      </c>
      <c r="F23" s="1748" t="s">
        <v>3972</v>
      </c>
      <c r="G23" s="1495" t="s">
        <v>267</v>
      </c>
      <c r="H23" s="1495" t="s">
        <v>65</v>
      </c>
      <c r="I23" s="1773" t="s">
        <v>106</v>
      </c>
      <c r="J23" s="1496" t="s">
        <v>3973</v>
      </c>
      <c r="K23" s="1938" t="s">
        <v>3970</v>
      </c>
      <c r="L23" s="1493"/>
      <c r="M23" s="1790"/>
      <c r="N23" s="1964"/>
    </row>
    <row r="24" spans="1:15" s="1777" customFormat="1" ht="71.349999999999994" customHeight="1">
      <c r="A24" s="1542">
        <v>20</v>
      </c>
      <c r="B24" s="1493" t="s">
        <v>3432</v>
      </c>
      <c r="C24" s="1901">
        <v>3300</v>
      </c>
      <c r="D24" s="1495" t="s">
        <v>3974</v>
      </c>
      <c r="E24" s="1493" t="s">
        <v>24</v>
      </c>
      <c r="F24" s="1748" t="s">
        <v>3975</v>
      </c>
      <c r="G24" s="1495" t="s">
        <v>267</v>
      </c>
      <c r="H24" s="1495" t="s">
        <v>65</v>
      </c>
      <c r="I24" s="1773" t="s">
        <v>142</v>
      </c>
      <c r="J24" s="1496" t="s">
        <v>3976</v>
      </c>
      <c r="K24" s="1938"/>
      <c r="L24" s="1493"/>
      <c r="M24" s="1790"/>
      <c r="N24" s="1964"/>
    </row>
    <row r="25" spans="1:15" s="1777" customFormat="1" ht="88.5" customHeight="1">
      <c r="A25" s="1542">
        <v>21</v>
      </c>
      <c r="B25" s="1493" t="s">
        <v>3747</v>
      </c>
      <c r="C25" s="1901">
        <v>6000</v>
      </c>
      <c r="D25" s="1495" t="s">
        <v>3977</v>
      </c>
      <c r="E25" s="1493" t="s">
        <v>16</v>
      </c>
      <c r="F25" s="1748" t="s">
        <v>3978</v>
      </c>
      <c r="G25" s="1495" t="s">
        <v>267</v>
      </c>
      <c r="H25" s="1495" t="s">
        <v>65</v>
      </c>
      <c r="I25" s="1773" t="s">
        <v>213</v>
      </c>
      <c r="J25" s="1496" t="s">
        <v>3979</v>
      </c>
      <c r="K25" s="1938"/>
      <c r="L25" s="1493"/>
      <c r="M25" s="1790"/>
      <c r="N25" s="1964"/>
    </row>
    <row r="26" spans="1:15" ht="86.3" customHeight="1">
      <c r="A26" s="1542">
        <v>22</v>
      </c>
      <c r="B26" s="1493" t="s">
        <v>3612</v>
      </c>
      <c r="C26" s="1901">
        <v>4300</v>
      </c>
      <c r="D26" s="1495" t="s">
        <v>3980</v>
      </c>
      <c r="E26" s="1493" t="s">
        <v>18</v>
      </c>
      <c r="F26" s="1748" t="s">
        <v>3981</v>
      </c>
      <c r="G26" s="1495" t="s">
        <v>267</v>
      </c>
      <c r="H26" s="1495" t="s">
        <v>65</v>
      </c>
      <c r="I26" s="1773" t="s">
        <v>558</v>
      </c>
      <c r="J26" s="1496" t="s">
        <v>3982</v>
      </c>
      <c r="K26" s="1938"/>
      <c r="L26" s="1493"/>
      <c r="M26" s="1790"/>
      <c r="N26" s="1964"/>
    </row>
    <row r="27" spans="1:15" s="1467" customFormat="1" ht="75.75" customHeight="1">
      <c r="A27" s="1542">
        <v>23</v>
      </c>
      <c r="B27" s="1493" t="s">
        <v>114</v>
      </c>
      <c r="C27" s="1901">
        <v>3720</v>
      </c>
      <c r="D27" s="1495" t="s">
        <v>3983</v>
      </c>
      <c r="E27" s="1935" t="s">
        <v>18</v>
      </c>
      <c r="F27" s="1495" t="s">
        <v>3984</v>
      </c>
      <c r="G27" s="1495" t="s">
        <v>267</v>
      </c>
      <c r="H27" s="1495" t="s">
        <v>65</v>
      </c>
      <c r="I27" s="1495" t="s">
        <v>558</v>
      </c>
      <c r="J27" s="1496" t="s">
        <v>3985</v>
      </c>
      <c r="K27" s="1860"/>
      <c r="L27" s="1493"/>
      <c r="M27" s="1790"/>
      <c r="N27" s="1548"/>
    </row>
    <row r="28" spans="1:15" s="1548" customFormat="1" ht="60.8" customHeight="1">
      <c r="A28" s="1542">
        <v>24</v>
      </c>
      <c r="B28" s="1493" t="s">
        <v>3986</v>
      </c>
      <c r="C28" s="1901">
        <v>7000</v>
      </c>
      <c r="D28" s="1495" t="s">
        <v>3987</v>
      </c>
      <c r="E28" s="1493" t="s">
        <v>2301</v>
      </c>
      <c r="F28" s="1495" t="s">
        <v>3988</v>
      </c>
      <c r="G28" s="1495" t="s">
        <v>267</v>
      </c>
      <c r="H28" s="1495" t="s">
        <v>3462</v>
      </c>
      <c r="I28" s="1773" t="s">
        <v>3989</v>
      </c>
      <c r="J28" s="1967" t="s">
        <v>3990</v>
      </c>
      <c r="K28" s="1547"/>
      <c r="L28" s="1941"/>
      <c r="M28" s="1882"/>
      <c r="N28" s="1919"/>
    </row>
    <row r="29" spans="1:15" s="1548" customFormat="1" ht="69.8" customHeight="1">
      <c r="A29" s="1542">
        <v>25</v>
      </c>
      <c r="B29" s="1493" t="s">
        <v>3499</v>
      </c>
      <c r="C29" s="1901">
        <v>4000</v>
      </c>
      <c r="D29" s="1495" t="s">
        <v>3991</v>
      </c>
      <c r="E29" s="1493" t="s">
        <v>20</v>
      </c>
      <c r="F29" s="1495"/>
      <c r="G29" s="1495" t="s">
        <v>267</v>
      </c>
      <c r="H29" s="1495" t="s">
        <v>65</v>
      </c>
      <c r="I29" s="1773" t="s">
        <v>117</v>
      </c>
      <c r="J29" s="1967" t="s">
        <v>3992</v>
      </c>
      <c r="K29" s="1547"/>
      <c r="L29" s="1941"/>
      <c r="M29" s="1968"/>
      <c r="N29" s="1964"/>
      <c r="O29" s="1807"/>
    </row>
    <row r="30" spans="1:15" s="1548" customFormat="1" ht="66.75" customHeight="1">
      <c r="A30" s="1542">
        <v>26</v>
      </c>
      <c r="B30" s="1493" t="s">
        <v>3440</v>
      </c>
      <c r="C30" s="1901">
        <v>8865</v>
      </c>
      <c r="D30" s="1495" t="s">
        <v>3993</v>
      </c>
      <c r="E30" s="1493" t="s">
        <v>16</v>
      </c>
      <c r="F30" s="1748" t="s">
        <v>3994</v>
      </c>
      <c r="G30" s="1495" t="s">
        <v>267</v>
      </c>
      <c r="H30" s="1495" t="s">
        <v>65</v>
      </c>
      <c r="I30" s="1773" t="s">
        <v>66</v>
      </c>
      <c r="J30" s="1995" t="s">
        <v>3995</v>
      </c>
      <c r="K30" s="1843"/>
      <c r="L30" s="1941"/>
      <c r="M30" s="1968"/>
      <c r="O30" s="1807"/>
    </row>
    <row r="31" spans="1:15" s="1548" customFormat="1" ht="156.75" customHeight="1">
      <c r="A31" s="1542">
        <v>27</v>
      </c>
      <c r="B31" s="1493" t="s">
        <v>3996</v>
      </c>
      <c r="C31" s="1901">
        <v>8350</v>
      </c>
      <c r="D31" s="1495" t="s">
        <v>3997</v>
      </c>
      <c r="E31" s="1493" t="s">
        <v>16</v>
      </c>
      <c r="F31" s="1493" t="s">
        <v>3998</v>
      </c>
      <c r="G31" s="1495" t="s">
        <v>267</v>
      </c>
      <c r="H31" s="1495" t="s">
        <v>65</v>
      </c>
      <c r="I31" s="1495" t="s">
        <v>558</v>
      </c>
      <c r="J31" s="1496" t="s">
        <v>3999</v>
      </c>
      <c r="K31" s="1843"/>
      <c r="L31" s="1493"/>
      <c r="M31" s="1790"/>
    </row>
    <row r="32" spans="1:15" s="1559" customFormat="1" ht="63.7" customHeight="1">
      <c r="A32" s="1553">
        <v>28</v>
      </c>
      <c r="B32" s="1545" t="s">
        <v>158</v>
      </c>
      <c r="C32" s="1913">
        <v>4000</v>
      </c>
      <c r="D32" s="1543" t="s">
        <v>3997</v>
      </c>
      <c r="E32" s="1545" t="s">
        <v>22</v>
      </c>
      <c r="F32" s="1545"/>
      <c r="G32" s="1495" t="s">
        <v>267</v>
      </c>
      <c r="H32" s="1543" t="s">
        <v>65</v>
      </c>
      <c r="I32" s="1543" t="s">
        <v>558</v>
      </c>
      <c r="J32" s="1546" t="s">
        <v>4000</v>
      </c>
      <c r="K32" s="1860"/>
      <c r="L32" s="1545"/>
      <c r="M32" s="1852"/>
    </row>
    <row r="33" spans="1:15" s="1548" customFormat="1" ht="86.3" customHeight="1">
      <c r="A33" s="1542">
        <v>29</v>
      </c>
      <c r="B33" s="1493" t="s">
        <v>3963</v>
      </c>
      <c r="C33" s="1901">
        <v>7200</v>
      </c>
      <c r="D33" s="1495" t="s">
        <v>3993</v>
      </c>
      <c r="E33" s="1493" t="s">
        <v>16</v>
      </c>
      <c r="F33" s="1495" t="s">
        <v>4001</v>
      </c>
      <c r="G33" s="1495" t="s">
        <v>267</v>
      </c>
      <c r="H33" s="1495" t="s">
        <v>65</v>
      </c>
      <c r="I33" s="1773" t="s">
        <v>213</v>
      </c>
      <c r="J33" s="1496" t="s">
        <v>4002</v>
      </c>
      <c r="K33" s="1771"/>
      <c r="L33" s="1493"/>
      <c r="M33" s="1790"/>
    </row>
    <row r="34" spans="1:15" s="1945" customFormat="1" ht="91.55" customHeight="1">
      <c r="A34" s="1553">
        <v>30</v>
      </c>
      <c r="B34" s="1545" t="s">
        <v>134</v>
      </c>
      <c r="C34" s="1913">
        <v>2950</v>
      </c>
      <c r="D34" s="1543" t="s">
        <v>4003</v>
      </c>
      <c r="E34" s="1545" t="s">
        <v>22</v>
      </c>
      <c r="F34" s="1543" t="s">
        <v>4004</v>
      </c>
      <c r="G34" s="1543" t="s">
        <v>267</v>
      </c>
      <c r="H34" s="1543" t="s">
        <v>65</v>
      </c>
      <c r="I34" s="1543" t="s">
        <v>558</v>
      </c>
      <c r="J34" s="1546" t="s">
        <v>4005</v>
      </c>
      <c r="K34" s="1936"/>
      <c r="L34" s="1545"/>
      <c r="M34" s="1852"/>
      <c r="N34" s="1559"/>
      <c r="O34" s="1559"/>
    </row>
    <row r="35" spans="1:15" s="1958" customFormat="1" ht="114.8" customHeight="1">
      <c r="A35" s="1553">
        <v>31</v>
      </c>
      <c r="B35" s="1545" t="s">
        <v>4006</v>
      </c>
      <c r="C35" s="1913">
        <v>4850</v>
      </c>
      <c r="D35" s="1543" t="s">
        <v>4007</v>
      </c>
      <c r="E35" s="1545" t="s">
        <v>3136</v>
      </c>
      <c r="F35" s="1543" t="s">
        <v>4008</v>
      </c>
      <c r="G35" s="1543" t="s">
        <v>267</v>
      </c>
      <c r="H35" s="1543" t="s">
        <v>65</v>
      </c>
      <c r="I35" s="1543" t="s">
        <v>3392</v>
      </c>
      <c r="J35" s="1546" t="s">
        <v>4009</v>
      </c>
      <c r="K35" s="1936"/>
      <c r="L35" s="1545"/>
      <c r="M35" s="1852"/>
      <c r="N35" s="1559"/>
      <c r="O35" s="1559"/>
    </row>
    <row r="36" spans="1:15" s="1883" customFormat="1" ht="59.3" customHeight="1">
      <c r="A36" s="1542">
        <v>32</v>
      </c>
      <c r="B36" s="1493" t="s">
        <v>3895</v>
      </c>
      <c r="C36" s="1901">
        <v>3940</v>
      </c>
      <c r="D36" s="1773" t="s">
        <v>4010</v>
      </c>
      <c r="E36" s="1493" t="s">
        <v>24</v>
      </c>
      <c r="F36" s="1568" t="s">
        <v>4011</v>
      </c>
      <c r="G36" s="1543" t="s">
        <v>267</v>
      </c>
      <c r="H36" s="1495" t="s">
        <v>65</v>
      </c>
      <c r="I36" s="1773" t="s">
        <v>213</v>
      </c>
      <c r="J36" s="1546" t="s">
        <v>4012</v>
      </c>
      <c r="K36" s="1771"/>
      <c r="L36" s="1493"/>
      <c r="M36" s="1790"/>
      <c r="N36" s="1548"/>
      <c r="O36" s="1548"/>
    </row>
    <row r="37" spans="1:15" s="1548" customFormat="1" ht="87.8" customHeight="1">
      <c r="A37" s="1542">
        <v>33</v>
      </c>
      <c r="B37" s="1493" t="s">
        <v>3436</v>
      </c>
      <c r="C37" s="1901">
        <v>10230</v>
      </c>
      <c r="D37" s="1495" t="s">
        <v>4013</v>
      </c>
      <c r="E37" s="1630" t="s">
        <v>18</v>
      </c>
      <c r="F37" s="1495" t="s">
        <v>4014</v>
      </c>
      <c r="G37" s="1543" t="s">
        <v>267</v>
      </c>
      <c r="H37" s="1495" t="s">
        <v>65</v>
      </c>
      <c r="I37" s="1773" t="s">
        <v>294</v>
      </c>
      <c r="J37" s="1600" t="s">
        <v>4015</v>
      </c>
      <c r="K37" s="1969"/>
      <c r="L37" s="1941"/>
      <c r="M37" s="1882"/>
      <c r="N37" s="1467"/>
    </row>
    <row r="38" spans="1:15" s="1548" customFormat="1" ht="74.25" customHeight="1">
      <c r="A38" s="1850">
        <v>34</v>
      </c>
      <c r="B38" s="1630" t="s">
        <v>4016</v>
      </c>
      <c r="C38" s="1915">
        <v>3550</v>
      </c>
      <c r="D38" s="1851" t="s">
        <v>3993</v>
      </c>
      <c r="E38" s="1630" t="s">
        <v>20</v>
      </c>
      <c r="F38" s="1875" t="s">
        <v>4017</v>
      </c>
      <c r="G38" s="1543" t="s">
        <v>267</v>
      </c>
      <c r="H38" s="1851" t="s">
        <v>65</v>
      </c>
      <c r="I38" s="1851" t="s">
        <v>558</v>
      </c>
      <c r="J38" s="1988" t="s">
        <v>4018</v>
      </c>
      <c r="K38" s="1938"/>
      <c r="L38" s="1630"/>
      <c r="M38" s="1882"/>
      <c r="N38" s="1883"/>
      <c r="O38" s="1883"/>
    </row>
    <row r="39" spans="1:15" s="1548" customFormat="1" ht="84.1" customHeight="1">
      <c r="A39" s="1542">
        <v>35</v>
      </c>
      <c r="B39" s="1493" t="s">
        <v>198</v>
      </c>
      <c r="C39" s="1901">
        <v>3240</v>
      </c>
      <c r="D39" s="1495" t="s">
        <v>4019</v>
      </c>
      <c r="E39" s="1935" t="s">
        <v>24</v>
      </c>
      <c r="F39" s="1495" t="s">
        <v>4020</v>
      </c>
      <c r="G39" s="1543" t="s">
        <v>267</v>
      </c>
      <c r="H39" s="1495" t="s">
        <v>65</v>
      </c>
      <c r="I39" s="1773" t="s">
        <v>213</v>
      </c>
      <c r="J39" s="1496" t="s">
        <v>4021</v>
      </c>
      <c r="K39" s="1771"/>
      <c r="L39" s="1493"/>
      <c r="M39" s="1790"/>
    </row>
    <row r="40" spans="1:15" s="1559" customFormat="1" ht="146.25" customHeight="1">
      <c r="A40" s="1553">
        <v>36</v>
      </c>
      <c r="B40" s="1545" t="s">
        <v>3499</v>
      </c>
      <c r="C40" s="1913">
        <v>4000</v>
      </c>
      <c r="D40" s="1899" t="s">
        <v>4022</v>
      </c>
      <c r="E40" s="1493" t="s">
        <v>20</v>
      </c>
      <c r="F40" s="1495" t="s">
        <v>4023</v>
      </c>
      <c r="G40" s="1543" t="s">
        <v>267</v>
      </c>
      <c r="H40" s="1543" t="s">
        <v>65</v>
      </c>
      <c r="I40" s="1543" t="s">
        <v>558</v>
      </c>
      <c r="J40" s="1605" t="s">
        <v>4024</v>
      </c>
      <c r="K40" s="1936"/>
      <c r="L40" s="1545"/>
      <c r="M40" s="1852"/>
    </row>
    <row r="41" spans="1:15" s="1623" customFormat="1" ht="66.75" customHeight="1">
      <c r="A41" s="1344">
        <v>37</v>
      </c>
      <c r="B41" s="144"/>
      <c r="C41" s="1922"/>
      <c r="D41" s="109"/>
      <c r="E41" s="875"/>
      <c r="F41" s="109"/>
      <c r="G41" s="109"/>
      <c r="H41" s="109"/>
      <c r="I41" s="106"/>
      <c r="J41" s="1923" t="s">
        <v>4025</v>
      </c>
      <c r="K41" s="1629"/>
      <c r="L41" s="144"/>
      <c r="M41" s="1924"/>
    </row>
    <row r="42" spans="1:15" s="1623" customFormat="1" ht="59.95" customHeight="1">
      <c r="A42" s="1344">
        <v>38</v>
      </c>
      <c r="B42" s="144"/>
      <c r="C42" s="1922"/>
      <c r="D42" s="110"/>
      <c r="E42" s="102"/>
      <c r="F42" s="1929"/>
      <c r="G42" s="109"/>
      <c r="H42" s="111"/>
      <c r="I42" s="111"/>
      <c r="J42" s="1923"/>
      <c r="K42" s="1629"/>
      <c r="L42" s="144"/>
      <c r="M42" s="1924"/>
    </row>
    <row r="43" spans="1:15" s="1777" customFormat="1" ht="59.95"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8" customHeight="1">
      <c r="A45" s="874">
        <v>41</v>
      </c>
      <c r="B45" s="112"/>
      <c r="C45" s="1925"/>
      <c r="D45" s="735"/>
      <c r="E45" s="875"/>
      <c r="F45" s="735"/>
      <c r="G45" s="109"/>
      <c r="H45" s="109"/>
      <c r="I45" s="109"/>
      <c r="J45" s="1928"/>
      <c r="K45" s="1927"/>
      <c r="L45" s="112"/>
      <c r="M45" s="1879"/>
    </row>
    <row r="46" spans="1:15" s="1880" customFormat="1" ht="67.599999999999994" customHeight="1">
      <c r="A46" s="874">
        <v>42</v>
      </c>
      <c r="B46" s="112"/>
      <c r="C46" s="1925"/>
      <c r="D46" s="735"/>
      <c r="E46" s="875"/>
      <c r="F46" s="735"/>
      <c r="G46" s="109"/>
      <c r="H46" s="735"/>
      <c r="I46" s="1926"/>
      <c r="J46" s="1877"/>
      <c r="K46" s="1927"/>
      <c r="L46" s="112"/>
      <c r="M46" s="1879"/>
    </row>
    <row r="47" spans="1:15" s="1777" customFormat="1" ht="63.7" customHeight="1">
      <c r="A47" s="738">
        <v>43</v>
      </c>
      <c r="B47" s="102"/>
      <c r="C47" s="1167"/>
      <c r="D47" s="109"/>
      <c r="E47" s="102"/>
      <c r="F47" s="109"/>
      <c r="G47" s="109"/>
      <c r="H47" s="111"/>
      <c r="I47" s="111"/>
      <c r="J47" s="696"/>
      <c r="K47" s="143"/>
      <c r="L47" s="102"/>
      <c r="M47" s="1853"/>
    </row>
    <row r="48" spans="1:15" s="1777" customFormat="1" ht="81.7" customHeight="1">
      <c r="A48" s="738">
        <v>44</v>
      </c>
      <c r="B48" s="1895"/>
      <c r="C48" s="1167"/>
      <c r="D48" s="109"/>
      <c r="E48" s="102"/>
      <c r="F48" s="109"/>
      <c r="G48" s="109"/>
      <c r="H48" s="111"/>
      <c r="I48" s="109"/>
      <c r="J48" s="696"/>
      <c r="K48" s="143"/>
      <c r="L48" s="102"/>
      <c r="M48" s="1853"/>
    </row>
    <row r="49" spans="1:13" s="1777" customFormat="1" ht="81.7" customHeight="1">
      <c r="A49" s="738">
        <v>45</v>
      </c>
      <c r="B49" s="102"/>
      <c r="C49" s="1894"/>
      <c r="D49" s="109"/>
      <c r="E49" s="102"/>
      <c r="F49" s="109"/>
      <c r="G49" s="109"/>
      <c r="H49" s="109"/>
      <c r="I49" s="109"/>
      <c r="J49" s="696"/>
      <c r="K49" s="143"/>
      <c r="L49" s="102"/>
      <c r="M49" s="1853"/>
    </row>
    <row r="50" spans="1:13" s="1777" customFormat="1" ht="68.3" customHeight="1">
      <c r="A50" s="738"/>
      <c r="B50" s="102"/>
      <c r="C50" s="1167"/>
      <c r="D50" s="109"/>
      <c r="E50" s="102"/>
      <c r="F50" s="109"/>
      <c r="G50" s="109"/>
      <c r="H50" s="109"/>
      <c r="I50" s="109"/>
      <c r="J50" s="696"/>
      <c r="K50" s="143"/>
      <c r="L50" s="102"/>
      <c r="M50" s="1853"/>
    </row>
    <row r="51" spans="1:13" s="1777" customFormat="1" ht="59.3" customHeight="1">
      <c r="A51" s="738"/>
      <c r="B51" s="102"/>
      <c r="C51" s="1167"/>
      <c r="D51" s="109"/>
      <c r="E51" s="102"/>
      <c r="F51" s="109"/>
      <c r="G51" s="109"/>
      <c r="H51" s="109"/>
      <c r="I51" s="109"/>
      <c r="J51" s="670"/>
      <c r="K51" s="143"/>
      <c r="L51" s="102"/>
      <c r="M51" s="1853"/>
    </row>
    <row r="52" spans="1:13" s="1777" customFormat="1" ht="69.8" customHeight="1">
      <c r="A52" s="738"/>
      <c r="B52" s="102"/>
      <c r="C52" s="1167"/>
      <c r="D52" s="109"/>
      <c r="E52" s="102"/>
      <c r="F52" s="109"/>
      <c r="G52" s="109"/>
      <c r="H52" s="109"/>
      <c r="I52" s="109"/>
      <c r="J52" s="696"/>
      <c r="K52" s="143"/>
      <c r="L52" s="102"/>
      <c r="M52" s="1853"/>
    </row>
    <row r="53" spans="1:13" s="1777" customFormat="1" ht="86.3"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5.95" customHeight="1">
      <c r="A56" s="738"/>
      <c r="B56" s="102"/>
      <c r="C56" s="1167"/>
      <c r="D56" s="109"/>
      <c r="E56" s="102"/>
      <c r="F56" s="109"/>
      <c r="G56" s="109"/>
      <c r="H56" s="109"/>
      <c r="I56" s="109"/>
      <c r="J56" s="696"/>
      <c r="K56" s="143"/>
      <c r="L56" s="102"/>
      <c r="M56" s="1853"/>
    </row>
    <row r="57" spans="1:13" s="1777" customFormat="1" ht="81.7" customHeight="1">
      <c r="A57" s="738"/>
      <c r="B57" s="102"/>
      <c r="C57" s="1167"/>
      <c r="D57" s="109"/>
      <c r="E57" s="102"/>
      <c r="F57" s="109"/>
      <c r="G57" s="109"/>
      <c r="H57" s="109"/>
      <c r="I57" s="109"/>
      <c r="J57" s="696"/>
      <c r="K57" s="143"/>
      <c r="L57" s="102"/>
      <c r="M57" s="1853"/>
    </row>
    <row r="58" spans="1:13" s="1777" customFormat="1" ht="81.7" customHeight="1">
      <c r="A58" s="738"/>
      <c r="B58" s="102"/>
      <c r="C58" s="1167"/>
      <c r="D58" s="109"/>
      <c r="E58" s="102"/>
      <c r="F58" s="109"/>
      <c r="G58" s="109"/>
      <c r="H58" s="109"/>
      <c r="I58" s="109"/>
      <c r="J58" s="696"/>
      <c r="K58" s="143"/>
      <c r="L58" s="102"/>
      <c r="M58" s="1853"/>
    </row>
    <row r="59" spans="1:13" s="1777" customFormat="1" ht="77.3" customHeight="1">
      <c r="A59" s="102"/>
    </row>
    <row r="60" spans="1:13" s="1777" customFormat="1" ht="72" customHeight="1">
      <c r="A60" s="102"/>
    </row>
    <row r="61" spans="1:13" s="1777" customFormat="1" ht="76.599999999999994" customHeight="1"/>
  </sheetData>
  <autoFilter ref="A4:P73" xr:uid="{00000000-0009-0000-0000-000001000000}"/>
  <mergeCells count="3">
    <mergeCell ref="C1:K1"/>
    <mergeCell ref="A2:K2"/>
    <mergeCell ref="A3:B3"/>
  </mergeCells>
  <conditionalFormatting sqref="A1:A3">
    <cfRule type="duplicateValues" dxfId="447" priority="5"/>
  </conditionalFormatting>
  <conditionalFormatting sqref="A4">
    <cfRule type="duplicateValues" dxfId="446" priority="4"/>
  </conditionalFormatting>
  <conditionalFormatting sqref="B4">
    <cfRule type="duplicateValues" dxfId="445" priority="1"/>
    <cfRule type="duplicateValues" dxfId="444" priority="2"/>
    <cfRule type="duplicateValues" dxfId="443"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topRight" activeCell="E39" sqref="E39"/>
      <selection pane="bottomLeft" activeCell="E39" sqref="E39"/>
      <selection pane="bottomRight" activeCell="E39" sqref="E39"/>
    </sheetView>
  </sheetViews>
  <sheetFormatPr defaultColWidth="9" defaultRowHeight="58.6"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6" customHeight="1">
      <c r="B1" s="10"/>
      <c r="C1" s="3757"/>
      <c r="D1" s="3757"/>
      <c r="E1" s="3757"/>
      <c r="F1" s="3757"/>
      <c r="G1" s="3757"/>
      <c r="H1" s="3757"/>
      <c r="I1" s="3757"/>
      <c r="J1" s="3757"/>
      <c r="K1" s="3757"/>
      <c r="M1" s="1848"/>
    </row>
    <row r="2" spans="1:14" ht="41.95" customHeight="1">
      <c r="A2" s="3758" t="s">
        <v>3428</v>
      </c>
      <c r="B2" s="3758"/>
      <c r="C2" s="3758"/>
      <c r="D2" s="3758"/>
      <c r="E2" s="3758"/>
      <c r="F2" s="3758"/>
      <c r="G2" s="3758"/>
      <c r="H2" s="3758"/>
      <c r="I2" s="3758"/>
      <c r="J2" s="3758"/>
      <c r="K2" s="3758"/>
      <c r="L2" s="1959"/>
      <c r="M2" s="1959"/>
      <c r="N2" s="218"/>
    </row>
    <row r="3" spans="1:14" ht="37.549999999999997" customHeight="1">
      <c r="A3" s="3759" t="s">
        <v>3429</v>
      </c>
      <c r="B3" s="3759"/>
      <c r="C3" s="1960">
        <f>SUM(C5:C159)</f>
        <v>267570</v>
      </c>
      <c r="D3" s="1815"/>
      <c r="E3" s="1961"/>
      <c r="F3" s="1815"/>
      <c r="G3" s="1815"/>
      <c r="H3" s="1815"/>
      <c r="I3" s="1815"/>
      <c r="J3" s="1816">
        <f ca="1">TODAY()</f>
        <v>45988</v>
      </c>
      <c r="K3" s="143"/>
      <c r="L3" s="1816"/>
      <c r="M3" s="1961"/>
      <c r="N3" s="218"/>
    </row>
    <row r="4" spans="1:14" s="1149" customFormat="1" ht="53.35" customHeight="1">
      <c r="A4" s="1817" t="s">
        <v>48</v>
      </c>
      <c r="B4" s="1818" t="s">
        <v>49</v>
      </c>
      <c r="C4" s="1948" t="s">
        <v>4026</v>
      </c>
      <c r="D4" s="1818" t="s">
        <v>3573</v>
      </c>
      <c r="E4" s="1818" t="s">
        <v>52</v>
      </c>
      <c r="F4" s="1818" t="s">
        <v>3574</v>
      </c>
      <c r="G4" s="1818" t="s">
        <v>54</v>
      </c>
      <c r="H4" s="1818" t="s">
        <v>55</v>
      </c>
      <c r="I4" s="1818" t="s">
        <v>56</v>
      </c>
      <c r="J4" s="1818" t="s">
        <v>57</v>
      </c>
      <c r="K4" s="1818" t="s">
        <v>58</v>
      </c>
      <c r="L4" s="1818" t="s">
        <v>59</v>
      </c>
      <c r="M4" s="1949" t="s">
        <v>60</v>
      </c>
      <c r="N4" s="1820" t="e">
        <f>SUM(#REF!)</f>
        <v>#REF!</v>
      </c>
    </row>
    <row r="5" spans="1:14" s="1883" customFormat="1" ht="88.5" customHeight="1">
      <c r="A5" s="1542" cm="1">
        <f t="array" ref="A5:A54">_xlfn.SEQUENCE(50,1,1,)</f>
        <v>1</v>
      </c>
      <c r="B5" s="1493" t="s">
        <v>114</v>
      </c>
      <c r="C5" s="1901">
        <v>3720</v>
      </c>
      <c r="D5" s="1495" t="s">
        <v>4027</v>
      </c>
      <c r="E5" s="1493" t="s">
        <v>192</v>
      </c>
      <c r="F5" s="1787" t="s">
        <v>4028</v>
      </c>
      <c r="G5" s="1495" t="s">
        <v>4029</v>
      </c>
      <c r="H5" s="1495" t="s">
        <v>65</v>
      </c>
      <c r="I5" s="1495" t="s">
        <v>213</v>
      </c>
      <c r="J5" s="1600" t="s">
        <v>4030</v>
      </c>
      <c r="K5" s="1547"/>
      <c r="L5" s="1493"/>
      <c r="M5" s="1790"/>
      <c r="N5" s="1548"/>
    </row>
    <row r="6" spans="1:14" s="1883" customFormat="1" ht="147.75" customHeight="1">
      <c r="A6" s="1542">
        <v>2</v>
      </c>
      <c r="B6" s="1493" t="s">
        <v>3203</v>
      </c>
      <c r="C6" s="1901">
        <v>10640</v>
      </c>
      <c r="D6" s="1495" t="s">
        <v>4031</v>
      </c>
      <c r="E6" s="1493" t="s">
        <v>38</v>
      </c>
      <c r="F6" s="1495" t="s">
        <v>675</v>
      </c>
      <c r="G6" s="1495" t="s">
        <v>4032</v>
      </c>
      <c r="H6" s="1495" t="s">
        <v>3462</v>
      </c>
      <c r="I6" s="1495" t="s">
        <v>3552</v>
      </c>
      <c r="J6" s="1496" t="s">
        <v>4033</v>
      </c>
      <c r="K6" s="1547"/>
      <c r="L6" s="1493"/>
      <c r="M6" s="1790"/>
      <c r="N6" s="1548"/>
    </row>
    <row r="7" spans="1:14" s="1883" customFormat="1" ht="146.25" customHeight="1">
      <c r="A7" s="1542">
        <v>3</v>
      </c>
      <c r="B7" s="1493" t="s">
        <v>3658</v>
      </c>
      <c r="C7" s="1494">
        <v>11000</v>
      </c>
      <c r="D7" s="1495" t="s">
        <v>4034</v>
      </c>
      <c r="E7" s="1493" t="s">
        <v>16</v>
      </c>
      <c r="F7" s="1495" t="s">
        <v>4035</v>
      </c>
      <c r="G7" s="1495" t="s">
        <v>4036</v>
      </c>
      <c r="H7" s="1495" t="s">
        <v>65</v>
      </c>
      <c r="I7" s="1495" t="s">
        <v>558</v>
      </c>
      <c r="J7" s="1600" t="s">
        <v>4037</v>
      </c>
      <c r="K7" s="1547"/>
      <c r="L7" s="1493"/>
      <c r="M7" s="1790"/>
      <c r="N7" s="1548"/>
    </row>
    <row r="8" spans="1:14" s="1883" customFormat="1" ht="92.25" customHeight="1">
      <c r="A8" s="1781">
        <v>4</v>
      </c>
      <c r="B8" s="1782" t="s">
        <v>3499</v>
      </c>
      <c r="C8" s="1783">
        <v>4000</v>
      </c>
      <c r="D8" s="1780" t="s">
        <v>4038</v>
      </c>
      <c r="E8" s="1782" t="s">
        <v>20</v>
      </c>
      <c r="F8" s="1780" t="s">
        <v>4039</v>
      </c>
      <c r="G8" s="1780"/>
      <c r="H8" s="1780" t="s">
        <v>65</v>
      </c>
      <c r="I8" s="1780" t="s">
        <v>558</v>
      </c>
      <c r="J8" s="1496" t="s">
        <v>4040</v>
      </c>
      <c r="K8" s="1784"/>
      <c r="L8" s="1782"/>
      <c r="M8" s="1782"/>
      <c r="N8" s="1821"/>
    </row>
    <row r="9" spans="1:14" s="1945" customFormat="1" ht="80.349999999999994" customHeight="1">
      <c r="A9" s="1542">
        <v>5</v>
      </c>
      <c r="B9" s="1493" t="s">
        <v>3754</v>
      </c>
      <c r="C9" s="1494">
        <v>4450</v>
      </c>
      <c r="D9" s="1495" t="s">
        <v>4041</v>
      </c>
      <c r="E9" s="1493" t="s">
        <v>22</v>
      </c>
      <c r="F9" s="1495" t="s">
        <v>4042</v>
      </c>
      <c r="G9" s="1495" t="s">
        <v>4043</v>
      </c>
      <c r="H9" s="1495" t="s">
        <v>65</v>
      </c>
      <c r="I9" s="1495" t="s">
        <v>142</v>
      </c>
      <c r="J9" s="1600" t="s">
        <v>4044</v>
      </c>
      <c r="K9" s="1547"/>
      <c r="L9" s="1493"/>
      <c r="M9" s="1790"/>
      <c r="N9" s="1548"/>
    </row>
    <row r="10" spans="1:14" s="1467" customFormat="1" ht="80.349999999999994" customHeight="1">
      <c r="A10" s="1542">
        <v>6</v>
      </c>
      <c r="B10" s="1493" t="s">
        <v>3432</v>
      </c>
      <c r="C10" s="1494">
        <v>3300</v>
      </c>
      <c r="D10" s="1624" t="s">
        <v>4045</v>
      </c>
      <c r="E10" s="1493" t="s">
        <v>24</v>
      </c>
      <c r="F10" s="1495" t="s">
        <v>4046</v>
      </c>
      <c r="G10" s="1495"/>
      <c r="H10" s="1495" t="s">
        <v>65</v>
      </c>
      <c r="I10" s="1495" t="s">
        <v>294</v>
      </c>
      <c r="J10" s="1496" t="s">
        <v>4047</v>
      </c>
      <c r="K10" s="1547" t="s">
        <v>4048</v>
      </c>
      <c r="L10" s="1493"/>
      <c r="M10" s="1790"/>
      <c r="N10" s="1548"/>
    </row>
    <row r="11" spans="1:14" s="1467" customFormat="1" ht="93.75" customHeight="1">
      <c r="A11" s="1542">
        <v>7</v>
      </c>
      <c r="B11" s="1493" t="s">
        <v>3895</v>
      </c>
      <c r="C11" s="1901">
        <v>3950</v>
      </c>
      <c r="D11" s="1495" t="s">
        <v>4049</v>
      </c>
      <c r="E11" s="1493" t="s">
        <v>20</v>
      </c>
      <c r="F11" s="1495" t="s">
        <v>4050</v>
      </c>
      <c r="G11" s="1495"/>
      <c r="H11" s="1495" t="s">
        <v>65</v>
      </c>
      <c r="I11" s="1495" t="s">
        <v>213</v>
      </c>
      <c r="J11" s="1600" t="s">
        <v>4051</v>
      </c>
      <c r="K11" s="1843"/>
      <c r="L11" s="1493"/>
      <c r="M11" s="1790"/>
      <c r="N11" s="1548"/>
    </row>
    <row r="12" spans="1:14" s="1467" customFormat="1" ht="76.599999999999994" customHeight="1">
      <c r="A12" s="1542">
        <v>8</v>
      </c>
      <c r="B12" s="1493" t="s">
        <v>139</v>
      </c>
      <c r="C12" s="1494">
        <v>3250</v>
      </c>
      <c r="D12" s="1495" t="s">
        <v>4052</v>
      </c>
      <c r="E12" s="1493" t="s">
        <v>24</v>
      </c>
      <c r="F12" s="1495" t="s">
        <v>4053</v>
      </c>
      <c r="G12" s="1495"/>
      <c r="H12" s="1495" t="s">
        <v>65</v>
      </c>
      <c r="I12" s="1495" t="s">
        <v>294</v>
      </c>
      <c r="J12" s="1600" t="s">
        <v>4054</v>
      </c>
      <c r="K12" s="1854" t="s">
        <v>4055</v>
      </c>
      <c r="L12" s="1493"/>
      <c r="M12" s="1790"/>
      <c r="N12" s="1548"/>
    </row>
    <row r="13" spans="1:14" s="1904" customFormat="1" ht="192.1" customHeight="1">
      <c r="A13" s="1542">
        <v>9</v>
      </c>
      <c r="B13" s="1493" t="s">
        <v>4056</v>
      </c>
      <c r="C13" s="1901">
        <v>11200</v>
      </c>
      <c r="D13" s="1495" t="s">
        <v>4057</v>
      </c>
      <c r="E13" s="1493" t="s">
        <v>38</v>
      </c>
      <c r="F13" s="1495"/>
      <c r="G13" s="1495" t="s">
        <v>4058</v>
      </c>
      <c r="H13" s="1495" t="s">
        <v>3462</v>
      </c>
      <c r="I13" s="1495" t="s">
        <v>3552</v>
      </c>
      <c r="J13" s="1600" t="s">
        <v>4059</v>
      </c>
      <c r="K13" s="1843"/>
      <c r="L13" s="1493"/>
      <c r="M13" s="1790"/>
      <c r="N13" s="1548"/>
    </row>
    <row r="14" spans="1:14" s="1945" customFormat="1" ht="59.95" customHeight="1">
      <c r="A14" s="1542">
        <v>10</v>
      </c>
      <c r="B14" s="1493" t="s">
        <v>97</v>
      </c>
      <c r="C14" s="1494">
        <v>4650</v>
      </c>
      <c r="D14" s="1495" t="s">
        <v>4060</v>
      </c>
      <c r="E14" s="1493" t="s">
        <v>22</v>
      </c>
      <c r="F14" s="1495" t="s">
        <v>4061</v>
      </c>
      <c r="G14" s="1495" t="s">
        <v>4062</v>
      </c>
      <c r="H14" s="1495" t="s">
        <v>65</v>
      </c>
      <c r="I14" s="1495" t="s">
        <v>294</v>
      </c>
      <c r="J14" s="1600" t="s">
        <v>4063</v>
      </c>
      <c r="K14" s="1547" t="s">
        <v>4064</v>
      </c>
      <c r="L14" s="1493"/>
      <c r="M14" s="1790"/>
      <c r="N14" s="1548"/>
    </row>
    <row r="15" spans="1:14" s="1548" customFormat="1" ht="126" customHeight="1">
      <c r="A15" s="1542">
        <v>11</v>
      </c>
      <c r="B15" s="1493" t="s">
        <v>129</v>
      </c>
      <c r="C15" s="1494">
        <v>3080</v>
      </c>
      <c r="D15" s="1495" t="s">
        <v>4065</v>
      </c>
      <c r="E15" s="1493" t="s">
        <v>24</v>
      </c>
      <c r="F15" s="1495" t="s">
        <v>4066</v>
      </c>
      <c r="G15" s="1495" t="s">
        <v>4067</v>
      </c>
      <c r="H15" s="1495" t="s">
        <v>65</v>
      </c>
      <c r="I15" s="1495" t="s">
        <v>558</v>
      </c>
      <c r="J15" s="1600" t="s">
        <v>4068</v>
      </c>
      <c r="K15" s="1547"/>
      <c r="L15" s="1493"/>
      <c r="M15" s="1790"/>
    </row>
    <row r="16" spans="1:14" s="1883" customFormat="1" ht="77.95" customHeight="1">
      <c r="A16" s="1542">
        <v>12</v>
      </c>
      <c r="B16" s="1493" t="s">
        <v>4069</v>
      </c>
      <c r="C16" s="1901">
        <v>35000</v>
      </c>
      <c r="D16" s="1495" t="s">
        <v>4065</v>
      </c>
      <c r="E16" s="1493" t="s">
        <v>39</v>
      </c>
      <c r="F16" s="1495"/>
      <c r="G16" s="1495"/>
      <c r="H16" s="1495" t="s">
        <v>3462</v>
      </c>
      <c r="I16" s="1495" t="s">
        <v>4070</v>
      </c>
      <c r="J16" s="1496" t="s">
        <v>4071</v>
      </c>
      <c r="K16" s="1547"/>
      <c r="L16" s="1493"/>
      <c r="M16" s="1790"/>
      <c r="N16" s="1548"/>
    </row>
    <row r="17" spans="1:14" s="1535" customFormat="1" ht="131.94999999999999" customHeight="1">
      <c r="A17" s="1542">
        <v>13</v>
      </c>
      <c r="B17" s="1493" t="s">
        <v>252</v>
      </c>
      <c r="C17" s="1901">
        <v>3950</v>
      </c>
      <c r="D17" s="1495" t="s">
        <v>4072</v>
      </c>
      <c r="E17" s="1493" t="s">
        <v>20</v>
      </c>
      <c r="F17" s="1495" t="s">
        <v>4073</v>
      </c>
      <c r="G17" s="1495"/>
      <c r="H17" s="1495" t="s">
        <v>65</v>
      </c>
      <c r="I17" s="1495" t="s">
        <v>213</v>
      </c>
      <c r="J17" s="1496" t="s">
        <v>4074</v>
      </c>
      <c r="K17" s="1547" t="s">
        <v>4075</v>
      </c>
      <c r="L17" s="1493"/>
      <c r="M17" s="1790"/>
      <c r="N17" s="1548"/>
    </row>
    <row r="18" spans="1:14" s="1916" customFormat="1" ht="121.6" customHeight="1">
      <c r="A18" s="1542">
        <v>14</v>
      </c>
      <c r="B18" s="1493" t="s">
        <v>4076</v>
      </c>
      <c r="C18" s="1901">
        <v>9600</v>
      </c>
      <c r="D18" s="1624" t="s">
        <v>4077</v>
      </c>
      <c r="E18" s="1493" t="s">
        <v>3136</v>
      </c>
      <c r="F18" s="1495"/>
      <c r="G18" s="1495"/>
      <c r="H18" s="1495" t="s">
        <v>3462</v>
      </c>
      <c r="I18" s="1495" t="s">
        <v>3392</v>
      </c>
      <c r="J18" s="1496" t="s">
        <v>4078</v>
      </c>
      <c r="K18" s="1547"/>
      <c r="L18" s="1493"/>
      <c r="M18" s="1790"/>
      <c r="N18" s="1548"/>
    </row>
    <row r="19" spans="1:14" s="1904" customFormat="1" ht="79.5" customHeight="1">
      <c r="A19" s="1542">
        <v>15</v>
      </c>
      <c r="B19" s="1493" t="s">
        <v>97</v>
      </c>
      <c r="C19" s="1901">
        <v>2700</v>
      </c>
      <c r="D19" s="1624" t="s">
        <v>4079</v>
      </c>
      <c r="E19" s="1493" t="s">
        <v>22</v>
      </c>
      <c r="F19" s="1495" t="s">
        <v>4080</v>
      </c>
      <c r="G19" s="1495"/>
      <c r="H19" s="1495" t="s">
        <v>65</v>
      </c>
      <c r="I19" s="1495" t="s">
        <v>142</v>
      </c>
      <c r="J19" s="1496" t="s">
        <v>4081</v>
      </c>
      <c r="K19" s="1547"/>
      <c r="L19" s="1493"/>
      <c r="M19" s="1790"/>
      <c r="N19" s="1548"/>
    </row>
    <row r="20" spans="1:14" s="1904" customFormat="1" ht="67.599999999999994" customHeight="1">
      <c r="A20" s="1542">
        <v>16</v>
      </c>
      <c r="B20" s="1493" t="s">
        <v>4069</v>
      </c>
      <c r="C20" s="1901">
        <v>35000</v>
      </c>
      <c r="D20" s="1495" t="s">
        <v>4072</v>
      </c>
      <c r="E20" s="1493" t="s">
        <v>39</v>
      </c>
      <c r="F20" s="1495" t="s">
        <v>4082</v>
      </c>
      <c r="G20" s="1495"/>
      <c r="H20" s="1495" t="s">
        <v>65</v>
      </c>
      <c r="I20" s="1495" t="s">
        <v>4083</v>
      </c>
      <c r="J20" s="1496" t="s">
        <v>4084</v>
      </c>
      <c r="K20" s="1547" t="s">
        <v>4085</v>
      </c>
      <c r="L20" s="1493"/>
      <c r="M20" s="1790"/>
      <c r="N20" s="1548"/>
    </row>
    <row r="21" spans="1:14" s="1904" customFormat="1" ht="286.5" customHeight="1">
      <c r="A21" s="1542">
        <v>17</v>
      </c>
      <c r="B21" s="1495" t="s">
        <v>3668</v>
      </c>
      <c r="C21" s="1901">
        <v>15500</v>
      </c>
      <c r="D21" s="1495" t="s">
        <v>4079</v>
      </c>
      <c r="E21" s="1493" t="s">
        <v>14</v>
      </c>
      <c r="F21" s="1495" t="s">
        <v>4086</v>
      </c>
      <c r="G21" s="1495"/>
      <c r="H21" s="1495" t="s">
        <v>65</v>
      </c>
      <c r="I21" s="1495" t="s">
        <v>558</v>
      </c>
      <c r="J21" s="1496" t="s">
        <v>4087</v>
      </c>
      <c r="K21" s="1547" t="s">
        <v>4088</v>
      </c>
      <c r="L21" s="1493"/>
      <c r="M21" s="1790"/>
      <c r="N21" s="1548"/>
    </row>
    <row r="22" spans="1:14" s="1916" customFormat="1" ht="79.5" customHeight="1">
      <c r="A22" s="1542">
        <v>18</v>
      </c>
      <c r="B22" s="1495" t="s">
        <v>134</v>
      </c>
      <c r="C22" s="1901">
        <v>2950</v>
      </c>
      <c r="D22" s="1495" t="s">
        <v>4089</v>
      </c>
      <c r="E22" s="1493" t="s">
        <v>22</v>
      </c>
      <c r="F22" s="1495" t="s">
        <v>4090</v>
      </c>
      <c r="G22" s="1495"/>
      <c r="H22" s="1495" t="s">
        <v>65</v>
      </c>
      <c r="I22" s="1495" t="s">
        <v>558</v>
      </c>
      <c r="J22" s="1496" t="s">
        <v>4091</v>
      </c>
      <c r="K22" s="1547"/>
      <c r="L22" s="1493"/>
      <c r="M22" s="1790"/>
      <c r="N22" s="1548"/>
    </row>
    <row r="23" spans="1:14" s="1916" customFormat="1" ht="58.6" customHeight="1">
      <c r="A23" s="1542">
        <v>19</v>
      </c>
      <c r="B23" s="1495" t="s">
        <v>114</v>
      </c>
      <c r="C23" s="1901">
        <v>3700</v>
      </c>
      <c r="D23" s="1495" t="s">
        <v>4092</v>
      </c>
      <c r="E23" s="1493" t="s">
        <v>22</v>
      </c>
      <c r="F23" s="1495" t="s">
        <v>4093</v>
      </c>
      <c r="G23" s="1495"/>
      <c r="H23" s="1495" t="s">
        <v>65</v>
      </c>
      <c r="I23" s="1495" t="s">
        <v>240</v>
      </c>
      <c r="J23" s="1496" t="s">
        <v>4094</v>
      </c>
      <c r="K23" s="1547"/>
      <c r="L23" s="1493"/>
      <c r="M23" s="1790"/>
      <c r="N23" s="1548"/>
    </row>
    <row r="24" spans="1:14" s="1904" customFormat="1" ht="73.55" customHeight="1">
      <c r="A24" s="1542">
        <v>20</v>
      </c>
      <c r="B24" s="1493" t="s">
        <v>3546</v>
      </c>
      <c r="C24" s="1901">
        <v>4450</v>
      </c>
      <c r="D24" s="1495" t="s">
        <v>4095</v>
      </c>
      <c r="E24" s="1493" t="s">
        <v>24</v>
      </c>
      <c r="F24" s="1495"/>
      <c r="G24" s="1495" t="s">
        <v>4096</v>
      </c>
      <c r="H24" s="1495" t="s">
        <v>65</v>
      </c>
      <c r="I24" s="1495" t="s">
        <v>106</v>
      </c>
      <c r="J24" s="1600" t="s">
        <v>4097</v>
      </c>
      <c r="K24" s="1547" t="s">
        <v>4088</v>
      </c>
      <c r="L24" s="1493"/>
      <c r="M24" s="1493"/>
      <c r="N24" s="1548"/>
    </row>
    <row r="25" spans="1:14" s="1559" customFormat="1" ht="68.95" customHeight="1">
      <c r="A25" s="1542">
        <v>21</v>
      </c>
      <c r="B25" s="1493" t="s">
        <v>3508</v>
      </c>
      <c r="C25" s="1901">
        <v>4280</v>
      </c>
      <c r="D25" s="1495" t="s">
        <v>4098</v>
      </c>
      <c r="E25" s="1493" t="s">
        <v>22</v>
      </c>
      <c r="F25" s="1495" t="s">
        <v>4099</v>
      </c>
      <c r="G25" s="1495" t="s">
        <v>4100</v>
      </c>
      <c r="H25" s="1495" t="s">
        <v>65</v>
      </c>
      <c r="I25" s="1495" t="s">
        <v>117</v>
      </c>
      <c r="J25" s="1600" t="s">
        <v>4101</v>
      </c>
      <c r="K25" s="1843"/>
      <c r="L25" s="1493"/>
      <c r="M25" s="1790"/>
      <c r="N25" s="1548"/>
    </row>
    <row r="26" spans="1:14" s="1467" customFormat="1" ht="225" customHeight="1">
      <c r="A26" s="1850">
        <v>22</v>
      </c>
      <c r="B26" s="1630" t="s">
        <v>4102</v>
      </c>
      <c r="C26" s="1915">
        <v>13000</v>
      </c>
      <c r="D26" s="1851" t="s">
        <v>4103</v>
      </c>
      <c r="E26" s="1630" t="s">
        <v>16</v>
      </c>
      <c r="F26" s="1851" t="s">
        <v>4104</v>
      </c>
      <c r="G26" s="1495" t="s">
        <v>4105</v>
      </c>
      <c r="H26" s="1851" t="s">
        <v>65</v>
      </c>
      <c r="I26" s="1851" t="s">
        <v>558</v>
      </c>
      <c r="J26" s="1628" t="s">
        <v>4106</v>
      </c>
      <c r="K26" s="1962"/>
      <c r="L26" s="1630"/>
      <c r="M26" s="1882"/>
      <c r="N26" s="1883"/>
    </row>
    <row r="27" spans="1:14" s="1904" customFormat="1" ht="80.349999999999994" customHeight="1">
      <c r="A27" s="1542">
        <v>23</v>
      </c>
      <c r="B27" s="1493" t="s">
        <v>3895</v>
      </c>
      <c r="C27" s="1901">
        <v>3900</v>
      </c>
      <c r="D27" s="1495" t="s">
        <v>4107</v>
      </c>
      <c r="E27" s="1493" t="s">
        <v>20</v>
      </c>
      <c r="F27" s="1495" t="s">
        <v>4108</v>
      </c>
      <c r="G27" s="1495"/>
      <c r="H27" s="1495" t="s">
        <v>65</v>
      </c>
      <c r="I27" s="1495" t="s">
        <v>213</v>
      </c>
      <c r="J27" s="1600" t="s">
        <v>4109</v>
      </c>
      <c r="K27" s="1496"/>
      <c r="L27" s="1493"/>
      <c r="M27" s="1790"/>
      <c r="N27" s="1548"/>
    </row>
    <row r="28" spans="1:14" s="1904" customFormat="1" ht="80.349999999999994" customHeight="1">
      <c r="A28" s="1542">
        <v>24</v>
      </c>
      <c r="B28" s="1493" t="s">
        <v>3436</v>
      </c>
      <c r="C28" s="1901">
        <v>11200</v>
      </c>
      <c r="D28" s="1495" t="s">
        <v>4110</v>
      </c>
      <c r="E28" s="1493" t="s">
        <v>18</v>
      </c>
      <c r="F28" s="1851" t="s">
        <v>4111</v>
      </c>
      <c r="G28" s="1495" t="s">
        <v>4112</v>
      </c>
      <c r="H28" s="1495" t="s">
        <v>65</v>
      </c>
      <c r="I28" s="1495" t="s">
        <v>66</v>
      </c>
      <c r="J28" s="1496" t="s">
        <v>4113</v>
      </c>
      <c r="K28" s="1963" t="s">
        <v>4114</v>
      </c>
      <c r="L28" s="1493"/>
      <c r="M28" s="1790"/>
      <c r="N28" s="1548"/>
    </row>
    <row r="29" spans="1:14" s="1904" customFormat="1" ht="129.1" customHeight="1">
      <c r="A29" s="1542">
        <v>25</v>
      </c>
      <c r="B29" s="1493" t="s">
        <v>3963</v>
      </c>
      <c r="C29" s="1901">
        <v>7250</v>
      </c>
      <c r="D29" s="1495" t="s">
        <v>4115</v>
      </c>
      <c r="E29" s="1495" t="s">
        <v>16</v>
      </c>
      <c r="F29" s="1495" t="s">
        <v>4116</v>
      </c>
      <c r="G29" s="1495" t="s">
        <v>4117</v>
      </c>
      <c r="H29" s="1495" t="s">
        <v>65</v>
      </c>
      <c r="I29" s="1495" t="s">
        <v>213</v>
      </c>
      <c r="J29" s="1600" t="s">
        <v>4118</v>
      </c>
      <c r="K29" s="1547"/>
      <c r="L29" s="1493"/>
      <c r="M29" s="1790"/>
      <c r="N29" s="1548"/>
    </row>
    <row r="30" spans="1:14" s="1548" customFormat="1" ht="75.099999999999994" customHeight="1">
      <c r="A30" s="1542">
        <v>26</v>
      </c>
      <c r="B30" s="1493" t="s">
        <v>3464</v>
      </c>
      <c r="C30" s="1901">
        <v>3500</v>
      </c>
      <c r="D30" s="1495" t="s">
        <v>4110</v>
      </c>
      <c r="E30" s="1493" t="s">
        <v>24</v>
      </c>
      <c r="F30" s="1495" t="s">
        <v>4119</v>
      </c>
      <c r="G30" s="1495" t="s">
        <v>4120</v>
      </c>
      <c r="H30" s="1495" t="s">
        <v>65</v>
      </c>
      <c r="I30" s="1495" t="s">
        <v>558</v>
      </c>
      <c r="J30" s="1600" t="s">
        <v>4121</v>
      </c>
      <c r="K30" s="1843" t="s">
        <v>4122</v>
      </c>
      <c r="L30" s="1493"/>
      <c r="M30" s="1790"/>
    </row>
    <row r="31" spans="1:14" s="1548" customFormat="1" ht="77.3" customHeight="1">
      <c r="A31" s="1542">
        <v>27</v>
      </c>
      <c r="B31" s="1493" t="s">
        <v>3499</v>
      </c>
      <c r="C31" s="1901">
        <v>4000</v>
      </c>
      <c r="D31" s="1495" t="s">
        <v>4110</v>
      </c>
      <c r="E31" s="1493" t="s">
        <v>20</v>
      </c>
      <c r="F31" s="1495" t="s">
        <v>4123</v>
      </c>
      <c r="G31" s="1495" t="s">
        <v>4120</v>
      </c>
      <c r="H31" s="1495" t="s">
        <v>65</v>
      </c>
      <c r="I31" s="1495" t="s">
        <v>240</v>
      </c>
      <c r="J31" s="1496" t="s">
        <v>4124</v>
      </c>
      <c r="K31" s="1843"/>
      <c r="L31" s="1493"/>
      <c r="M31" s="1790"/>
    </row>
    <row r="32" spans="1:14" s="1945" customFormat="1" ht="85.6" customHeight="1">
      <c r="A32" s="1542">
        <v>28</v>
      </c>
      <c r="B32" s="1493" t="s">
        <v>252</v>
      </c>
      <c r="C32" s="1901">
        <v>3950</v>
      </c>
      <c r="D32" s="1495" t="s">
        <v>4125</v>
      </c>
      <c r="E32" s="1493" t="s">
        <v>20</v>
      </c>
      <c r="F32" s="1495" t="s">
        <v>4126</v>
      </c>
      <c r="G32" s="1495" t="s">
        <v>4117</v>
      </c>
      <c r="H32" s="1495" t="s">
        <v>65</v>
      </c>
      <c r="I32" s="1495" t="s">
        <v>213</v>
      </c>
      <c r="J32" s="1496" t="s">
        <v>4127</v>
      </c>
      <c r="K32" s="1843"/>
      <c r="L32" s="1493"/>
      <c r="M32" s="1790"/>
      <c r="N32" s="1548"/>
    </row>
    <row r="33" spans="1:14" s="1945" customFormat="1" ht="123.8" customHeight="1">
      <c r="A33" s="1553">
        <v>29</v>
      </c>
      <c r="B33" s="1545" t="s">
        <v>92</v>
      </c>
      <c r="C33" s="1913">
        <v>4250</v>
      </c>
      <c r="D33" s="1495" t="s">
        <v>4128</v>
      </c>
      <c r="E33" s="1545" t="s">
        <v>16</v>
      </c>
      <c r="F33" s="1495" t="s">
        <v>4129</v>
      </c>
      <c r="G33" s="1495" t="s">
        <v>4130</v>
      </c>
      <c r="H33" s="1543" t="s">
        <v>65</v>
      </c>
      <c r="I33" s="1543" t="s">
        <v>558</v>
      </c>
      <c r="J33" s="1546" t="s">
        <v>4131</v>
      </c>
      <c r="K33" s="1860"/>
      <c r="L33" s="1545"/>
      <c r="M33" s="1852"/>
      <c r="N33" s="1559"/>
    </row>
    <row r="34" spans="1:14" s="1883" customFormat="1" ht="90.7" customHeight="1">
      <c r="A34" s="1542">
        <v>30</v>
      </c>
      <c r="B34" s="1493" t="s">
        <v>125</v>
      </c>
      <c r="C34" s="1901">
        <v>4300</v>
      </c>
      <c r="D34" s="1495" t="s">
        <v>4132</v>
      </c>
      <c r="E34" s="1493" t="s">
        <v>22</v>
      </c>
      <c r="F34" s="1495" t="s">
        <v>4133</v>
      </c>
      <c r="G34" s="1495" t="s">
        <v>4134</v>
      </c>
      <c r="H34" s="1495" t="s">
        <v>65</v>
      </c>
      <c r="I34" s="1495" t="s">
        <v>558</v>
      </c>
      <c r="J34" s="1496" t="s">
        <v>4135</v>
      </c>
      <c r="K34" s="1547"/>
      <c r="L34" s="1493"/>
      <c r="M34" s="1790"/>
      <c r="N34" s="1964"/>
    </row>
    <row r="35" spans="1:14" s="1945" customFormat="1" ht="86.3" customHeight="1">
      <c r="A35" s="1553">
        <v>31</v>
      </c>
      <c r="B35" s="1545" t="s">
        <v>3668</v>
      </c>
      <c r="C35" s="1913">
        <v>12000</v>
      </c>
      <c r="D35" s="1543" t="s">
        <v>4132</v>
      </c>
      <c r="E35" s="1545" t="s">
        <v>14</v>
      </c>
      <c r="F35" s="1543" t="s">
        <v>4136</v>
      </c>
      <c r="G35" s="1543" t="s">
        <v>4137</v>
      </c>
      <c r="H35" s="1543" t="s">
        <v>65</v>
      </c>
      <c r="I35" s="1543" t="s">
        <v>4138</v>
      </c>
      <c r="J35" s="1546" t="s">
        <v>4139</v>
      </c>
      <c r="K35" s="1828"/>
      <c r="L35" s="1545"/>
      <c r="M35" s="1852"/>
      <c r="N35" s="1965"/>
    </row>
    <row r="36" spans="1:14" s="1548" customFormat="1" ht="71.349999999999994" customHeight="1">
      <c r="A36" s="1542">
        <v>32</v>
      </c>
      <c r="B36" s="1493" t="s">
        <v>3508</v>
      </c>
      <c r="C36" s="1901">
        <v>3300</v>
      </c>
      <c r="D36" s="1495" t="s">
        <v>4140</v>
      </c>
      <c r="E36" s="1493" t="s">
        <v>22</v>
      </c>
      <c r="F36" s="1495" t="s">
        <v>4141</v>
      </c>
      <c r="G36" s="1495" t="s">
        <v>4142</v>
      </c>
      <c r="H36" s="1495" t="s">
        <v>65</v>
      </c>
      <c r="I36" s="1495" t="s">
        <v>142</v>
      </c>
      <c r="J36" s="1496" t="s">
        <v>4143</v>
      </c>
      <c r="K36" s="1963" t="s">
        <v>4144</v>
      </c>
      <c r="L36" s="1493"/>
      <c r="M36" s="1790"/>
    </row>
    <row r="37" spans="1:14" s="1883" customFormat="1" ht="239.3" customHeight="1">
      <c r="A37" s="1917">
        <v>33</v>
      </c>
      <c r="B37" s="1869" t="s">
        <v>4145</v>
      </c>
      <c r="C37" s="1918">
        <v>12500</v>
      </c>
      <c r="D37" s="1875" t="s">
        <v>4146</v>
      </c>
      <c r="E37" s="1869" t="s">
        <v>38</v>
      </c>
      <c r="F37" s="1851" t="s">
        <v>4147</v>
      </c>
      <c r="G37" s="1875" t="s">
        <v>4148</v>
      </c>
      <c r="H37" s="1875" t="s">
        <v>3462</v>
      </c>
      <c r="I37" s="1875" t="s">
        <v>3552</v>
      </c>
      <c r="J37" s="1987" t="s">
        <v>4149</v>
      </c>
      <c r="K37" s="1966" t="s">
        <v>4150</v>
      </c>
      <c r="L37" s="1869"/>
      <c r="M37" s="1867"/>
      <c r="N37" s="1945"/>
    </row>
    <row r="38" spans="1:14" s="1548" customFormat="1" ht="200.25" customHeight="1">
      <c r="A38" s="1542">
        <v>34</v>
      </c>
      <c r="B38" s="1493" t="s">
        <v>3627</v>
      </c>
      <c r="C38" s="1901">
        <v>4050</v>
      </c>
      <c r="D38" s="1495" t="s">
        <v>4146</v>
      </c>
      <c r="E38" s="1493" t="s">
        <v>3460</v>
      </c>
      <c r="F38" s="1875" t="s">
        <v>4147</v>
      </c>
      <c r="G38" s="1543" t="s">
        <v>4148</v>
      </c>
      <c r="H38" s="1495" t="s">
        <v>3462</v>
      </c>
      <c r="I38" s="1495" t="s">
        <v>3552</v>
      </c>
      <c r="J38" s="1600" t="s">
        <v>4151</v>
      </c>
      <c r="K38" s="1843" t="s">
        <v>4152</v>
      </c>
      <c r="L38" s="1493"/>
      <c r="M38" s="1790"/>
    </row>
    <row r="39" spans="1:14" s="1777" customFormat="1" ht="77.3" customHeight="1">
      <c r="A39" s="738">
        <v>35</v>
      </c>
      <c r="B39" s="102"/>
      <c r="C39" s="1894"/>
      <c r="D39" s="109"/>
      <c r="E39" s="102"/>
      <c r="F39" s="109"/>
      <c r="G39" s="109"/>
      <c r="H39" s="109"/>
      <c r="I39" s="109"/>
      <c r="J39" s="696"/>
      <c r="K39" s="143"/>
      <c r="L39" s="102"/>
      <c r="M39" s="1853"/>
    </row>
    <row r="40" spans="1:14" s="1777" customFormat="1" ht="75.099999999999994"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59.95"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8" customHeight="1">
      <c r="A47" s="874">
        <v>43</v>
      </c>
      <c r="B47" s="112"/>
      <c r="C47" s="1925"/>
      <c r="D47" s="735"/>
      <c r="E47" s="875"/>
      <c r="F47" s="735"/>
      <c r="G47" s="109"/>
      <c r="H47" s="109"/>
      <c r="I47" s="109"/>
      <c r="J47" s="1928"/>
      <c r="K47" s="1927"/>
      <c r="L47" s="112"/>
      <c r="M47" s="1879"/>
    </row>
    <row r="48" spans="1:14" s="1880" customFormat="1" ht="67.599999999999994" customHeight="1">
      <c r="A48" s="874">
        <v>44</v>
      </c>
      <c r="B48" s="112"/>
      <c r="C48" s="1925"/>
      <c r="D48" s="735"/>
      <c r="E48" s="875"/>
      <c r="F48" s="735"/>
      <c r="G48" s="109"/>
      <c r="H48" s="735"/>
      <c r="I48" s="1926"/>
      <c r="J48" s="1877"/>
      <c r="K48" s="1927"/>
      <c r="L48" s="112"/>
      <c r="M48" s="1879"/>
    </row>
    <row r="49" spans="1:13" s="1777" customFormat="1" ht="63.7" customHeight="1">
      <c r="A49" s="738">
        <v>45</v>
      </c>
      <c r="B49" s="102"/>
      <c r="C49" s="1148"/>
      <c r="D49" s="109"/>
      <c r="E49" s="102"/>
      <c r="F49" s="109"/>
      <c r="G49" s="109"/>
      <c r="H49" s="111"/>
      <c r="I49" s="111"/>
      <c r="J49" s="696"/>
      <c r="K49" s="143"/>
      <c r="L49" s="102"/>
      <c r="M49" s="1853"/>
    </row>
    <row r="50" spans="1:13" s="1777" customFormat="1" ht="81.7" customHeight="1">
      <c r="A50" s="738">
        <v>46</v>
      </c>
      <c r="B50" s="1895"/>
      <c r="C50" s="1148"/>
      <c r="D50" s="109"/>
      <c r="E50" s="102"/>
      <c r="F50" s="109"/>
      <c r="G50" s="109"/>
      <c r="H50" s="111"/>
      <c r="I50" s="109"/>
      <c r="J50" s="696"/>
      <c r="K50" s="143"/>
      <c r="L50" s="102"/>
      <c r="M50" s="1853"/>
    </row>
    <row r="51" spans="1:13" s="1777" customFormat="1" ht="81.7" customHeight="1">
      <c r="A51" s="738">
        <v>47</v>
      </c>
      <c r="B51" s="102"/>
      <c r="C51" s="1894"/>
      <c r="D51" s="109"/>
      <c r="E51" s="102"/>
      <c r="F51" s="109"/>
      <c r="G51" s="109"/>
      <c r="H51" s="109"/>
      <c r="I51" s="109"/>
      <c r="J51" s="696"/>
      <c r="K51" s="143"/>
      <c r="L51" s="102"/>
      <c r="M51" s="1853"/>
    </row>
    <row r="52" spans="1:13" s="1777" customFormat="1" ht="68.3" customHeight="1">
      <c r="A52" s="738">
        <v>48</v>
      </c>
      <c r="B52" s="102"/>
      <c r="C52" s="1148"/>
      <c r="D52" s="109"/>
      <c r="E52" s="102"/>
      <c r="F52" s="109"/>
      <c r="G52" s="109"/>
      <c r="H52" s="109"/>
      <c r="I52" s="109"/>
      <c r="J52" s="696"/>
      <c r="K52" s="143"/>
      <c r="L52" s="102"/>
      <c r="M52" s="1853"/>
    </row>
    <row r="53" spans="1:13" s="1777" customFormat="1" ht="59.3" customHeight="1">
      <c r="A53" s="738">
        <v>49</v>
      </c>
      <c r="B53" s="102"/>
      <c r="C53" s="1148"/>
      <c r="D53" s="109"/>
      <c r="E53" s="102"/>
      <c r="F53" s="109"/>
      <c r="G53" s="109"/>
      <c r="H53" s="109"/>
      <c r="I53" s="109"/>
      <c r="J53" s="670"/>
      <c r="K53" s="143"/>
      <c r="L53" s="102"/>
      <c r="M53" s="1853"/>
    </row>
    <row r="54" spans="1:13" s="1777" customFormat="1" ht="69.8"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2" priority="5"/>
  </conditionalFormatting>
  <conditionalFormatting sqref="A4">
    <cfRule type="duplicateValues" dxfId="441" priority="4"/>
  </conditionalFormatting>
  <conditionalFormatting sqref="B4">
    <cfRule type="duplicateValues" dxfId="440" priority="1"/>
    <cfRule type="duplicateValues" dxfId="439" priority="2"/>
    <cfRule type="duplicateValues" dxfId="438"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71"/>
      <c r="D1" s="3671"/>
      <c r="E1" s="3671"/>
      <c r="F1" s="3671"/>
      <c r="G1" s="3671"/>
      <c r="H1" s="3671"/>
      <c r="I1" s="3671"/>
      <c r="J1" s="3671"/>
      <c r="K1" s="3671"/>
      <c r="M1" s="1848"/>
    </row>
    <row r="2" spans="1:14" ht="41.95" customHeight="1">
      <c r="A2" s="3755" t="s">
        <v>3428</v>
      </c>
      <c r="B2" s="3755"/>
      <c r="C2" s="3755"/>
      <c r="D2" s="3755"/>
      <c r="E2" s="3755"/>
      <c r="F2" s="3755"/>
      <c r="G2" s="3755"/>
      <c r="H2" s="3755"/>
      <c r="I2" s="3755"/>
      <c r="J2" s="3755"/>
      <c r="K2" s="3756"/>
      <c r="L2" s="1905"/>
      <c r="M2" s="1905"/>
      <c r="N2" s="287"/>
    </row>
    <row r="3" spans="1:14" ht="37.549999999999997" customHeight="1">
      <c r="A3" s="3759" t="s">
        <v>3429</v>
      </c>
      <c r="B3" s="3759"/>
      <c r="C3" s="1910">
        <f>SUM(C5:C155)</f>
        <v>273995</v>
      </c>
      <c r="D3" s="1503"/>
      <c r="E3" s="1849"/>
      <c r="F3" s="1932"/>
      <c r="G3" s="1503"/>
      <c r="H3" s="1503"/>
      <c r="I3" s="1503"/>
      <c r="J3" s="1934">
        <f ca="1">TODAY()</f>
        <v>45988</v>
      </c>
      <c r="K3" s="143"/>
      <c r="L3" s="1907"/>
      <c r="M3" s="1849"/>
      <c r="N3" s="287"/>
    </row>
    <row r="4" spans="1:14" s="1535" customFormat="1" ht="53.35" customHeight="1">
      <c r="A4" s="1896" t="s">
        <v>48</v>
      </c>
      <c r="B4" s="1897" t="s">
        <v>49</v>
      </c>
      <c r="C4" s="1178" t="s">
        <v>50</v>
      </c>
      <c r="D4" s="679" t="s">
        <v>3573</v>
      </c>
      <c r="E4" s="1930" t="s">
        <v>52</v>
      </c>
      <c r="F4" s="1818" t="s">
        <v>3574</v>
      </c>
      <c r="G4" s="1931" t="s">
        <v>54</v>
      </c>
      <c r="H4" s="679" t="s">
        <v>55</v>
      </c>
      <c r="I4" s="1930" t="s">
        <v>56</v>
      </c>
      <c r="J4" s="1818" t="s">
        <v>57</v>
      </c>
      <c r="K4" s="1933" t="s">
        <v>58</v>
      </c>
      <c r="L4" s="679" t="s">
        <v>59</v>
      </c>
      <c r="M4" s="1892" t="s">
        <v>60</v>
      </c>
      <c r="N4" s="1893" t="e">
        <f>SUM(#REF!)</f>
        <v>#REF!</v>
      </c>
    </row>
    <row r="5" spans="1:14" s="1916" customFormat="1" ht="60.8" customHeight="1">
      <c r="A5" s="1542" cm="1">
        <f t="array" ref="A5:A49">_xlfn.SEQUENCE(45,1,1,)</f>
        <v>1</v>
      </c>
      <c r="B5" s="1493" t="s">
        <v>3499</v>
      </c>
      <c r="C5" s="1901">
        <v>4000</v>
      </c>
      <c r="D5" s="1495" t="s">
        <v>4153</v>
      </c>
      <c r="E5" s="1493" t="s">
        <v>20</v>
      </c>
      <c r="F5" s="1851"/>
      <c r="G5" s="1495" t="s">
        <v>4154</v>
      </c>
      <c r="H5" s="1495" t="s">
        <v>65</v>
      </c>
      <c r="I5" s="1495" t="s">
        <v>4155</v>
      </c>
      <c r="J5" s="1628" t="s">
        <v>4156</v>
      </c>
      <c r="K5" s="1547"/>
      <c r="L5" s="1493"/>
      <c r="M5" s="1790"/>
      <c r="N5" s="1548"/>
    </row>
    <row r="6" spans="1:14" s="1904" customFormat="1" ht="60.8" customHeight="1">
      <c r="A6" s="1542">
        <v>2</v>
      </c>
      <c r="B6" s="1493" t="s">
        <v>4157</v>
      </c>
      <c r="C6" s="1901">
        <v>10000</v>
      </c>
      <c r="D6" s="1495" t="s">
        <v>4153</v>
      </c>
      <c r="E6" s="1493" t="s">
        <v>38</v>
      </c>
      <c r="F6" s="1495"/>
      <c r="G6" s="1495" t="s">
        <v>4158</v>
      </c>
      <c r="H6" s="1495" t="s">
        <v>65</v>
      </c>
      <c r="I6" s="1495" t="s">
        <v>219</v>
      </c>
      <c r="J6" s="1600" t="s">
        <v>4159</v>
      </c>
      <c r="K6" s="1547"/>
      <c r="L6" s="1493"/>
      <c r="M6" s="1790"/>
      <c r="N6" s="1548"/>
    </row>
    <row r="7" spans="1:14" s="1904" customFormat="1" ht="231.8" customHeight="1">
      <c r="A7" s="1917">
        <v>3</v>
      </c>
      <c r="B7" s="1875" t="s">
        <v>4102</v>
      </c>
      <c r="C7" s="1918">
        <v>10200</v>
      </c>
      <c r="D7" s="1875" t="s">
        <v>4160</v>
      </c>
      <c r="E7" s="1869" t="s">
        <v>16</v>
      </c>
      <c r="F7" s="1875" t="s">
        <v>4161</v>
      </c>
      <c r="G7" s="1875"/>
      <c r="H7" s="1875" t="s">
        <v>65</v>
      </c>
      <c r="I7" s="1875" t="s">
        <v>558</v>
      </c>
      <c r="J7" s="1988" t="s">
        <v>4162</v>
      </c>
      <c r="K7" s="1881"/>
      <c r="L7" s="1630"/>
      <c r="M7" s="1882"/>
      <c r="N7" s="1919"/>
    </row>
    <row r="8" spans="1:14" s="1904" customFormat="1" ht="72" customHeight="1">
      <c r="A8" s="1542">
        <v>4</v>
      </c>
      <c r="B8" s="1493" t="s">
        <v>3468</v>
      </c>
      <c r="C8" s="1901">
        <v>3000</v>
      </c>
      <c r="D8" s="1495" t="s">
        <v>4163</v>
      </c>
      <c r="E8" s="1493" t="s">
        <v>4164</v>
      </c>
      <c r="F8" s="1495"/>
      <c r="G8" s="1495" t="s">
        <v>4165</v>
      </c>
      <c r="H8" s="1495" t="s">
        <v>65</v>
      </c>
      <c r="I8" s="1495" t="s">
        <v>4166</v>
      </c>
      <c r="J8" s="1546" t="s">
        <v>4167</v>
      </c>
      <c r="K8" s="1547"/>
      <c r="L8" s="1493"/>
      <c r="M8" s="1790"/>
      <c r="N8" s="1548"/>
    </row>
    <row r="9" spans="1:14" s="1904" customFormat="1" ht="78.8" customHeight="1">
      <c r="A9" s="1542">
        <v>5</v>
      </c>
      <c r="B9" s="1495" t="s">
        <v>4168</v>
      </c>
      <c r="C9" s="1901">
        <v>3000</v>
      </c>
      <c r="D9" s="1495" t="s">
        <v>4169</v>
      </c>
      <c r="E9" s="1493" t="s">
        <v>22</v>
      </c>
      <c r="F9" s="1495" t="s">
        <v>4170</v>
      </c>
      <c r="G9" s="1773"/>
      <c r="H9" s="1495" t="s">
        <v>65</v>
      </c>
      <c r="I9" s="1495" t="s">
        <v>4171</v>
      </c>
      <c r="J9" s="1886" t="s">
        <v>4172</v>
      </c>
      <c r="K9" s="1920"/>
      <c r="L9" s="1630"/>
      <c r="M9" s="1882"/>
      <c r="N9" s="1919"/>
    </row>
    <row r="10" spans="1:14" s="1904" customFormat="1" ht="45" customHeight="1">
      <c r="A10" s="1542">
        <v>6</v>
      </c>
      <c r="B10" s="1493" t="s">
        <v>198</v>
      </c>
      <c r="C10" s="1901">
        <v>3240</v>
      </c>
      <c r="D10" s="1495" t="s">
        <v>4173</v>
      </c>
      <c r="E10" s="1493" t="s">
        <v>20</v>
      </c>
      <c r="F10" s="1495" t="s">
        <v>4174</v>
      </c>
      <c r="G10" s="1495"/>
      <c r="H10" s="1495" t="s">
        <v>65</v>
      </c>
      <c r="I10" s="1495" t="s">
        <v>213</v>
      </c>
      <c r="J10" s="1600" t="s">
        <v>4175</v>
      </c>
      <c r="K10" s="1843"/>
      <c r="L10" s="1493"/>
      <c r="M10" s="1790"/>
      <c r="N10" s="1548"/>
    </row>
    <row r="11" spans="1:14" s="1904" customFormat="1" ht="409.6" customHeight="1">
      <c r="A11" s="1542">
        <v>7</v>
      </c>
      <c r="B11" s="1493" t="s">
        <v>4176</v>
      </c>
      <c r="C11" s="1901">
        <v>5515</v>
      </c>
      <c r="D11" s="1495" t="s">
        <v>4177</v>
      </c>
      <c r="E11" s="1493" t="s">
        <v>3386</v>
      </c>
      <c r="F11" s="1495" t="s">
        <v>4178</v>
      </c>
      <c r="G11" s="1495"/>
      <c r="H11" s="1495" t="s">
        <v>65</v>
      </c>
      <c r="I11" s="1495" t="s">
        <v>3552</v>
      </c>
      <c r="J11" s="1600" t="s">
        <v>4179</v>
      </c>
      <c r="K11" s="1843" t="s">
        <v>263</v>
      </c>
      <c r="L11" s="1493"/>
      <c r="M11" s="1790"/>
      <c r="N11" s="1548"/>
    </row>
    <row r="12" spans="1:14" s="1548" customFormat="1" ht="59.95" customHeight="1">
      <c r="A12" s="1542">
        <v>8</v>
      </c>
      <c r="B12" s="1902" t="s">
        <v>4180</v>
      </c>
      <c r="C12" s="1901">
        <v>100</v>
      </c>
      <c r="D12" s="1495" t="s">
        <v>4181</v>
      </c>
      <c r="E12" s="1493"/>
      <c r="F12" s="1495" t="s">
        <v>4182</v>
      </c>
      <c r="G12" s="1495"/>
      <c r="H12" s="1495" t="s">
        <v>65</v>
      </c>
      <c r="I12" s="1921" t="s">
        <v>4183</v>
      </c>
      <c r="J12" s="1464" t="s">
        <v>4184</v>
      </c>
      <c r="K12" s="1547"/>
      <c r="L12" s="1493"/>
      <c r="M12" s="1790"/>
    </row>
    <row r="13" spans="1:14" s="1548" customFormat="1" ht="90.7" customHeight="1">
      <c r="A13" s="1542">
        <v>9</v>
      </c>
      <c r="B13" s="1493" t="s">
        <v>61</v>
      </c>
      <c r="C13" s="1901">
        <v>3950</v>
      </c>
      <c r="D13" s="1495" t="s">
        <v>4173</v>
      </c>
      <c r="E13" s="1493" t="s">
        <v>18</v>
      </c>
      <c r="F13" s="1495" t="s">
        <v>4185</v>
      </c>
      <c r="G13" s="1495"/>
      <c r="H13" s="1495" t="s">
        <v>65</v>
      </c>
      <c r="I13" s="1495" t="s">
        <v>213</v>
      </c>
      <c r="J13" s="1600" t="s">
        <v>4186</v>
      </c>
      <c r="K13" s="1843"/>
      <c r="L13" s="1493"/>
      <c r="M13" s="1790"/>
    </row>
    <row r="14" spans="1:14" s="1548" customFormat="1" ht="95.3" customHeight="1">
      <c r="A14" s="1542">
        <v>10</v>
      </c>
      <c r="B14" s="1493" t="s">
        <v>252</v>
      </c>
      <c r="C14" s="1901">
        <v>3810</v>
      </c>
      <c r="D14" s="1495" t="s">
        <v>4177</v>
      </c>
      <c r="E14" s="1493" t="s">
        <v>20</v>
      </c>
      <c r="F14" s="1495" t="s">
        <v>4187</v>
      </c>
      <c r="G14" s="1495"/>
      <c r="H14" s="1495" t="s">
        <v>65</v>
      </c>
      <c r="I14" s="1495" t="s">
        <v>213</v>
      </c>
      <c r="J14" s="1600" t="s">
        <v>4188</v>
      </c>
      <c r="K14" s="1843"/>
      <c r="L14" s="1493"/>
      <c r="M14" s="1790"/>
    </row>
    <row r="15" spans="1:14" s="1548" customFormat="1" ht="70.5" customHeight="1">
      <c r="A15" s="1850">
        <v>11</v>
      </c>
      <c r="B15" s="1630" t="s">
        <v>4189</v>
      </c>
      <c r="C15" s="1915">
        <v>35000</v>
      </c>
      <c r="D15" s="1851" t="s">
        <v>4190</v>
      </c>
      <c r="E15" s="1630" t="s">
        <v>4191</v>
      </c>
      <c r="F15" s="1851"/>
      <c r="G15" s="1851"/>
      <c r="H15" s="1851" t="s">
        <v>65</v>
      </c>
      <c r="I15" s="1851" t="s">
        <v>4192</v>
      </c>
      <c r="J15" s="1989" t="s">
        <v>4193</v>
      </c>
      <c r="K15" s="1546" t="s">
        <v>4194</v>
      </c>
      <c r="L15" s="1493"/>
      <c r="M15" s="1790"/>
    </row>
    <row r="16" spans="1:14" s="1548" customFormat="1" ht="70.5" customHeight="1">
      <c r="A16" s="1542">
        <v>12</v>
      </c>
      <c r="B16" s="1493" t="s">
        <v>4195</v>
      </c>
      <c r="C16" s="1901">
        <v>7250</v>
      </c>
      <c r="D16" s="1495" t="s">
        <v>4190</v>
      </c>
      <c r="E16" s="1493" t="s">
        <v>18</v>
      </c>
      <c r="F16" s="1495"/>
      <c r="G16" s="1495"/>
      <c r="H16" s="1495" t="s">
        <v>65</v>
      </c>
      <c r="I16" s="1495" t="s">
        <v>164</v>
      </c>
      <c r="J16" s="1600" t="s">
        <v>4196</v>
      </c>
      <c r="K16" s="1843"/>
      <c r="L16" s="1493"/>
      <c r="M16" s="1790"/>
    </row>
    <row r="17" spans="1:13" s="1548" customFormat="1" ht="70.5" customHeight="1">
      <c r="A17" s="1542">
        <v>13</v>
      </c>
      <c r="B17" s="1493" t="s">
        <v>103</v>
      </c>
      <c r="C17" s="1901">
        <v>3300</v>
      </c>
      <c r="D17" s="1495" t="s">
        <v>4197</v>
      </c>
      <c r="E17" s="1493" t="s">
        <v>20</v>
      </c>
      <c r="F17" s="1495" t="s">
        <v>4198</v>
      </c>
      <c r="G17" s="1495"/>
      <c r="H17" s="1495" t="s">
        <v>65</v>
      </c>
      <c r="I17" s="1495" t="s">
        <v>213</v>
      </c>
      <c r="J17" s="1496" t="s">
        <v>4199</v>
      </c>
      <c r="K17" s="1843" t="s">
        <v>4200</v>
      </c>
      <c r="L17" s="1493"/>
      <c r="M17" s="1790"/>
    </row>
    <row r="18" spans="1:13" s="1548" customFormat="1" ht="223.5" customHeight="1">
      <c r="A18" s="1542">
        <v>14</v>
      </c>
      <c r="B18" s="1493" t="s">
        <v>3454</v>
      </c>
      <c r="C18" s="1901">
        <v>24000</v>
      </c>
      <c r="D18" s="1495" t="s">
        <v>4201</v>
      </c>
      <c r="E18" s="1493" t="s">
        <v>14</v>
      </c>
      <c r="F18" s="1495" t="s">
        <v>4202</v>
      </c>
      <c r="G18" s="1495" t="s">
        <v>267</v>
      </c>
      <c r="H18" s="1495" t="s">
        <v>65</v>
      </c>
      <c r="I18" s="1495" t="s">
        <v>3758</v>
      </c>
      <c r="J18" s="1600" t="s">
        <v>4203</v>
      </c>
      <c r="K18" s="1843"/>
      <c r="L18" s="1493"/>
      <c r="M18" s="1790"/>
    </row>
    <row r="19" spans="1:13" s="1548" customFormat="1" ht="95.95" customHeight="1">
      <c r="A19" s="1542">
        <v>15</v>
      </c>
      <c r="B19" s="1493" t="s">
        <v>158</v>
      </c>
      <c r="C19" s="1901">
        <v>3950</v>
      </c>
      <c r="D19" s="1495" t="s">
        <v>4204</v>
      </c>
      <c r="E19" s="1493" t="s">
        <v>22</v>
      </c>
      <c r="F19" s="1495" t="s">
        <v>4205</v>
      </c>
      <c r="G19" s="1495" t="s">
        <v>267</v>
      </c>
      <c r="H19" s="1495" t="s">
        <v>65</v>
      </c>
      <c r="I19" s="1495" t="s">
        <v>117</v>
      </c>
      <c r="J19" s="1600" t="s">
        <v>4206</v>
      </c>
      <c r="K19" s="1843"/>
      <c r="L19" s="1493"/>
      <c r="M19" s="1790"/>
    </row>
    <row r="20" spans="1:13" s="1548" customFormat="1" ht="132.80000000000001" customHeight="1">
      <c r="A20" s="1542">
        <v>16</v>
      </c>
      <c r="B20" s="1493" t="s">
        <v>129</v>
      </c>
      <c r="C20" s="1901">
        <v>3080</v>
      </c>
      <c r="D20" s="1495" t="s">
        <v>4207</v>
      </c>
      <c r="E20" s="1493" t="s">
        <v>24</v>
      </c>
      <c r="F20" s="1495" t="s">
        <v>4208</v>
      </c>
      <c r="G20" s="1495" t="s">
        <v>267</v>
      </c>
      <c r="H20" s="1495" t="s">
        <v>65</v>
      </c>
      <c r="I20" s="1495" t="s">
        <v>4209</v>
      </c>
      <c r="J20" s="1600" t="s">
        <v>4210</v>
      </c>
      <c r="K20" s="1843"/>
      <c r="L20" s="1493"/>
      <c r="M20" s="1790"/>
    </row>
    <row r="21" spans="1:13" s="1548" customFormat="1" ht="66.099999999999994" customHeight="1">
      <c r="A21" s="1542">
        <v>17</v>
      </c>
      <c r="B21" s="1493" t="s">
        <v>3514</v>
      </c>
      <c r="C21" s="1901">
        <v>1500</v>
      </c>
      <c r="D21" s="1495" t="s">
        <v>4211</v>
      </c>
      <c r="E21" s="1493" t="s">
        <v>3386</v>
      </c>
      <c r="F21" s="1624" t="s">
        <v>4212</v>
      </c>
      <c r="G21" s="1495" t="s">
        <v>267</v>
      </c>
      <c r="H21" s="1495" t="s">
        <v>65</v>
      </c>
      <c r="I21" s="1495" t="s">
        <v>327</v>
      </c>
      <c r="J21" s="1600" t="s">
        <v>4213</v>
      </c>
      <c r="K21" s="1843"/>
      <c r="L21" s="1493"/>
      <c r="M21" s="1790"/>
    </row>
    <row r="22" spans="1:13" s="1548" customFormat="1" ht="92.25" customHeight="1">
      <c r="A22" s="1542">
        <v>18</v>
      </c>
      <c r="B22" s="1493" t="s">
        <v>114</v>
      </c>
      <c r="C22" s="1901">
        <v>3720</v>
      </c>
      <c r="D22" s="1495" t="s">
        <v>4214</v>
      </c>
      <c r="E22" s="1493" t="s">
        <v>18</v>
      </c>
      <c r="F22" s="1495" t="s">
        <v>4215</v>
      </c>
      <c r="G22" s="1495" t="s">
        <v>267</v>
      </c>
      <c r="H22" s="1495" t="s">
        <v>65</v>
      </c>
      <c r="I22" s="1495" t="s">
        <v>213</v>
      </c>
      <c r="J22" s="1600" t="s">
        <v>4216</v>
      </c>
      <c r="K22" s="1843" t="s">
        <v>4200</v>
      </c>
      <c r="L22" s="1493"/>
      <c r="M22" s="1790"/>
    </row>
    <row r="23" spans="1:13" s="1548" customFormat="1" ht="59.95" customHeight="1">
      <c r="A23" s="1542">
        <v>19</v>
      </c>
      <c r="B23" s="1493" t="s">
        <v>3895</v>
      </c>
      <c r="C23" s="1901">
        <v>3950</v>
      </c>
      <c r="D23" s="1495" t="s">
        <v>4217</v>
      </c>
      <c r="E23" s="1493" t="s">
        <v>24</v>
      </c>
      <c r="F23" s="1495" t="s">
        <v>4218</v>
      </c>
      <c r="G23" s="1495" t="s">
        <v>267</v>
      </c>
      <c r="H23" s="1495" t="s">
        <v>65</v>
      </c>
      <c r="I23" s="1495" t="s">
        <v>213</v>
      </c>
      <c r="J23" s="1600" t="s">
        <v>4219</v>
      </c>
      <c r="K23" s="1843"/>
      <c r="L23" s="1493"/>
      <c r="M23" s="1790"/>
    </row>
    <row r="24" spans="1:13" s="1548" customFormat="1" ht="73.55" customHeight="1">
      <c r="A24" s="1542">
        <v>20</v>
      </c>
      <c r="B24" s="1493" t="s">
        <v>2962</v>
      </c>
      <c r="C24" s="1901">
        <v>6050</v>
      </c>
      <c r="D24" s="1495" t="s">
        <v>4220</v>
      </c>
      <c r="E24" s="1493" t="s">
        <v>16</v>
      </c>
      <c r="F24" s="1495" t="s">
        <v>4221</v>
      </c>
      <c r="G24" s="1495" t="s">
        <v>394</v>
      </c>
      <c r="H24" s="1495" t="s">
        <v>65</v>
      </c>
      <c r="I24" s="1495" t="s">
        <v>213</v>
      </c>
      <c r="J24" s="1600" t="s">
        <v>4222</v>
      </c>
      <c r="K24" s="1843"/>
      <c r="L24" s="1493"/>
      <c r="M24" s="1790"/>
    </row>
    <row r="25" spans="1:13" s="1548" customFormat="1" ht="73.55" customHeight="1">
      <c r="A25" s="1542">
        <v>21</v>
      </c>
      <c r="B25" s="1493" t="s">
        <v>4223</v>
      </c>
      <c r="C25" s="1901">
        <v>7700</v>
      </c>
      <c r="D25" s="1495" t="s">
        <v>4224</v>
      </c>
      <c r="E25" s="1935" t="s">
        <v>192</v>
      </c>
      <c r="F25" s="1495" t="s">
        <v>4225</v>
      </c>
      <c r="G25" s="1495" t="s">
        <v>4226</v>
      </c>
      <c r="H25" s="1495" t="s">
        <v>65</v>
      </c>
      <c r="I25" s="1495" t="s">
        <v>213</v>
      </c>
      <c r="J25" s="1600" t="s">
        <v>4227</v>
      </c>
      <c r="K25" s="1843" t="s">
        <v>4228</v>
      </c>
      <c r="L25" s="1493"/>
      <c r="M25" s="1790"/>
    </row>
    <row r="26" spans="1:13" s="1548" customFormat="1" ht="103.6" customHeight="1">
      <c r="A26" s="1542">
        <v>22</v>
      </c>
      <c r="B26" s="1493" t="s">
        <v>3602</v>
      </c>
      <c r="C26" s="1901">
        <v>3450</v>
      </c>
      <c r="D26" s="1495" t="s">
        <v>4224</v>
      </c>
      <c r="E26" s="1493" t="s">
        <v>20</v>
      </c>
      <c r="F26" s="1495" t="s">
        <v>4229</v>
      </c>
      <c r="G26" s="1495" t="s">
        <v>4226</v>
      </c>
      <c r="H26" s="1495" t="s">
        <v>65</v>
      </c>
      <c r="I26" s="1495" t="s">
        <v>213</v>
      </c>
      <c r="J26" s="1600" t="s">
        <v>4230</v>
      </c>
      <c r="K26" s="1843"/>
      <c r="L26" s="1493"/>
      <c r="M26" s="1790"/>
    </row>
    <row r="27" spans="1:13" s="1548" customFormat="1" ht="67.599999999999994" customHeight="1">
      <c r="A27" s="1542">
        <v>23</v>
      </c>
      <c r="B27" s="1493" t="s">
        <v>134</v>
      </c>
      <c r="C27" s="1901">
        <v>2950</v>
      </c>
      <c r="D27" s="1495" t="s">
        <v>4224</v>
      </c>
      <c r="E27" s="1495" t="s">
        <v>22</v>
      </c>
      <c r="F27" s="1495" t="s">
        <v>4231</v>
      </c>
      <c r="G27" s="1495" t="s">
        <v>4226</v>
      </c>
      <c r="H27" s="1495" t="s">
        <v>65</v>
      </c>
      <c r="I27" s="1495" t="s">
        <v>142</v>
      </c>
      <c r="J27" s="1600" t="s">
        <v>4232</v>
      </c>
      <c r="K27" s="1547"/>
      <c r="L27" s="1493"/>
      <c r="M27" s="1790"/>
    </row>
    <row r="28" spans="1:13" s="1548" customFormat="1" ht="408.75" customHeight="1">
      <c r="A28" s="1542">
        <v>24</v>
      </c>
      <c r="B28" s="1495" t="s">
        <v>4233</v>
      </c>
      <c r="C28" s="1901">
        <v>6000</v>
      </c>
      <c r="D28" s="1495" t="s">
        <v>4234</v>
      </c>
      <c r="E28" s="1493" t="s">
        <v>3386</v>
      </c>
      <c r="F28" s="1495" t="s">
        <v>4235</v>
      </c>
      <c r="G28" s="1495" t="s">
        <v>263</v>
      </c>
      <c r="H28" s="1495" t="s">
        <v>65</v>
      </c>
      <c r="I28" s="1495" t="s">
        <v>4236</v>
      </c>
      <c r="J28" s="1600" t="s">
        <v>4237</v>
      </c>
      <c r="K28" s="1600" t="s">
        <v>4238</v>
      </c>
      <c r="L28" s="1493"/>
      <c r="M28" s="1790"/>
    </row>
    <row r="29" spans="1:13" s="1548" customFormat="1" ht="154.55000000000001" customHeight="1">
      <c r="A29" s="1542">
        <v>25</v>
      </c>
      <c r="B29" s="1493" t="s">
        <v>4239</v>
      </c>
      <c r="C29" s="1901">
        <v>8750</v>
      </c>
      <c r="D29" s="1495" t="s">
        <v>4224</v>
      </c>
      <c r="E29" s="1495" t="s">
        <v>3136</v>
      </c>
      <c r="F29" s="1495" t="s">
        <v>4240</v>
      </c>
      <c r="G29" s="1495" t="s">
        <v>4241</v>
      </c>
      <c r="H29" s="1495" t="s">
        <v>65</v>
      </c>
      <c r="I29" s="1495" t="s">
        <v>4242</v>
      </c>
      <c r="J29" s="1600" t="s">
        <v>4243</v>
      </c>
      <c r="K29" s="1547"/>
      <c r="L29" s="1493"/>
      <c r="M29" s="1790"/>
    </row>
    <row r="30" spans="1:13" s="1548" customFormat="1" ht="93.1" customHeight="1">
      <c r="A30" s="1542">
        <v>26</v>
      </c>
      <c r="B30" s="1493" t="s">
        <v>3436</v>
      </c>
      <c r="C30" s="1901">
        <v>9000</v>
      </c>
      <c r="D30" s="1495" t="s">
        <v>4234</v>
      </c>
      <c r="E30" s="1495" t="s">
        <v>18</v>
      </c>
      <c r="F30" s="1495"/>
      <c r="G30" s="1495" t="s">
        <v>4226</v>
      </c>
      <c r="H30" s="1495" t="s">
        <v>65</v>
      </c>
      <c r="I30" s="1495" t="s">
        <v>213</v>
      </c>
      <c r="J30" s="1600" t="s">
        <v>4244</v>
      </c>
      <c r="K30" s="1547"/>
      <c r="L30" s="1493"/>
      <c r="M30" s="1790"/>
    </row>
    <row r="31" spans="1:13" s="1559" customFormat="1" ht="66.75" customHeight="1">
      <c r="A31" s="1553">
        <v>27</v>
      </c>
      <c r="B31" s="1545" t="s">
        <v>258</v>
      </c>
      <c r="C31" s="1913">
        <v>4250</v>
      </c>
      <c r="D31" s="1495" t="s">
        <v>4245</v>
      </c>
      <c r="E31" s="1935" t="s">
        <v>16</v>
      </c>
      <c r="F31" s="1495" t="s">
        <v>4246</v>
      </c>
      <c r="G31" s="1495"/>
      <c r="H31" s="1495" t="s">
        <v>65</v>
      </c>
      <c r="I31" s="1773" t="s">
        <v>213</v>
      </c>
      <c r="J31" s="1605" t="s">
        <v>4247</v>
      </c>
      <c r="K31" s="1936"/>
      <c r="L31" s="1545"/>
      <c r="M31" s="1852"/>
    </row>
    <row r="32" spans="1:13" s="1548" customFormat="1" ht="81" customHeight="1">
      <c r="A32" s="1542">
        <v>28</v>
      </c>
      <c r="B32" s="1493" t="s">
        <v>3499</v>
      </c>
      <c r="C32" s="1901">
        <v>4000</v>
      </c>
      <c r="D32" s="1495" t="s">
        <v>4248</v>
      </c>
      <c r="E32" s="1935" t="s">
        <v>20</v>
      </c>
      <c r="F32" s="1543" t="s">
        <v>4249</v>
      </c>
      <c r="G32" s="1568"/>
      <c r="H32" s="1495" t="s">
        <v>65</v>
      </c>
      <c r="I32" s="1773" t="s">
        <v>213</v>
      </c>
      <c r="J32" s="1600" t="s">
        <v>4250</v>
      </c>
      <c r="K32" s="1771"/>
      <c r="L32" s="1493"/>
      <c r="M32" s="1790"/>
    </row>
    <row r="33" spans="1:13" s="1548" customFormat="1" ht="66.75" customHeight="1">
      <c r="A33" s="1542">
        <v>29</v>
      </c>
      <c r="B33" s="1493" t="s">
        <v>3432</v>
      </c>
      <c r="C33" s="1901">
        <v>3300</v>
      </c>
      <c r="D33" s="1495" t="s">
        <v>4251</v>
      </c>
      <c r="E33" s="1935" t="s">
        <v>24</v>
      </c>
      <c r="F33" s="1543" t="s">
        <v>4252</v>
      </c>
      <c r="G33" s="1568"/>
      <c r="H33" s="1495" t="s">
        <v>65</v>
      </c>
      <c r="I33" s="1773" t="s">
        <v>213</v>
      </c>
      <c r="J33" s="1600" t="s">
        <v>4253</v>
      </c>
      <c r="K33" s="1771"/>
      <c r="L33" s="1493"/>
      <c r="M33" s="1790"/>
    </row>
    <row r="34" spans="1:13" s="1945" customFormat="1" ht="106.5" customHeight="1">
      <c r="A34" s="1917">
        <v>30</v>
      </c>
      <c r="B34" s="1869" t="s">
        <v>4254</v>
      </c>
      <c r="C34" s="1918">
        <v>10800</v>
      </c>
      <c r="D34" s="1875" t="s">
        <v>4255</v>
      </c>
      <c r="E34" s="1942" t="s">
        <v>18</v>
      </c>
      <c r="F34" s="1543" t="s">
        <v>4256</v>
      </c>
      <c r="G34" s="1943" t="s">
        <v>4257</v>
      </c>
      <c r="H34" s="1543" t="s">
        <v>65</v>
      </c>
      <c r="I34" s="1899" t="s">
        <v>66</v>
      </c>
      <c r="J34" s="1990" t="s">
        <v>4258</v>
      </c>
      <c r="K34" s="1944"/>
      <c r="L34" s="1871"/>
      <c r="M34" s="1867"/>
    </row>
    <row r="35" spans="1:13" s="1548" customFormat="1" ht="66.75" customHeight="1">
      <c r="A35" s="1542">
        <v>31</v>
      </c>
      <c r="B35" s="1493" t="s">
        <v>4016</v>
      </c>
      <c r="C35" s="1901">
        <v>3550</v>
      </c>
      <c r="D35" s="1495" t="s">
        <v>4259</v>
      </c>
      <c r="E35" s="1493" t="s">
        <v>20</v>
      </c>
      <c r="F35" s="1495" t="s">
        <v>4260</v>
      </c>
      <c r="G35" s="1937" t="s">
        <v>4261</v>
      </c>
      <c r="H35" s="1495" t="s">
        <v>65</v>
      </c>
      <c r="I35" s="1495" t="s">
        <v>213</v>
      </c>
      <c r="J35" s="1600" t="s">
        <v>4262</v>
      </c>
      <c r="K35" s="1547"/>
      <c r="L35" s="1493"/>
      <c r="M35" s="1790"/>
    </row>
    <row r="36" spans="1:13" s="1883" customFormat="1" ht="63" customHeight="1">
      <c r="A36" s="1850">
        <v>32</v>
      </c>
      <c r="B36" s="1630" t="s">
        <v>260</v>
      </c>
      <c r="C36" s="1915">
        <v>3750</v>
      </c>
      <c r="D36" s="1851" t="s">
        <v>4263</v>
      </c>
      <c r="E36" s="1935" t="s">
        <v>20</v>
      </c>
      <c r="F36" s="1851" t="s">
        <v>4264</v>
      </c>
      <c r="G36" s="1937" t="s">
        <v>4265</v>
      </c>
      <c r="H36" s="1495" t="s">
        <v>65</v>
      </c>
      <c r="I36" s="1495" t="s">
        <v>558</v>
      </c>
      <c r="J36" s="1873" t="s">
        <v>4266</v>
      </c>
      <c r="K36" s="1938"/>
      <c r="L36" s="1630"/>
      <c r="M36" s="1882"/>
    </row>
    <row r="37" spans="1:13" s="1883" customFormat="1" ht="140.94999999999999" customHeight="1">
      <c r="A37" s="1850">
        <v>33</v>
      </c>
      <c r="B37" s="1630" t="s">
        <v>4168</v>
      </c>
      <c r="C37" s="1915">
        <v>3350</v>
      </c>
      <c r="D37" s="1851" t="s">
        <v>4267</v>
      </c>
      <c r="E37" s="1935" t="s">
        <v>22</v>
      </c>
      <c r="F37" s="1495" t="s">
        <v>194</v>
      </c>
      <c r="G37" s="1939" t="s">
        <v>4268</v>
      </c>
      <c r="H37" s="1495" t="s">
        <v>65</v>
      </c>
      <c r="I37" s="1495" t="s">
        <v>558</v>
      </c>
      <c r="J37" s="1991" t="s">
        <v>4269</v>
      </c>
      <c r="K37" s="1940"/>
      <c r="L37" s="1941"/>
      <c r="M37" s="1882"/>
    </row>
    <row r="38" spans="1:13" s="1548" customFormat="1" ht="66.75" customHeight="1">
      <c r="A38" s="1542">
        <v>34</v>
      </c>
      <c r="B38" s="1493" t="s">
        <v>4270</v>
      </c>
      <c r="C38" s="1901">
        <v>7000</v>
      </c>
      <c r="D38" s="1495" t="s">
        <v>4271</v>
      </c>
      <c r="E38" s="1935" t="s">
        <v>3136</v>
      </c>
      <c r="F38" s="1495"/>
      <c r="G38" s="1568" t="s">
        <v>4272</v>
      </c>
      <c r="H38" s="1495" t="s">
        <v>65</v>
      </c>
      <c r="I38" s="1495" t="s">
        <v>3989</v>
      </c>
      <c r="J38" s="1600" t="s">
        <v>4273</v>
      </c>
      <c r="K38" s="1547"/>
      <c r="L38" s="1493"/>
      <c r="M38" s="1790"/>
    </row>
    <row r="39" spans="1:13" s="1883" customFormat="1" ht="69.8" customHeight="1">
      <c r="A39" s="1850">
        <v>35</v>
      </c>
      <c r="B39" s="1630" t="s">
        <v>3508</v>
      </c>
      <c r="C39" s="1915">
        <v>4280</v>
      </c>
      <c r="D39" s="1851" t="s">
        <v>4274</v>
      </c>
      <c r="E39" s="1935" t="s">
        <v>20</v>
      </c>
      <c r="F39" s="1875" t="s">
        <v>4275</v>
      </c>
      <c r="G39" s="1943" t="s">
        <v>4265</v>
      </c>
      <c r="H39" s="1543" t="s">
        <v>65</v>
      </c>
      <c r="I39" s="1543" t="s">
        <v>240</v>
      </c>
      <c r="J39" s="1873" t="s">
        <v>4276</v>
      </c>
      <c r="K39" s="1920"/>
      <c r="L39" s="1630"/>
      <c r="M39" s="1882"/>
    </row>
    <row r="40" spans="1:13" s="1883" customFormat="1" ht="128.25" customHeight="1">
      <c r="A40" s="1850">
        <v>36</v>
      </c>
      <c r="B40" s="1630" t="s">
        <v>3361</v>
      </c>
      <c r="C40" s="1915">
        <v>8800</v>
      </c>
      <c r="D40" s="1872" t="s">
        <v>4277</v>
      </c>
      <c r="E40" s="1935" t="s">
        <v>192</v>
      </c>
      <c r="F40" s="1495" t="s">
        <v>4278</v>
      </c>
      <c r="G40" s="1495" t="s">
        <v>4265</v>
      </c>
      <c r="H40" s="1495" t="s">
        <v>65</v>
      </c>
      <c r="I40" s="1495" t="s">
        <v>213</v>
      </c>
      <c r="J40" s="1873" t="s">
        <v>4279</v>
      </c>
      <c r="K40" s="1938"/>
      <c r="L40" s="1630"/>
      <c r="M40" s="1882"/>
    </row>
    <row r="41" spans="1:13" s="1548" customFormat="1" ht="75.099999999999994" customHeight="1">
      <c r="A41" s="1542">
        <v>37</v>
      </c>
      <c r="B41" s="1493" t="s">
        <v>4280</v>
      </c>
      <c r="C41" s="1901">
        <v>17000</v>
      </c>
      <c r="D41" s="1495" t="s">
        <v>4281</v>
      </c>
      <c r="E41" s="1769" t="s">
        <v>4282</v>
      </c>
      <c r="F41" s="1851"/>
      <c r="G41" s="1947" t="s">
        <v>4265</v>
      </c>
      <c r="H41" s="1851" t="s">
        <v>65</v>
      </c>
      <c r="I41" s="1851" t="s">
        <v>3883</v>
      </c>
      <c r="J41" s="1600" t="s">
        <v>4283</v>
      </c>
      <c r="K41" s="1547"/>
      <c r="L41" s="1493"/>
      <c r="M41" s="1790"/>
    </row>
    <row r="42" spans="1:13" s="1559" customFormat="1" ht="67.599999999999994" customHeight="1">
      <c r="A42" s="1553">
        <v>38</v>
      </c>
      <c r="B42" s="1545" t="s">
        <v>139</v>
      </c>
      <c r="C42" s="1913">
        <v>4350</v>
      </c>
      <c r="D42" s="1899" t="s">
        <v>4284</v>
      </c>
      <c r="E42" s="1493" t="s">
        <v>24</v>
      </c>
      <c r="F42" s="1946" t="s">
        <v>194</v>
      </c>
      <c r="G42" s="1937" t="s">
        <v>4265</v>
      </c>
      <c r="H42" s="1543" t="s">
        <v>65</v>
      </c>
      <c r="I42" s="1543" t="s">
        <v>164</v>
      </c>
      <c r="J42" s="1605" t="s">
        <v>4285</v>
      </c>
      <c r="K42" s="1936"/>
      <c r="L42" s="1545"/>
      <c r="M42" s="1852"/>
    </row>
    <row r="43" spans="1:13" s="1548" customFormat="1" ht="180" customHeight="1">
      <c r="A43" s="1542">
        <v>39</v>
      </c>
      <c r="B43" s="1493" t="s">
        <v>252</v>
      </c>
      <c r="C43" s="1901">
        <v>4000</v>
      </c>
      <c r="D43" s="1495" t="s">
        <v>4286</v>
      </c>
      <c r="E43" s="1935" t="s">
        <v>20</v>
      </c>
      <c r="F43" s="1495" t="s">
        <v>4287</v>
      </c>
      <c r="G43" s="1937" t="s">
        <v>4265</v>
      </c>
      <c r="H43" s="1495" t="s">
        <v>65</v>
      </c>
      <c r="I43" s="1495" t="s">
        <v>558</v>
      </c>
      <c r="J43" s="1886" t="s">
        <v>4288</v>
      </c>
      <c r="K43" s="1547"/>
      <c r="L43" s="1493"/>
      <c r="M43" s="1790"/>
    </row>
    <row r="44" spans="1:13" s="1548" customFormat="1" ht="91.55" customHeight="1">
      <c r="A44" s="1542">
        <v>40</v>
      </c>
      <c r="B44" s="1493" t="s">
        <v>4195</v>
      </c>
      <c r="C44" s="1901">
        <v>7200</v>
      </c>
      <c r="D44" s="1495" t="s">
        <v>4289</v>
      </c>
      <c r="E44" s="1493" t="s">
        <v>22</v>
      </c>
      <c r="F44" s="1495" t="s">
        <v>4290</v>
      </c>
      <c r="G44" s="1495" t="s">
        <v>4265</v>
      </c>
      <c r="H44" s="1900" t="s">
        <v>65</v>
      </c>
      <c r="I44" s="1899" t="s">
        <v>66</v>
      </c>
      <c r="J44" s="1600" t="s">
        <v>4291</v>
      </c>
      <c r="K44" s="1908" t="s">
        <v>4292</v>
      </c>
      <c r="L44" s="1493"/>
      <c r="M44" s="1790"/>
    </row>
    <row r="45" spans="1:13" s="1548" customFormat="1" ht="143.35" customHeight="1">
      <c r="A45" s="1542">
        <v>41</v>
      </c>
      <c r="B45" s="1493" t="s">
        <v>158</v>
      </c>
      <c r="C45" s="1901">
        <v>4000</v>
      </c>
      <c r="D45" s="1495" t="s">
        <v>4293</v>
      </c>
      <c r="E45" s="1769" t="s">
        <v>22</v>
      </c>
      <c r="F45" s="1875" t="s">
        <v>4294</v>
      </c>
      <c r="G45" s="1943" t="s">
        <v>4265</v>
      </c>
      <c r="H45" s="1495" t="s">
        <v>65</v>
      </c>
      <c r="I45" s="1495" t="s">
        <v>558</v>
      </c>
      <c r="J45" s="1992" t="s">
        <v>4295</v>
      </c>
      <c r="K45" s="1908"/>
      <c r="L45" s="1626"/>
      <c r="M45" s="1790"/>
    </row>
    <row r="46" spans="1:13" s="1883" customFormat="1" ht="73.55" customHeight="1">
      <c r="A46" s="1850">
        <v>42</v>
      </c>
      <c r="B46" s="1630" t="s">
        <v>134</v>
      </c>
      <c r="C46" s="1915">
        <v>2900</v>
      </c>
      <c r="D46" s="1851" t="s">
        <v>4296</v>
      </c>
      <c r="E46" s="1769" t="s">
        <v>22</v>
      </c>
      <c r="F46" s="1495" t="s">
        <v>4297</v>
      </c>
      <c r="G46" s="1495" t="s">
        <v>4265</v>
      </c>
      <c r="H46" s="1851" t="s">
        <v>65</v>
      </c>
      <c r="I46" s="1947" t="s">
        <v>142</v>
      </c>
      <c r="J46" s="1991" t="s">
        <v>4298</v>
      </c>
      <c r="K46" s="1881"/>
      <c r="L46" s="1941"/>
      <c r="M46" s="1882"/>
    </row>
    <row r="47" spans="1:13" s="1958" customFormat="1" ht="62.35" customHeight="1">
      <c r="A47" s="1954">
        <v>43</v>
      </c>
      <c r="B47" s="423" t="s">
        <v>4299</v>
      </c>
      <c r="C47" s="1955">
        <v>5000</v>
      </c>
      <c r="D47" s="427" t="s">
        <v>4300</v>
      </c>
      <c r="E47" s="423" t="s">
        <v>38</v>
      </c>
      <c r="F47" s="427"/>
      <c r="G47" s="427"/>
      <c r="H47" s="1953" t="s">
        <v>65</v>
      </c>
      <c r="I47" s="427" t="s">
        <v>219</v>
      </c>
      <c r="J47" s="424" t="s">
        <v>4301</v>
      </c>
      <c r="K47" s="1956"/>
      <c r="L47" s="423"/>
      <c r="M47" s="1957"/>
    </row>
    <row r="48" spans="1:13" s="1777" customFormat="1" ht="68.3" customHeight="1">
      <c r="A48" s="738">
        <v>44</v>
      </c>
      <c r="B48" s="102"/>
      <c r="C48" s="1167"/>
      <c r="D48" s="109"/>
      <c r="E48" s="102"/>
      <c r="F48" s="109"/>
      <c r="G48" s="109"/>
      <c r="H48" s="109"/>
      <c r="I48" s="109"/>
      <c r="J48" s="696"/>
      <c r="K48" s="143"/>
      <c r="L48" s="102"/>
      <c r="M48" s="1853"/>
    </row>
    <row r="49" spans="1:13" s="1777" customFormat="1" ht="59.3"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7" priority="1071"/>
  </conditionalFormatting>
  <conditionalFormatting sqref="A4">
    <cfRule type="duplicateValues" dxfId="436" priority="4"/>
  </conditionalFormatting>
  <conditionalFormatting sqref="B4">
    <cfRule type="duplicateValues" dxfId="435" priority="1"/>
    <cfRule type="duplicateValues" dxfId="434" priority="2"/>
    <cfRule type="duplicateValues" dxfId="433"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375" style="271" customWidth="1"/>
    <col min="10" max="10" width="162.37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71"/>
      <c r="D1" s="3671"/>
      <c r="E1" s="3671"/>
      <c r="F1" s="3671"/>
      <c r="G1" s="3671"/>
      <c r="H1" s="3671"/>
      <c r="I1" s="3671"/>
      <c r="J1" s="3671"/>
      <c r="K1" s="3671"/>
      <c r="M1" s="1848"/>
    </row>
    <row r="2" spans="1:14" ht="3.75" customHeight="1">
      <c r="A2" s="3760"/>
      <c r="B2" s="3760"/>
      <c r="C2" s="3760"/>
      <c r="D2" s="3760"/>
      <c r="E2" s="3760"/>
      <c r="F2" s="3760"/>
      <c r="G2" s="3760"/>
      <c r="H2" s="3760"/>
      <c r="I2" s="3760"/>
      <c r="J2" s="3760"/>
      <c r="K2" s="3760"/>
      <c r="L2" s="3760"/>
      <c r="M2" s="3760"/>
      <c r="N2" s="287"/>
    </row>
    <row r="3" spans="1:14" ht="54" customHeight="1">
      <c r="A3" s="3755" t="s">
        <v>3428</v>
      </c>
      <c r="B3" s="3755"/>
      <c r="C3" s="3755"/>
      <c r="D3" s="3755"/>
      <c r="E3" s="3755"/>
      <c r="F3" s="3755"/>
      <c r="G3" s="3755"/>
      <c r="H3" s="3755"/>
      <c r="I3" s="3755"/>
      <c r="J3" s="3755"/>
      <c r="K3" s="3756"/>
      <c r="L3" s="1905"/>
      <c r="M3" s="1905"/>
      <c r="N3" s="287"/>
    </row>
    <row r="4" spans="1:14" ht="37.549999999999997" customHeight="1">
      <c r="A4" s="3759" t="s">
        <v>3429</v>
      </c>
      <c r="B4" s="3759"/>
      <c r="C4" s="1898">
        <f>SUBTOTAL(9,C6:C47)</f>
        <v>244885</v>
      </c>
      <c r="D4" s="1503"/>
      <c r="E4" s="1849"/>
      <c r="F4" s="1503"/>
      <c r="G4" s="1503"/>
      <c r="H4" s="1503"/>
      <c r="I4" s="1503"/>
      <c r="J4" s="1906">
        <f ca="1">TODAY()</f>
        <v>45988</v>
      </c>
      <c r="K4" s="143"/>
      <c r="L4" s="1907"/>
      <c r="M4" s="1849"/>
      <c r="N4" s="287"/>
    </row>
    <row r="5" spans="1:14" s="1535" customFormat="1" ht="60.8" customHeight="1">
      <c r="A5" s="1896" t="s">
        <v>48</v>
      </c>
      <c r="B5" s="1897" t="s">
        <v>49</v>
      </c>
      <c r="C5" s="1178" t="s">
        <v>50</v>
      </c>
      <c r="D5" s="679" t="s">
        <v>3573</v>
      </c>
      <c r="E5" s="679" t="s">
        <v>52</v>
      </c>
      <c r="F5" s="679" t="s">
        <v>3574</v>
      </c>
      <c r="G5" s="679" t="s">
        <v>54</v>
      </c>
      <c r="H5" s="679" t="s">
        <v>55</v>
      </c>
      <c r="I5" s="679" t="s">
        <v>56</v>
      </c>
      <c r="J5" s="679" t="s">
        <v>57</v>
      </c>
      <c r="K5" s="1897" t="s">
        <v>58</v>
      </c>
      <c r="L5" s="679" t="s">
        <v>59</v>
      </c>
      <c r="M5" s="1892" t="s">
        <v>60</v>
      </c>
      <c r="N5" s="1893" t="e">
        <f>SUM(#REF!)</f>
        <v>#REF!</v>
      </c>
    </row>
    <row r="6" spans="1:14" s="1904" customFormat="1" ht="66.75" customHeight="1">
      <c r="A6" s="1542" cm="1">
        <f t="array" ref="A6:A50">_xlfn.SEQUENCE(45,1,1,)</f>
        <v>1</v>
      </c>
      <c r="B6" s="1493" t="s">
        <v>97</v>
      </c>
      <c r="C6" s="1494">
        <v>4600</v>
      </c>
      <c r="D6" s="1495" t="s">
        <v>4302</v>
      </c>
      <c r="E6" s="1493" t="s">
        <v>26</v>
      </c>
      <c r="F6" s="1495" t="s">
        <v>4303</v>
      </c>
      <c r="G6" s="1495" t="s">
        <v>64</v>
      </c>
      <c r="H6" s="1495" t="s">
        <v>65</v>
      </c>
      <c r="I6" s="1495" t="s">
        <v>117</v>
      </c>
      <c r="J6" s="1496" t="s">
        <v>4304</v>
      </c>
      <c r="K6" s="1547"/>
      <c r="L6" s="1493"/>
      <c r="M6" s="1790"/>
      <c r="N6" s="1548"/>
    </row>
    <row r="7" spans="1:14" s="1904" customFormat="1" ht="66.75" customHeight="1">
      <c r="A7" s="1542">
        <v>2</v>
      </c>
      <c r="B7" s="1493" t="s">
        <v>260</v>
      </c>
      <c r="C7" s="1494">
        <v>3800</v>
      </c>
      <c r="D7" s="1495" t="s">
        <v>4302</v>
      </c>
      <c r="E7" s="1493" t="s">
        <v>20</v>
      </c>
      <c r="F7" s="1495" t="s">
        <v>4305</v>
      </c>
      <c r="G7" s="1495" t="s">
        <v>64</v>
      </c>
      <c r="H7" s="1495" t="s">
        <v>65</v>
      </c>
      <c r="I7" s="1495" t="s">
        <v>240</v>
      </c>
      <c r="J7" s="1496" t="s">
        <v>4306</v>
      </c>
      <c r="K7" s="1547"/>
      <c r="L7" s="1493"/>
      <c r="M7" s="1790"/>
      <c r="N7" s="1548"/>
    </row>
    <row r="8" spans="1:14" s="1904" customFormat="1" ht="91.55" customHeight="1">
      <c r="A8" s="1542">
        <v>3</v>
      </c>
      <c r="B8" s="1493" t="s">
        <v>103</v>
      </c>
      <c r="C8" s="1494">
        <v>3300</v>
      </c>
      <c r="D8" s="1495" t="s">
        <v>4307</v>
      </c>
      <c r="E8" s="1493" t="s">
        <v>20</v>
      </c>
      <c r="F8" s="1495" t="s">
        <v>4308</v>
      </c>
      <c r="G8" s="1495" t="s">
        <v>64</v>
      </c>
      <c r="H8" s="1495" t="s">
        <v>65</v>
      </c>
      <c r="I8" s="1495" t="s">
        <v>558</v>
      </c>
      <c r="J8" s="1496" t="s">
        <v>4309</v>
      </c>
      <c r="K8" s="1547"/>
      <c r="L8" s="1493"/>
      <c r="M8" s="1790"/>
      <c r="N8" s="1548"/>
    </row>
    <row r="9" spans="1:14" s="1904" customFormat="1" ht="66.75" customHeight="1">
      <c r="A9" s="1542">
        <v>4</v>
      </c>
      <c r="B9" s="1493" t="s">
        <v>2956</v>
      </c>
      <c r="C9" s="1494">
        <v>3200</v>
      </c>
      <c r="D9" s="1495" t="s">
        <v>4310</v>
      </c>
      <c r="E9" s="1493" t="s">
        <v>24</v>
      </c>
      <c r="F9" s="1495" t="s">
        <v>4311</v>
      </c>
      <c r="G9" s="1495" t="s">
        <v>64</v>
      </c>
      <c r="H9" s="1495" t="s">
        <v>65</v>
      </c>
      <c r="I9" s="1495" t="s">
        <v>106</v>
      </c>
      <c r="J9" s="1496" t="s">
        <v>4312</v>
      </c>
      <c r="K9" s="1547"/>
      <c r="L9" s="1493"/>
      <c r="M9" s="1790"/>
      <c r="N9" s="1548"/>
    </row>
    <row r="10" spans="1:14" s="1904" customFormat="1" ht="83.25" customHeight="1">
      <c r="A10" s="1542">
        <v>5</v>
      </c>
      <c r="B10" s="1493" t="s">
        <v>198</v>
      </c>
      <c r="C10" s="1494">
        <v>3200</v>
      </c>
      <c r="D10" s="1495" t="s">
        <v>4313</v>
      </c>
      <c r="E10" s="1493" t="s">
        <v>24</v>
      </c>
      <c r="F10" s="1495" t="s">
        <v>4314</v>
      </c>
      <c r="G10" s="1495" t="s">
        <v>64</v>
      </c>
      <c r="H10" s="1495" t="s">
        <v>65</v>
      </c>
      <c r="I10" s="1495" t="s">
        <v>558</v>
      </c>
      <c r="J10" s="1600" t="s">
        <v>4315</v>
      </c>
      <c r="K10" s="1547"/>
      <c r="L10" s="1493"/>
      <c r="M10" s="1790"/>
      <c r="N10" s="1548"/>
    </row>
    <row r="11" spans="1:14" s="1904" customFormat="1" ht="63.7" customHeight="1">
      <c r="A11" s="1542">
        <v>6</v>
      </c>
      <c r="B11" s="1493" t="s">
        <v>4316</v>
      </c>
      <c r="C11" s="1494">
        <v>3800</v>
      </c>
      <c r="D11" s="1495" t="s">
        <v>4317</v>
      </c>
      <c r="E11" s="1493" t="s">
        <v>18</v>
      </c>
      <c r="F11" s="1495" t="s">
        <v>4318</v>
      </c>
      <c r="G11" s="1495" t="s">
        <v>64</v>
      </c>
      <c r="H11" s="1495" t="s">
        <v>65</v>
      </c>
      <c r="I11" s="1495" t="s">
        <v>106</v>
      </c>
      <c r="J11" s="1600" t="s">
        <v>4319</v>
      </c>
      <c r="K11" s="1547"/>
      <c r="L11" s="1493"/>
      <c r="M11" s="1790"/>
      <c r="N11" s="1548"/>
    </row>
    <row r="12" spans="1:14" s="1904" customFormat="1" ht="113.3" customHeight="1">
      <c r="A12" s="1542">
        <v>7</v>
      </c>
      <c r="B12" s="1493" t="s">
        <v>4320</v>
      </c>
      <c r="C12" s="1494">
        <v>6600</v>
      </c>
      <c r="D12" s="1495" t="s">
        <v>4321</v>
      </c>
      <c r="E12" s="1493" t="s">
        <v>3136</v>
      </c>
      <c r="F12" s="1495" t="s">
        <v>4322</v>
      </c>
      <c r="G12" s="1495" t="s">
        <v>64</v>
      </c>
      <c r="H12" s="1495" t="s">
        <v>65</v>
      </c>
      <c r="I12" s="1495" t="s">
        <v>3392</v>
      </c>
      <c r="J12" s="1600" t="s">
        <v>4323</v>
      </c>
      <c r="K12" s="1600" t="s">
        <v>4324</v>
      </c>
      <c r="L12" s="1493"/>
      <c r="M12" s="1790"/>
      <c r="N12" s="1548"/>
    </row>
    <row r="13" spans="1:14" s="1548" customFormat="1" ht="102.75" customHeight="1">
      <c r="A13" s="1542">
        <v>8</v>
      </c>
      <c r="B13" s="1493" t="s">
        <v>3499</v>
      </c>
      <c r="C13" s="1494">
        <v>4030</v>
      </c>
      <c r="D13" s="1495" t="s">
        <v>4325</v>
      </c>
      <c r="E13" s="1493" t="s">
        <v>20</v>
      </c>
      <c r="F13" s="1495" t="s">
        <v>4326</v>
      </c>
      <c r="G13" s="1495" t="s">
        <v>64</v>
      </c>
      <c r="H13" s="1495" t="s">
        <v>65</v>
      </c>
      <c r="I13" s="1495" t="s">
        <v>558</v>
      </c>
      <c r="J13" s="1600" t="s">
        <v>4327</v>
      </c>
      <c r="K13" s="1547"/>
      <c r="L13" s="1493"/>
      <c r="M13" s="1790"/>
    </row>
    <row r="14" spans="1:14" s="1548" customFormat="1" ht="76.599999999999994" customHeight="1">
      <c r="A14" s="1542">
        <v>9</v>
      </c>
      <c r="B14" s="1493" t="s">
        <v>247</v>
      </c>
      <c r="C14" s="1494">
        <v>4200</v>
      </c>
      <c r="D14" s="1495" t="s">
        <v>4317</v>
      </c>
      <c r="E14" s="1493" t="s">
        <v>20</v>
      </c>
      <c r="F14" s="1495" t="s">
        <v>4328</v>
      </c>
      <c r="G14" s="1495" t="s">
        <v>64</v>
      </c>
      <c r="H14" s="1851" t="s">
        <v>65</v>
      </c>
      <c r="I14" s="1495" t="s">
        <v>213</v>
      </c>
      <c r="J14" s="1600" t="s">
        <v>4329</v>
      </c>
      <c r="K14" s="1547"/>
      <c r="L14" s="1493"/>
      <c r="M14" s="1790"/>
    </row>
    <row r="15" spans="1:14" s="1548" customFormat="1" ht="156.75" customHeight="1">
      <c r="A15" s="1542">
        <v>10</v>
      </c>
      <c r="B15" s="1493" t="s">
        <v>224</v>
      </c>
      <c r="C15" s="1494">
        <v>4000</v>
      </c>
      <c r="D15" s="1495" t="s">
        <v>4330</v>
      </c>
      <c r="E15" s="1493" t="s">
        <v>3386</v>
      </c>
      <c r="F15" s="1495" t="s">
        <v>4331</v>
      </c>
      <c r="G15" s="1495" t="s">
        <v>64</v>
      </c>
      <c r="H15" s="1851" t="s">
        <v>65</v>
      </c>
      <c r="I15" s="1495" t="s">
        <v>73</v>
      </c>
      <c r="J15" s="1600" t="s">
        <v>4332</v>
      </c>
      <c r="K15" s="1547"/>
      <c r="L15" s="1493"/>
      <c r="M15" s="1790"/>
    </row>
    <row r="16" spans="1:14" s="1548" customFormat="1" ht="201.75" customHeight="1">
      <c r="A16" s="1542">
        <v>11</v>
      </c>
      <c r="B16" s="1493" t="s">
        <v>3454</v>
      </c>
      <c r="C16" s="1494">
        <v>24000</v>
      </c>
      <c r="D16" s="1495" t="s">
        <v>4333</v>
      </c>
      <c r="E16" s="1493" t="s">
        <v>14</v>
      </c>
      <c r="F16" s="1495" t="s">
        <v>4334</v>
      </c>
      <c r="G16" s="1495" t="s">
        <v>64</v>
      </c>
      <c r="H16" s="1495" t="s">
        <v>65</v>
      </c>
      <c r="I16" s="1495" t="s">
        <v>195</v>
      </c>
      <c r="J16" s="1600" t="s">
        <v>4335</v>
      </c>
      <c r="K16" s="1911"/>
      <c r="L16" s="1493"/>
      <c r="M16" s="1790"/>
    </row>
    <row r="17" spans="1:13" s="1548" customFormat="1" ht="71.349999999999994" customHeight="1">
      <c r="A17" s="1542">
        <v>12</v>
      </c>
      <c r="B17" s="1493" t="s">
        <v>3432</v>
      </c>
      <c r="C17" s="1494">
        <v>3300</v>
      </c>
      <c r="D17" s="1495" t="s">
        <v>4336</v>
      </c>
      <c r="E17" s="1495" t="s">
        <v>24</v>
      </c>
      <c r="F17" s="1495" t="s">
        <v>4337</v>
      </c>
      <c r="G17" s="1495" t="s">
        <v>64</v>
      </c>
      <c r="H17" s="1495" t="s">
        <v>65</v>
      </c>
      <c r="I17" s="1495" t="s">
        <v>164</v>
      </c>
      <c r="J17" s="1600" t="s">
        <v>4338</v>
      </c>
      <c r="K17" s="1547"/>
      <c r="L17" s="1493"/>
      <c r="M17" s="1790"/>
    </row>
    <row r="18" spans="1:13" s="1548" customFormat="1" ht="71.349999999999994" customHeight="1">
      <c r="A18" s="1542">
        <v>13</v>
      </c>
      <c r="B18" s="1493" t="s">
        <v>3895</v>
      </c>
      <c r="C18" s="1494">
        <v>3900</v>
      </c>
      <c r="D18" s="1495" t="s">
        <v>4339</v>
      </c>
      <c r="E18" s="1495" t="s">
        <v>24</v>
      </c>
      <c r="F18" s="1495" t="s">
        <v>4340</v>
      </c>
      <c r="G18" s="1495" t="s">
        <v>64</v>
      </c>
      <c r="H18" s="1495" t="s">
        <v>65</v>
      </c>
      <c r="I18" s="1495" t="s">
        <v>164</v>
      </c>
      <c r="J18" s="1600" t="s">
        <v>4341</v>
      </c>
      <c r="K18" s="1547"/>
      <c r="L18" s="1493"/>
      <c r="M18" s="1790"/>
    </row>
    <row r="19" spans="1:13" s="1548" customFormat="1" ht="255.75" customHeight="1">
      <c r="A19" s="1542">
        <v>14</v>
      </c>
      <c r="B19" s="1493" t="s">
        <v>4342</v>
      </c>
      <c r="C19" s="1494">
        <v>12320</v>
      </c>
      <c r="D19" s="1495" t="s">
        <v>4343</v>
      </c>
      <c r="E19" s="1493" t="s">
        <v>38</v>
      </c>
      <c r="F19" s="1495" t="s">
        <v>4344</v>
      </c>
      <c r="G19" s="1495" t="s">
        <v>64</v>
      </c>
      <c r="H19" s="1851" t="s">
        <v>65</v>
      </c>
      <c r="I19" s="1495" t="s">
        <v>3552</v>
      </c>
      <c r="J19" s="1600" t="s">
        <v>4345</v>
      </c>
      <c r="K19" s="1547"/>
      <c r="L19" s="1493"/>
      <c r="M19" s="1790"/>
    </row>
    <row r="20" spans="1:13" s="1548" customFormat="1" ht="70.5" customHeight="1">
      <c r="A20" s="1542">
        <v>15</v>
      </c>
      <c r="B20" s="1493" t="s">
        <v>4346</v>
      </c>
      <c r="C20" s="1494">
        <v>5000</v>
      </c>
      <c r="D20" s="1624" t="s">
        <v>4347</v>
      </c>
      <c r="E20" s="1493" t="s">
        <v>38</v>
      </c>
      <c r="F20" s="1495" t="s">
        <v>4348</v>
      </c>
      <c r="G20" s="1495" t="s">
        <v>64</v>
      </c>
      <c r="H20" s="1851" t="s">
        <v>65</v>
      </c>
      <c r="I20" s="1495" t="s">
        <v>3883</v>
      </c>
      <c r="J20" s="1600" t="s">
        <v>4349</v>
      </c>
      <c r="K20" s="1547"/>
      <c r="L20" s="1493"/>
      <c r="M20" s="1790"/>
    </row>
    <row r="21" spans="1:13" s="1548" customFormat="1" ht="70.5" customHeight="1">
      <c r="A21" s="1542">
        <v>16</v>
      </c>
      <c r="B21" s="1493" t="s">
        <v>3464</v>
      </c>
      <c r="C21" s="1494">
        <v>3700</v>
      </c>
      <c r="D21" s="1495" t="s">
        <v>4336</v>
      </c>
      <c r="E21" s="1495" t="s">
        <v>24</v>
      </c>
      <c r="F21" s="1495" t="s">
        <v>4350</v>
      </c>
      <c r="G21" s="1495" t="s">
        <v>64</v>
      </c>
      <c r="H21" s="1495" t="s">
        <v>65</v>
      </c>
      <c r="I21" s="1495" t="s">
        <v>558</v>
      </c>
      <c r="J21" s="1600" t="s">
        <v>4351</v>
      </c>
      <c r="K21" s="1547"/>
      <c r="L21" s="1493"/>
      <c r="M21" s="1790"/>
    </row>
    <row r="22" spans="1:13" s="1548" customFormat="1" ht="82.55" customHeight="1">
      <c r="A22" s="1542">
        <v>17</v>
      </c>
      <c r="B22" s="1493" t="s">
        <v>3499</v>
      </c>
      <c r="C22" s="1494">
        <v>4000</v>
      </c>
      <c r="D22" s="1495" t="s">
        <v>4352</v>
      </c>
      <c r="E22" s="1495" t="s">
        <v>20</v>
      </c>
      <c r="F22" s="1495" t="s">
        <v>4353</v>
      </c>
      <c r="G22" s="1495" t="s">
        <v>64</v>
      </c>
      <c r="H22" s="1495" t="s">
        <v>65</v>
      </c>
      <c r="I22" s="1495" t="s">
        <v>558</v>
      </c>
      <c r="J22" s="1600" t="s">
        <v>4354</v>
      </c>
      <c r="K22" s="1547"/>
      <c r="L22" s="1493"/>
      <c r="M22" s="1790"/>
    </row>
    <row r="23" spans="1:13" s="1548" customFormat="1" ht="75.099999999999994" customHeight="1">
      <c r="A23" s="1542">
        <v>18</v>
      </c>
      <c r="B23" s="1493" t="s">
        <v>129</v>
      </c>
      <c r="C23" s="1494">
        <v>1500</v>
      </c>
      <c r="D23" s="1495" t="s">
        <v>4355</v>
      </c>
      <c r="E23" s="1495" t="s">
        <v>24</v>
      </c>
      <c r="F23" s="1495" t="s">
        <v>4356</v>
      </c>
      <c r="G23" s="1495" t="s">
        <v>64</v>
      </c>
      <c r="H23" s="1495" t="s">
        <v>65</v>
      </c>
      <c r="I23" s="1495" t="s">
        <v>558</v>
      </c>
      <c r="J23" s="1600" t="s">
        <v>4357</v>
      </c>
      <c r="K23" s="1547"/>
      <c r="L23" s="1493"/>
      <c r="M23" s="1790"/>
    </row>
    <row r="24" spans="1:13" s="1548" customFormat="1" ht="69.8" customHeight="1">
      <c r="A24" s="1542">
        <v>19</v>
      </c>
      <c r="B24" s="1493" t="s">
        <v>4016</v>
      </c>
      <c r="C24" s="1494">
        <v>3550</v>
      </c>
      <c r="D24" s="1495" t="s">
        <v>4358</v>
      </c>
      <c r="E24" s="1495" t="s">
        <v>20</v>
      </c>
      <c r="F24" s="1495" t="s">
        <v>4359</v>
      </c>
      <c r="G24" s="1495" t="s">
        <v>64</v>
      </c>
      <c r="H24" s="1495" t="s">
        <v>65</v>
      </c>
      <c r="I24" s="1495" t="s">
        <v>213</v>
      </c>
      <c r="J24" s="1600" t="s">
        <v>4360</v>
      </c>
      <c r="K24" s="1547"/>
      <c r="L24" s="1493"/>
      <c r="M24" s="1790"/>
    </row>
    <row r="25" spans="1:13" s="1548" customFormat="1" ht="113.3" customHeight="1">
      <c r="A25" s="1542">
        <v>20</v>
      </c>
      <c r="B25" s="1493" t="s">
        <v>3436</v>
      </c>
      <c r="C25" s="1901">
        <v>11100</v>
      </c>
      <c r="D25" s="1495" t="s">
        <v>4361</v>
      </c>
      <c r="E25" s="1493" t="s">
        <v>18</v>
      </c>
      <c r="F25" s="1495" t="s">
        <v>4362</v>
      </c>
      <c r="G25" s="1495" t="s">
        <v>64</v>
      </c>
      <c r="H25" s="1495" t="s">
        <v>65</v>
      </c>
      <c r="I25" s="1495" t="s">
        <v>3307</v>
      </c>
      <c r="J25" s="1600" t="s">
        <v>4363</v>
      </c>
      <c r="K25" s="1547"/>
      <c r="L25" s="1493"/>
      <c r="M25" s="1790"/>
    </row>
    <row r="26" spans="1:13" s="1548" customFormat="1" ht="130.6" customHeight="1">
      <c r="A26" s="1542">
        <v>21</v>
      </c>
      <c r="B26" s="1493" t="s">
        <v>252</v>
      </c>
      <c r="C26" s="1901">
        <v>3950</v>
      </c>
      <c r="D26" s="1495" t="s">
        <v>4364</v>
      </c>
      <c r="E26" s="1493" t="s">
        <v>20</v>
      </c>
      <c r="F26" s="1495" t="s">
        <v>4365</v>
      </c>
      <c r="G26" s="1495" t="s">
        <v>64</v>
      </c>
      <c r="H26" s="1851" t="s">
        <v>65</v>
      </c>
      <c r="I26" s="1495" t="s">
        <v>4366</v>
      </c>
      <c r="J26" s="1600" t="s">
        <v>4367</v>
      </c>
      <c r="K26" s="1547" t="s">
        <v>4368</v>
      </c>
      <c r="L26" s="1493"/>
      <c r="M26" s="1790"/>
    </row>
    <row r="27" spans="1:13" s="1548" customFormat="1" ht="231.8" customHeight="1">
      <c r="A27" s="1542">
        <v>22</v>
      </c>
      <c r="B27" s="1493" t="s">
        <v>4369</v>
      </c>
      <c r="C27" s="1901">
        <v>7950</v>
      </c>
      <c r="D27" s="1912" t="s">
        <v>4370</v>
      </c>
      <c r="E27" s="1493" t="s">
        <v>2301</v>
      </c>
      <c r="F27" s="1495" t="s">
        <v>4371</v>
      </c>
      <c r="G27" s="1495" t="s">
        <v>64</v>
      </c>
      <c r="H27" s="1851" t="s">
        <v>65</v>
      </c>
      <c r="I27" s="1495" t="s">
        <v>4372</v>
      </c>
      <c r="J27" s="1600" t="s">
        <v>4373</v>
      </c>
      <c r="K27" s="1908"/>
      <c r="L27" s="1493"/>
      <c r="M27" s="1790"/>
    </row>
    <row r="28" spans="1:13" s="1548" customFormat="1" ht="105.8" customHeight="1">
      <c r="A28" s="1542">
        <v>23</v>
      </c>
      <c r="B28" s="1493" t="s">
        <v>2956</v>
      </c>
      <c r="C28" s="1494">
        <v>3300</v>
      </c>
      <c r="D28" s="1495" t="s">
        <v>4374</v>
      </c>
      <c r="E28" s="1495" t="s">
        <v>20</v>
      </c>
      <c r="F28" s="1495" t="s">
        <v>4375</v>
      </c>
      <c r="G28" s="1495" t="s">
        <v>64</v>
      </c>
      <c r="H28" s="1495" t="s">
        <v>65</v>
      </c>
      <c r="I28" s="1495" t="s">
        <v>213</v>
      </c>
      <c r="J28" s="1600" t="s">
        <v>4376</v>
      </c>
      <c r="K28" s="1547"/>
      <c r="L28" s="1493"/>
      <c r="M28" s="1790"/>
    </row>
    <row r="29" spans="1:13" s="1548" customFormat="1" ht="72" customHeight="1">
      <c r="A29" s="1542">
        <v>24</v>
      </c>
      <c r="B29" s="1493" t="s">
        <v>198</v>
      </c>
      <c r="C29" s="1901">
        <v>3240</v>
      </c>
      <c r="D29" s="1495" t="s">
        <v>4377</v>
      </c>
      <c r="E29" s="1493" t="s">
        <v>20</v>
      </c>
      <c r="F29" s="1495" t="s">
        <v>4378</v>
      </c>
      <c r="G29" s="1495" t="s">
        <v>64</v>
      </c>
      <c r="H29" s="1495" t="s">
        <v>65</v>
      </c>
      <c r="I29" s="1495" t="s">
        <v>213</v>
      </c>
      <c r="J29" s="1600" t="s">
        <v>4379</v>
      </c>
      <c r="K29" s="1600"/>
      <c r="L29" s="1493"/>
      <c r="M29" s="1790"/>
    </row>
    <row r="30" spans="1:13" s="1548" customFormat="1" ht="70.5" customHeight="1">
      <c r="A30" s="1542">
        <v>25</v>
      </c>
      <c r="B30" s="1493" t="s">
        <v>139</v>
      </c>
      <c r="C30" s="1494">
        <v>4350</v>
      </c>
      <c r="D30" s="1495" t="s">
        <v>4380</v>
      </c>
      <c r="E30" s="1493" t="s">
        <v>24</v>
      </c>
      <c r="F30" s="1495" t="s">
        <v>4381</v>
      </c>
      <c r="G30" s="1495" t="s">
        <v>64</v>
      </c>
      <c r="H30" s="1495" t="s">
        <v>65</v>
      </c>
      <c r="I30" s="1495" t="s">
        <v>213</v>
      </c>
      <c r="J30" s="1496" t="s">
        <v>4382</v>
      </c>
      <c r="K30" s="1547" t="s">
        <v>4383</v>
      </c>
      <c r="L30" s="1493"/>
      <c r="M30" s="1790"/>
    </row>
    <row r="31" spans="1:13" s="1548" customFormat="1" ht="64.55" customHeight="1">
      <c r="A31" s="1542">
        <v>26</v>
      </c>
      <c r="B31" s="1493" t="s">
        <v>2953</v>
      </c>
      <c r="C31" s="1494">
        <v>4000</v>
      </c>
      <c r="D31" s="1495" t="s">
        <v>4384</v>
      </c>
      <c r="E31" s="1495" t="s">
        <v>20</v>
      </c>
      <c r="F31" s="1495" t="s">
        <v>4385</v>
      </c>
      <c r="G31" s="1495" t="s">
        <v>64</v>
      </c>
      <c r="H31" s="1495" t="s">
        <v>65</v>
      </c>
      <c r="I31" s="1495" t="s">
        <v>4386</v>
      </c>
      <c r="J31" s="1600" t="s">
        <v>4387</v>
      </c>
      <c r="K31" s="1547"/>
      <c r="L31" s="1493"/>
      <c r="M31" s="1790"/>
    </row>
    <row r="32" spans="1:13" s="1548" customFormat="1" ht="131.30000000000001" customHeight="1">
      <c r="A32" s="1542">
        <v>27</v>
      </c>
      <c r="B32" s="1493" t="s">
        <v>4388</v>
      </c>
      <c r="C32" s="1494">
        <v>5270</v>
      </c>
      <c r="D32" s="1624" t="s">
        <v>4377</v>
      </c>
      <c r="E32" s="1493" t="s">
        <v>4389</v>
      </c>
      <c r="F32" s="1495" t="s">
        <v>4390</v>
      </c>
      <c r="G32" s="1495" t="s">
        <v>64</v>
      </c>
      <c r="H32" s="1495" t="s">
        <v>65</v>
      </c>
      <c r="I32" s="1495" t="s">
        <v>4391</v>
      </c>
      <c r="J32" s="1600" t="s">
        <v>4392</v>
      </c>
      <c r="K32" s="1771" t="s">
        <v>4393</v>
      </c>
      <c r="L32" s="1493"/>
      <c r="M32" s="1790"/>
    </row>
    <row r="33" spans="1:14" s="1548" customFormat="1" ht="138.75" customHeight="1">
      <c r="A33" s="1542">
        <v>28</v>
      </c>
      <c r="B33" s="1493" t="s">
        <v>3454</v>
      </c>
      <c r="C33" s="1494">
        <v>24000</v>
      </c>
      <c r="D33" s="1495" t="s">
        <v>4394</v>
      </c>
      <c r="E33" s="1493" t="s">
        <v>14</v>
      </c>
      <c r="F33" s="1495" t="s">
        <v>4395</v>
      </c>
      <c r="G33" s="1495" t="s">
        <v>64</v>
      </c>
      <c r="H33" s="1495" t="s">
        <v>65</v>
      </c>
      <c r="I33" s="1495" t="s">
        <v>3758</v>
      </c>
      <c r="J33" s="1496" t="s">
        <v>4396</v>
      </c>
      <c r="K33" s="1859"/>
      <c r="L33" s="1493"/>
      <c r="M33" s="1790"/>
    </row>
    <row r="34" spans="1:14" s="1548" customFormat="1" ht="90" customHeight="1">
      <c r="A34" s="1542">
        <v>29</v>
      </c>
      <c r="B34" s="1493" t="s">
        <v>3546</v>
      </c>
      <c r="C34" s="1494">
        <v>4400</v>
      </c>
      <c r="D34" s="1495" t="s">
        <v>4397</v>
      </c>
      <c r="E34" s="1493" t="s">
        <v>20</v>
      </c>
      <c r="F34" s="1495" t="s">
        <v>4398</v>
      </c>
      <c r="G34" s="1495" t="s">
        <v>64</v>
      </c>
      <c r="H34" s="1495" t="s">
        <v>65</v>
      </c>
      <c r="I34" s="1495" t="s">
        <v>558</v>
      </c>
      <c r="J34" s="1496" t="s">
        <v>4399</v>
      </c>
      <c r="K34" s="1547"/>
      <c r="L34" s="1493"/>
      <c r="M34" s="1790"/>
    </row>
    <row r="35" spans="1:14" s="1548" customFormat="1" ht="117" customHeight="1">
      <c r="A35" s="1542">
        <v>30</v>
      </c>
      <c r="B35" s="1493" t="s">
        <v>97</v>
      </c>
      <c r="C35" s="1901">
        <v>4620</v>
      </c>
      <c r="D35" s="1495" t="s">
        <v>4400</v>
      </c>
      <c r="E35" s="1493" t="s">
        <v>16</v>
      </c>
      <c r="F35" s="1495" t="s">
        <v>4401</v>
      </c>
      <c r="G35" s="1495" t="s">
        <v>64</v>
      </c>
      <c r="H35" s="1495" t="s">
        <v>65</v>
      </c>
      <c r="I35" s="1495" t="s">
        <v>558</v>
      </c>
      <c r="J35" s="1600" t="s">
        <v>4402</v>
      </c>
      <c r="K35" s="1600"/>
      <c r="L35" s="1493"/>
      <c r="M35" s="1790"/>
    </row>
    <row r="36" spans="1:14" s="1548" customFormat="1" ht="61.5" customHeight="1">
      <c r="A36" s="1542">
        <v>31</v>
      </c>
      <c r="B36" s="1493" t="s">
        <v>3508</v>
      </c>
      <c r="C36" s="1901">
        <v>3600</v>
      </c>
      <c r="D36" s="1495" t="s">
        <v>4403</v>
      </c>
      <c r="E36" s="1493" t="s">
        <v>20</v>
      </c>
      <c r="F36" s="1495" t="s">
        <v>4404</v>
      </c>
      <c r="G36" s="1495" t="s">
        <v>64</v>
      </c>
      <c r="H36" s="1495" t="s">
        <v>65</v>
      </c>
      <c r="I36" s="1495" t="s">
        <v>558</v>
      </c>
      <c r="J36" s="1600" t="s">
        <v>4405</v>
      </c>
      <c r="K36" s="1600" t="s">
        <v>4406</v>
      </c>
      <c r="L36" s="1493"/>
      <c r="M36" s="1790"/>
    </row>
    <row r="37" spans="1:14" s="1548" customFormat="1" ht="77.3" customHeight="1">
      <c r="A37" s="1542">
        <v>32</v>
      </c>
      <c r="B37" s="1493" t="s">
        <v>103</v>
      </c>
      <c r="C37" s="1901">
        <v>3300</v>
      </c>
      <c r="D37" s="1495" t="s">
        <v>4407</v>
      </c>
      <c r="E37" s="1493" t="s">
        <v>20</v>
      </c>
      <c r="F37" s="1495" t="s">
        <v>4408</v>
      </c>
      <c r="G37" s="1495" t="s">
        <v>64</v>
      </c>
      <c r="H37" s="1495" t="s">
        <v>65</v>
      </c>
      <c r="I37" s="1495" t="s">
        <v>213</v>
      </c>
      <c r="J37" s="1600" t="s">
        <v>4409</v>
      </c>
      <c r="K37" s="1600"/>
      <c r="L37" s="1493"/>
      <c r="M37" s="1790"/>
    </row>
    <row r="38" spans="1:14" s="1559" customFormat="1" ht="78.8" customHeight="1">
      <c r="A38" s="1542">
        <v>33</v>
      </c>
      <c r="B38" s="1493" t="s">
        <v>258</v>
      </c>
      <c r="C38" s="1901">
        <v>4250</v>
      </c>
      <c r="D38" s="1495" t="s">
        <v>4410</v>
      </c>
      <c r="E38" s="1493" t="s">
        <v>16</v>
      </c>
      <c r="F38" s="1495" t="s">
        <v>4411</v>
      </c>
      <c r="G38" s="1495" t="s">
        <v>64</v>
      </c>
      <c r="H38" s="1495" t="s">
        <v>65</v>
      </c>
      <c r="I38" s="1495" t="s">
        <v>558</v>
      </c>
      <c r="J38" s="1600" t="s">
        <v>4412</v>
      </c>
      <c r="K38" s="1547"/>
      <c r="L38" s="1493"/>
      <c r="M38" s="1790"/>
      <c r="N38" s="1548"/>
    </row>
    <row r="39" spans="1:14" s="1559" customFormat="1" ht="67.599999999999994" customHeight="1">
      <c r="A39" s="1553">
        <v>34</v>
      </c>
      <c r="B39" s="1545" t="s">
        <v>260</v>
      </c>
      <c r="C39" s="1913">
        <v>3800</v>
      </c>
      <c r="D39" s="1543" t="s">
        <v>4413</v>
      </c>
      <c r="E39" s="1545" t="s">
        <v>20</v>
      </c>
      <c r="F39" s="1543" t="s">
        <v>4414</v>
      </c>
      <c r="G39" s="1495" t="s">
        <v>64</v>
      </c>
      <c r="H39" s="1495" t="s">
        <v>65</v>
      </c>
      <c r="I39" s="1495" t="s">
        <v>213</v>
      </c>
      <c r="J39" s="1605" t="s">
        <v>4415</v>
      </c>
      <c r="K39" s="1828"/>
      <c r="L39" s="1545"/>
      <c r="M39" s="1852"/>
    </row>
    <row r="40" spans="1:14" s="1559" customFormat="1" ht="83.25" customHeight="1">
      <c r="A40" s="1542">
        <v>35</v>
      </c>
      <c r="B40" s="1493" t="s">
        <v>2962</v>
      </c>
      <c r="C40" s="1901">
        <v>6000</v>
      </c>
      <c r="D40" s="1495" t="s">
        <v>4410</v>
      </c>
      <c r="E40" s="1493" t="s">
        <v>16</v>
      </c>
      <c r="F40" s="1495"/>
      <c r="G40" s="1495" t="s">
        <v>4416</v>
      </c>
      <c r="H40" s="1495" t="s">
        <v>65</v>
      </c>
      <c r="I40" s="1493" t="s">
        <v>213</v>
      </c>
      <c r="J40" s="1600" t="s">
        <v>4417</v>
      </c>
      <c r="K40" s="1547"/>
      <c r="L40" s="1493"/>
      <c r="M40" s="1790"/>
      <c r="N40" s="1914"/>
    </row>
    <row r="41" spans="1:14" s="1559" customFormat="1" ht="85.6" customHeight="1">
      <c r="A41" s="1542">
        <v>36</v>
      </c>
      <c r="B41" s="1493" t="s">
        <v>4418</v>
      </c>
      <c r="C41" s="1901">
        <v>5000</v>
      </c>
      <c r="D41" s="1495" t="s">
        <v>4419</v>
      </c>
      <c r="E41" s="1493" t="s">
        <v>38</v>
      </c>
      <c r="F41" s="1495" t="s">
        <v>4420</v>
      </c>
      <c r="G41" s="1495" t="s">
        <v>4416</v>
      </c>
      <c r="H41" s="1495" t="s">
        <v>65</v>
      </c>
      <c r="I41" s="1495" t="s">
        <v>219</v>
      </c>
      <c r="J41" s="1600" t="s">
        <v>4421</v>
      </c>
      <c r="K41" s="1600"/>
      <c r="L41" s="1493"/>
      <c r="M41" s="1790"/>
      <c r="N41" s="1548"/>
    </row>
    <row r="42" spans="1:14" s="1548" customFormat="1" ht="84.1" customHeight="1">
      <c r="A42" s="1542">
        <v>37</v>
      </c>
      <c r="B42" s="1493" t="s">
        <v>3602</v>
      </c>
      <c r="C42" s="1901">
        <v>3550</v>
      </c>
      <c r="D42" s="1495" t="s">
        <v>4422</v>
      </c>
      <c r="E42" s="1493" t="s">
        <v>20</v>
      </c>
      <c r="F42" s="1495" t="s">
        <v>4423</v>
      </c>
      <c r="G42" s="1495" t="s">
        <v>4424</v>
      </c>
      <c r="H42" s="1495" t="s">
        <v>65</v>
      </c>
      <c r="I42" s="1495" t="s">
        <v>213</v>
      </c>
      <c r="J42" s="1600" t="s">
        <v>4425</v>
      </c>
      <c r="K42" s="1600" t="s">
        <v>4426</v>
      </c>
      <c r="L42" s="1493"/>
      <c r="M42" s="1790"/>
    </row>
    <row r="43" spans="1:14" s="1559" customFormat="1" ht="338.95" customHeight="1">
      <c r="A43" s="1553">
        <v>38</v>
      </c>
      <c r="B43" s="1545" t="s">
        <v>4427</v>
      </c>
      <c r="C43" s="1913">
        <f>15685-7950</f>
        <v>7735</v>
      </c>
      <c r="D43" s="1543" t="s">
        <v>4422</v>
      </c>
      <c r="E43" s="1545" t="s">
        <v>2301</v>
      </c>
      <c r="F43" s="1543" t="s">
        <v>4428</v>
      </c>
      <c r="G43" s="1543" t="s">
        <v>4429</v>
      </c>
      <c r="H43" s="1543" t="s">
        <v>65</v>
      </c>
      <c r="I43" s="1543" t="s">
        <v>4372</v>
      </c>
      <c r="J43" s="1605" t="s">
        <v>4430</v>
      </c>
      <c r="K43" s="1828"/>
      <c r="L43" s="1545"/>
      <c r="M43" s="1852"/>
    </row>
    <row r="44" spans="1:14" s="1548" customFormat="1" ht="102.75" customHeight="1">
      <c r="A44" s="1542">
        <v>39</v>
      </c>
      <c r="B44" s="1493" t="s">
        <v>247</v>
      </c>
      <c r="C44" s="1901">
        <v>4300</v>
      </c>
      <c r="D44" s="1493" t="s">
        <v>4422</v>
      </c>
      <c r="E44" s="1493" t="s">
        <v>16</v>
      </c>
      <c r="F44" s="1495" t="s">
        <v>4431</v>
      </c>
      <c r="G44" s="1495" t="s">
        <v>4432</v>
      </c>
      <c r="H44" s="1495" t="s">
        <v>65</v>
      </c>
      <c r="I44" s="1495" t="s">
        <v>558</v>
      </c>
      <c r="J44" s="1605" t="s">
        <v>4433</v>
      </c>
      <c r="K44" s="1547"/>
      <c r="L44" s="1493"/>
      <c r="M44" s="1790"/>
    </row>
    <row r="45" spans="1:14" s="1548" customFormat="1" ht="187.5" customHeight="1">
      <c r="A45" s="1850">
        <v>40</v>
      </c>
      <c r="B45" s="1630" t="s">
        <v>3668</v>
      </c>
      <c r="C45" s="1915">
        <v>17000</v>
      </c>
      <c r="D45" s="1851" t="s">
        <v>4434</v>
      </c>
      <c r="E45" s="1630" t="s">
        <v>14</v>
      </c>
      <c r="F45" s="1851" t="s">
        <v>4435</v>
      </c>
      <c r="G45" s="1851" t="s">
        <v>4436</v>
      </c>
      <c r="H45" s="1851" t="s">
        <v>65</v>
      </c>
      <c r="I45" s="1872" t="s">
        <v>213</v>
      </c>
      <c r="J45" s="1600" t="s">
        <v>4437</v>
      </c>
      <c r="K45" s="1873"/>
      <c r="L45" s="1630"/>
      <c r="M45" s="1882"/>
      <c r="N45" s="1883"/>
    </row>
    <row r="46" spans="1:14" s="1548" customFormat="1" ht="85.6" customHeight="1">
      <c r="A46" s="1542">
        <v>41</v>
      </c>
      <c r="B46" s="1493" t="s">
        <v>114</v>
      </c>
      <c r="C46" s="1901">
        <v>3720</v>
      </c>
      <c r="D46" s="1495" t="s">
        <v>4422</v>
      </c>
      <c r="E46" s="1493" t="s">
        <v>18</v>
      </c>
      <c r="F46" s="1993" t="s">
        <v>4438</v>
      </c>
      <c r="G46" s="1495" t="s">
        <v>4424</v>
      </c>
      <c r="H46" s="1495" t="s">
        <v>65</v>
      </c>
      <c r="I46" s="1495" t="s">
        <v>213</v>
      </c>
      <c r="J46" s="1600" t="s">
        <v>4439</v>
      </c>
      <c r="K46" s="1547"/>
      <c r="L46" s="1493"/>
      <c r="M46" s="1790"/>
      <c r="N46" s="1914"/>
    </row>
    <row r="47" spans="1:14" s="1548" customFormat="1" ht="100.55" customHeight="1">
      <c r="A47" s="1542">
        <v>42</v>
      </c>
      <c r="B47" s="1493" t="s">
        <v>3754</v>
      </c>
      <c r="C47" s="1901">
        <v>4450</v>
      </c>
      <c r="D47" s="1495" t="s">
        <v>4440</v>
      </c>
      <c r="E47" s="1769" t="s">
        <v>22</v>
      </c>
      <c r="F47" s="1495"/>
      <c r="G47" s="1495" t="s">
        <v>4441</v>
      </c>
      <c r="H47" s="1495" t="s">
        <v>65</v>
      </c>
      <c r="I47" s="1495" t="s">
        <v>558</v>
      </c>
      <c r="J47" s="1600" t="s">
        <v>4442</v>
      </c>
      <c r="K47" s="1771"/>
      <c r="L47" s="1493"/>
      <c r="M47" s="1790"/>
    </row>
    <row r="48" spans="1:14" s="1548" customFormat="1" ht="123.8" customHeight="1">
      <c r="A48" s="1542">
        <v>43</v>
      </c>
      <c r="B48" s="1493" t="s">
        <v>4239</v>
      </c>
      <c r="C48" s="1901">
        <v>6950</v>
      </c>
      <c r="D48" s="1495" t="s">
        <v>4443</v>
      </c>
      <c r="E48" s="1493" t="s">
        <v>3136</v>
      </c>
      <c r="F48" s="1495" t="s">
        <v>4444</v>
      </c>
      <c r="G48" s="1543" t="s">
        <v>4429</v>
      </c>
      <c r="H48" s="1495" t="s">
        <v>65</v>
      </c>
      <c r="I48" s="1495" t="s">
        <v>3392</v>
      </c>
      <c r="J48" s="1600" t="s">
        <v>4445</v>
      </c>
      <c r="K48" s="1547"/>
      <c r="L48" s="1493"/>
      <c r="M48" s="1790"/>
    </row>
    <row r="49" spans="1:14" s="1548" customFormat="1" ht="90.7" customHeight="1">
      <c r="A49" s="1542">
        <v>44</v>
      </c>
      <c r="B49" s="1493" t="s">
        <v>153</v>
      </c>
      <c r="C49" s="1901">
        <v>11500</v>
      </c>
      <c r="D49" s="1495" t="s">
        <v>4443</v>
      </c>
      <c r="E49" s="1493" t="s">
        <v>22</v>
      </c>
      <c r="F49" s="1495" t="s">
        <v>194</v>
      </c>
      <c r="G49" s="1495" t="s">
        <v>4446</v>
      </c>
      <c r="H49" s="1495" t="s">
        <v>65</v>
      </c>
      <c r="I49" s="1495" t="s">
        <v>4447</v>
      </c>
      <c r="J49" s="1497" t="s">
        <v>4448</v>
      </c>
      <c r="K49" s="1547" t="s">
        <v>4449</v>
      </c>
      <c r="L49" s="1493"/>
      <c r="M49" s="1790"/>
      <c r="N49" s="1914"/>
    </row>
    <row r="50" spans="1:14" s="1777" customFormat="1" ht="94.6"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2" priority="5"/>
  </conditionalFormatting>
  <conditionalFormatting sqref="A5">
    <cfRule type="duplicateValues" dxfId="431" priority="4"/>
  </conditionalFormatting>
  <conditionalFormatting sqref="B5">
    <cfRule type="duplicateValues" dxfId="430" priority="1"/>
    <cfRule type="duplicateValues" dxfId="429" priority="2"/>
    <cfRule type="duplicateValues" dxfId="428"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27.75" style="1" customWidth="1"/>
    <col min="3" max="3" width="17.125" style="1138" customWidth="1"/>
    <col min="4" max="4" width="17.875" style="271" customWidth="1"/>
    <col min="5" max="5" width="22.25" style="1" customWidth="1"/>
    <col min="6" max="6" width="21.375" style="271" customWidth="1"/>
    <col min="7" max="7" width="26.625" style="271" hidden="1" customWidth="1"/>
    <col min="8" max="8" width="20.125" style="271" customWidth="1"/>
    <col min="9" max="9" width="20.25" style="271" customWidth="1"/>
    <col min="10" max="10" width="116.37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71"/>
      <c r="D1" s="3671"/>
      <c r="E1" s="3671"/>
      <c r="F1" s="3671"/>
      <c r="G1" s="3671"/>
      <c r="H1" s="3671"/>
      <c r="I1" s="3671"/>
      <c r="J1" s="3671"/>
      <c r="K1" s="3671"/>
      <c r="M1" s="1848"/>
    </row>
    <row r="2" spans="1:14" ht="64.55" customHeight="1">
      <c r="A2" s="3760" t="s">
        <v>4450</v>
      </c>
      <c r="B2" s="3760"/>
      <c r="C2" s="3760"/>
      <c r="D2" s="3760"/>
      <c r="E2" s="3760"/>
      <c r="F2" s="3760"/>
      <c r="G2" s="3760"/>
      <c r="H2" s="3760"/>
      <c r="I2" s="3760"/>
      <c r="J2" s="3760"/>
      <c r="K2" s="3760"/>
      <c r="L2" s="3760"/>
      <c r="M2" s="3760"/>
      <c r="N2" s="287"/>
    </row>
    <row r="3" spans="1:14" ht="51.8" customHeight="1">
      <c r="A3" s="3755" t="s">
        <v>4451</v>
      </c>
      <c r="B3" s="3755"/>
      <c r="C3" s="3755"/>
      <c r="D3" s="3755"/>
      <c r="E3" s="3755"/>
      <c r="F3" s="3755"/>
      <c r="G3" s="3755"/>
      <c r="H3" s="3755"/>
      <c r="I3" s="3755"/>
      <c r="J3" s="3755"/>
      <c r="K3" s="3756"/>
      <c r="L3" s="1905"/>
      <c r="M3" s="1905"/>
      <c r="N3" s="287"/>
    </row>
    <row r="4" spans="1:14" ht="48.75" customHeight="1">
      <c r="A4" s="3759" t="s">
        <v>3429</v>
      </c>
      <c r="B4" s="3759"/>
      <c r="C4" s="1898">
        <f>SUM(C6:C46)</f>
        <v>269370</v>
      </c>
      <c r="D4" s="1503"/>
      <c r="E4" s="1849"/>
      <c r="F4" s="1503"/>
      <c r="G4" s="1503"/>
      <c r="H4" s="1503"/>
      <c r="I4" s="1503"/>
      <c r="J4" s="1906">
        <f ca="1">TODAY()</f>
        <v>45988</v>
      </c>
      <c r="K4" s="143"/>
      <c r="L4" s="1907"/>
      <c r="M4" s="1849"/>
      <c r="N4" s="287"/>
    </row>
    <row r="5" spans="1:14" s="1535" customFormat="1" ht="60.8" customHeight="1">
      <c r="A5" s="1896" t="s">
        <v>48</v>
      </c>
      <c r="B5" s="1897" t="s">
        <v>49</v>
      </c>
      <c r="C5" s="1178" t="s">
        <v>50</v>
      </c>
      <c r="D5" s="679" t="s">
        <v>3573</v>
      </c>
      <c r="E5" s="679" t="s">
        <v>52</v>
      </c>
      <c r="F5" s="679" t="s">
        <v>3574</v>
      </c>
      <c r="G5" s="679" t="s">
        <v>54</v>
      </c>
      <c r="H5" s="679" t="s">
        <v>55</v>
      </c>
      <c r="I5" s="679" t="s">
        <v>56</v>
      </c>
      <c r="J5" s="679" t="s">
        <v>57</v>
      </c>
      <c r="K5" s="1897" t="s">
        <v>58</v>
      </c>
      <c r="L5" s="679" t="s">
        <v>59</v>
      </c>
      <c r="M5" s="1892" t="s">
        <v>60</v>
      </c>
      <c r="N5" s="1893" t="e">
        <f>SUM(#REF!)</f>
        <v>#REF!</v>
      </c>
    </row>
    <row r="6" spans="1:14" s="1904" customFormat="1" ht="93.75" customHeight="1">
      <c r="A6" s="1542" cm="1">
        <f t="array" ref="A6:A47">_xlfn.SEQUENCE(42,1,1,)</f>
        <v>1</v>
      </c>
      <c r="B6" s="1493" t="s">
        <v>139</v>
      </c>
      <c r="C6" s="1494">
        <v>4350</v>
      </c>
      <c r="D6" s="1624" t="s">
        <v>4452</v>
      </c>
      <c r="E6" s="1493" t="s">
        <v>24</v>
      </c>
      <c r="F6" s="1495" t="s">
        <v>4453</v>
      </c>
      <c r="G6" s="1495" t="s">
        <v>64</v>
      </c>
      <c r="H6" s="1495" t="s">
        <v>65</v>
      </c>
      <c r="I6" s="1495" t="s">
        <v>294</v>
      </c>
      <c r="J6" s="1600" t="s">
        <v>4454</v>
      </c>
      <c r="K6" s="1547"/>
      <c r="L6" s="1493"/>
      <c r="M6" s="1790"/>
      <c r="N6" s="1548"/>
    </row>
    <row r="7" spans="1:14" s="1904" customFormat="1" ht="336.75" customHeight="1">
      <c r="A7" s="1542">
        <v>2</v>
      </c>
      <c r="B7" s="1493" t="s">
        <v>4455</v>
      </c>
      <c r="C7" s="1901">
        <v>24000</v>
      </c>
      <c r="D7" s="1493" t="s">
        <v>4456</v>
      </c>
      <c r="E7" s="1493" t="s">
        <v>14</v>
      </c>
      <c r="F7" s="1495" t="s">
        <v>4457</v>
      </c>
      <c r="G7" s="1495" t="s">
        <v>64</v>
      </c>
      <c r="H7" s="1495" t="s">
        <v>65</v>
      </c>
      <c r="I7" s="1495" t="s">
        <v>558</v>
      </c>
      <c r="J7" s="1496" t="s">
        <v>4458</v>
      </c>
      <c r="K7" s="1547"/>
      <c r="L7" s="1493"/>
      <c r="M7" s="1790"/>
      <c r="N7" s="1548"/>
    </row>
    <row r="8" spans="1:14" s="1548" customFormat="1" ht="98.35" customHeight="1">
      <c r="A8" s="1542">
        <v>3</v>
      </c>
      <c r="B8" s="1493" t="s">
        <v>4459</v>
      </c>
      <c r="C8" s="1494">
        <v>10000</v>
      </c>
      <c r="D8" s="1495" t="s">
        <v>4460</v>
      </c>
      <c r="E8" s="1495" t="s">
        <v>38</v>
      </c>
      <c r="F8" s="1495" t="s">
        <v>4461</v>
      </c>
      <c r="G8" s="1495" t="s">
        <v>64</v>
      </c>
      <c r="H8" s="1495" t="s">
        <v>3462</v>
      </c>
      <c r="I8" s="1495" t="s">
        <v>219</v>
      </c>
      <c r="J8" s="1600" t="s">
        <v>4462</v>
      </c>
      <c r="K8" s="1547"/>
      <c r="L8" s="1493"/>
      <c r="M8" s="1790"/>
    </row>
    <row r="9" spans="1:14" s="1548" customFormat="1" ht="71.349999999999994" customHeight="1">
      <c r="A9" s="1542">
        <v>4</v>
      </c>
      <c r="B9" s="1493" t="s">
        <v>158</v>
      </c>
      <c r="C9" s="1494">
        <v>3300</v>
      </c>
      <c r="D9" s="1624" t="s">
        <v>4463</v>
      </c>
      <c r="E9" s="1493" t="s">
        <v>22</v>
      </c>
      <c r="F9" s="1495" t="s">
        <v>4464</v>
      </c>
      <c r="G9" s="1495" t="s">
        <v>64</v>
      </c>
      <c r="H9" s="1495" t="s">
        <v>65</v>
      </c>
      <c r="I9" s="1495" t="s">
        <v>4465</v>
      </c>
      <c r="J9" s="1600" t="s">
        <v>4466</v>
      </c>
      <c r="K9" s="1547"/>
      <c r="L9" s="1493"/>
      <c r="M9" s="1790"/>
    </row>
    <row r="10" spans="1:14" s="1548" customFormat="1" ht="350.35" customHeight="1">
      <c r="A10" s="1542">
        <v>5</v>
      </c>
      <c r="B10" s="1493" t="s">
        <v>4467</v>
      </c>
      <c r="C10" s="1494">
        <v>20530</v>
      </c>
      <c r="D10" s="1495" t="s">
        <v>4460</v>
      </c>
      <c r="E10" s="1493" t="s">
        <v>3136</v>
      </c>
      <c r="F10" s="1495" t="s">
        <v>4468</v>
      </c>
      <c r="G10" s="1495" t="s">
        <v>64</v>
      </c>
      <c r="H10" s="1495" t="s">
        <v>65</v>
      </c>
      <c r="I10" s="1495" t="s">
        <v>3392</v>
      </c>
      <c r="J10" s="1600" t="s">
        <v>4469</v>
      </c>
      <c r="K10" s="1547"/>
      <c r="L10" s="1493"/>
      <c r="M10" s="1790"/>
    </row>
    <row r="11" spans="1:14" s="1548" customFormat="1" ht="99.7" customHeight="1">
      <c r="A11" s="1542">
        <v>6</v>
      </c>
      <c r="B11" s="1493" t="s">
        <v>3252</v>
      </c>
      <c r="C11" s="1494">
        <v>4250</v>
      </c>
      <c r="D11" s="1495" t="s">
        <v>4470</v>
      </c>
      <c r="E11" s="1493" t="s">
        <v>18</v>
      </c>
      <c r="F11" s="1495" t="s">
        <v>194</v>
      </c>
      <c r="G11" s="1495" t="s">
        <v>64</v>
      </c>
      <c r="H11" s="1851" t="s">
        <v>65</v>
      </c>
      <c r="I11" s="1495" t="s">
        <v>558</v>
      </c>
      <c r="J11" s="1496" t="s">
        <v>4471</v>
      </c>
      <c r="K11" s="1547"/>
      <c r="L11" s="1493"/>
      <c r="M11" s="1790"/>
    </row>
    <row r="12" spans="1:14" s="1548" customFormat="1" ht="118.55" customHeight="1">
      <c r="A12" s="1542">
        <v>7</v>
      </c>
      <c r="B12" s="1493" t="s">
        <v>139</v>
      </c>
      <c r="C12" s="1494">
        <v>4350</v>
      </c>
      <c r="D12" s="1495" t="s">
        <v>4472</v>
      </c>
      <c r="E12" s="1493" t="s">
        <v>24</v>
      </c>
      <c r="F12" s="1495" t="s">
        <v>4473</v>
      </c>
      <c r="G12" s="1495" t="s">
        <v>64</v>
      </c>
      <c r="H12" s="1495" t="s">
        <v>65</v>
      </c>
      <c r="I12" s="1495" t="s">
        <v>213</v>
      </c>
      <c r="J12" s="1600" t="s">
        <v>4474</v>
      </c>
      <c r="K12" s="1547"/>
      <c r="L12" s="1493"/>
      <c r="M12" s="1790"/>
    </row>
    <row r="13" spans="1:14" s="1548" customFormat="1" ht="81.7" customHeight="1">
      <c r="A13" s="1542">
        <v>8</v>
      </c>
      <c r="B13" s="1493" t="s">
        <v>2947</v>
      </c>
      <c r="C13" s="1494">
        <v>3500</v>
      </c>
      <c r="D13" s="1495" t="s">
        <v>4475</v>
      </c>
      <c r="E13" s="1493" t="s">
        <v>24</v>
      </c>
      <c r="F13" s="1495" t="s">
        <v>4476</v>
      </c>
      <c r="G13" s="1495" t="s">
        <v>64</v>
      </c>
      <c r="H13" s="1495" t="s">
        <v>65</v>
      </c>
      <c r="I13" s="1495" t="s">
        <v>213</v>
      </c>
      <c r="J13" s="1600" t="s">
        <v>4477</v>
      </c>
      <c r="K13" s="1547"/>
      <c r="L13" s="1493"/>
      <c r="M13" s="1790"/>
    </row>
    <row r="14" spans="1:14" s="1548" customFormat="1" ht="77.3" customHeight="1">
      <c r="A14" s="1542">
        <v>9</v>
      </c>
      <c r="B14" s="1493" t="s">
        <v>3508</v>
      </c>
      <c r="C14" s="1494">
        <v>4280</v>
      </c>
      <c r="D14" s="1624" t="s">
        <v>4478</v>
      </c>
      <c r="E14" s="1493" t="s">
        <v>22</v>
      </c>
      <c r="F14" s="1495" t="s">
        <v>4479</v>
      </c>
      <c r="G14" s="1495" t="s">
        <v>4480</v>
      </c>
      <c r="H14" s="1495" t="s">
        <v>65</v>
      </c>
      <c r="I14" s="1495" t="s">
        <v>558</v>
      </c>
      <c r="J14" s="1600" t="s">
        <v>4481</v>
      </c>
      <c r="K14" s="1547"/>
      <c r="L14" s="1493"/>
      <c r="M14" s="1790"/>
    </row>
    <row r="15" spans="1:14" s="1548" customFormat="1" ht="143.35" customHeight="1">
      <c r="A15" s="1542">
        <v>10</v>
      </c>
      <c r="B15" s="1493" t="s">
        <v>3156</v>
      </c>
      <c r="C15" s="1901">
        <v>9850</v>
      </c>
      <c r="D15" s="1495" t="s">
        <v>4482</v>
      </c>
      <c r="E15" s="1493" t="s">
        <v>16</v>
      </c>
      <c r="F15" s="1495" t="s">
        <v>4483</v>
      </c>
      <c r="G15" s="1495" t="s">
        <v>4484</v>
      </c>
      <c r="H15" s="1495" t="s">
        <v>65</v>
      </c>
      <c r="I15" s="1495" t="s">
        <v>195</v>
      </c>
      <c r="J15" s="1600" t="s">
        <v>4485</v>
      </c>
      <c r="K15" s="1547"/>
      <c r="L15" s="1493"/>
      <c r="M15" s="1790"/>
    </row>
    <row r="16" spans="1:14" s="1548" customFormat="1" ht="241.5" customHeight="1">
      <c r="A16" s="1542">
        <v>11</v>
      </c>
      <c r="B16" s="1493" t="s">
        <v>4486</v>
      </c>
      <c r="C16" s="1494">
        <v>13600</v>
      </c>
      <c r="D16" s="1624" t="s">
        <v>4487</v>
      </c>
      <c r="E16" s="1493" t="s">
        <v>38</v>
      </c>
      <c r="F16" s="1495" t="s">
        <v>4488</v>
      </c>
      <c r="G16" s="1495" t="s">
        <v>64</v>
      </c>
      <c r="H16" s="1495" t="s">
        <v>3462</v>
      </c>
      <c r="I16" s="1495" t="s">
        <v>4489</v>
      </c>
      <c r="J16" s="1600" t="s">
        <v>4490</v>
      </c>
      <c r="K16" s="1547"/>
      <c r="L16" s="1493"/>
      <c r="M16" s="1790"/>
    </row>
    <row r="17" spans="1:13" s="1548" customFormat="1" ht="68.95" customHeight="1">
      <c r="A17" s="1542">
        <v>12</v>
      </c>
      <c r="B17" s="1493" t="s">
        <v>3895</v>
      </c>
      <c r="C17" s="1901">
        <v>4000</v>
      </c>
      <c r="D17" s="1493" t="s">
        <v>4491</v>
      </c>
      <c r="E17" s="1493" t="s">
        <v>18</v>
      </c>
      <c r="F17" s="1495" t="s">
        <v>4492</v>
      </c>
      <c r="G17" s="1495" t="s">
        <v>4493</v>
      </c>
      <c r="H17" s="1495" t="s">
        <v>65</v>
      </c>
      <c r="I17" s="1495" t="s">
        <v>294</v>
      </c>
      <c r="J17" s="1600" t="s">
        <v>4494</v>
      </c>
      <c r="K17" s="1908" t="s">
        <v>4495</v>
      </c>
      <c r="L17" s="1493"/>
      <c r="M17" s="1790"/>
    </row>
    <row r="18" spans="1:13" s="1548" customFormat="1" ht="68.95" customHeight="1">
      <c r="A18" s="1542">
        <v>13</v>
      </c>
      <c r="B18" s="1493" t="s">
        <v>114</v>
      </c>
      <c r="C18" s="1901">
        <v>3700</v>
      </c>
      <c r="D18" s="1495" t="s">
        <v>4487</v>
      </c>
      <c r="E18" s="1493" t="s">
        <v>192</v>
      </c>
      <c r="F18" s="1495" t="s">
        <v>4496</v>
      </c>
      <c r="G18" s="1495" t="s">
        <v>4493</v>
      </c>
      <c r="H18" s="1495" t="s">
        <v>65</v>
      </c>
      <c r="I18" s="1495" t="s">
        <v>558</v>
      </c>
      <c r="J18" s="1600" t="s">
        <v>4497</v>
      </c>
      <c r="K18" s="1547"/>
      <c r="L18" s="1493"/>
      <c r="M18" s="1790"/>
    </row>
    <row r="19" spans="1:13" s="1548" customFormat="1" ht="77.3" customHeight="1">
      <c r="A19" s="1542">
        <v>14</v>
      </c>
      <c r="B19" s="1493" t="s">
        <v>97</v>
      </c>
      <c r="C19" s="1901">
        <v>4400</v>
      </c>
      <c r="D19" s="1495" t="s">
        <v>4498</v>
      </c>
      <c r="E19" s="1493" t="s">
        <v>18</v>
      </c>
      <c r="F19" s="1495" t="s">
        <v>4499</v>
      </c>
      <c r="G19" s="1495" t="s">
        <v>4500</v>
      </c>
      <c r="H19" s="1495" t="s">
        <v>65</v>
      </c>
      <c r="I19" s="1495" t="s">
        <v>164</v>
      </c>
      <c r="J19" s="1600" t="s">
        <v>4501</v>
      </c>
      <c r="K19" s="1547" t="s">
        <v>4502</v>
      </c>
      <c r="L19" s="1493"/>
      <c r="M19" s="1790"/>
    </row>
    <row r="20" spans="1:13" s="1548" customFormat="1" ht="77.3" customHeight="1">
      <c r="A20" s="1542">
        <v>15</v>
      </c>
      <c r="B20" s="1493" t="s">
        <v>3546</v>
      </c>
      <c r="C20" s="1901">
        <v>4400</v>
      </c>
      <c r="D20" s="1495" t="s">
        <v>4503</v>
      </c>
      <c r="E20" s="1493" t="s">
        <v>20</v>
      </c>
      <c r="F20" s="1495" t="s">
        <v>4504</v>
      </c>
      <c r="G20" s="1495" t="s">
        <v>4505</v>
      </c>
      <c r="H20" s="1495" t="s">
        <v>65</v>
      </c>
      <c r="I20" s="1495" t="s">
        <v>213</v>
      </c>
      <c r="J20" s="1600" t="s">
        <v>4506</v>
      </c>
      <c r="K20" s="1547"/>
      <c r="L20" s="1493"/>
      <c r="M20" s="1790"/>
    </row>
    <row r="21" spans="1:13" s="1548" customFormat="1" ht="77.3" customHeight="1">
      <c r="A21" s="1542">
        <v>16</v>
      </c>
      <c r="B21" s="1493" t="s">
        <v>3754</v>
      </c>
      <c r="C21" s="1901">
        <v>4330</v>
      </c>
      <c r="D21" s="1495" t="s">
        <v>4503</v>
      </c>
      <c r="E21" s="1493" t="s">
        <v>22</v>
      </c>
      <c r="F21" s="1495" t="s">
        <v>4507</v>
      </c>
      <c r="G21" s="1495" t="s">
        <v>4505</v>
      </c>
      <c r="H21" s="1495" t="s">
        <v>65</v>
      </c>
      <c r="I21" s="1495" t="s">
        <v>66</v>
      </c>
      <c r="J21" s="1600" t="s">
        <v>4508</v>
      </c>
      <c r="K21" s="1547"/>
      <c r="L21" s="1493"/>
      <c r="M21" s="1790"/>
    </row>
    <row r="22" spans="1:13" s="1548" customFormat="1" ht="66.75" customHeight="1">
      <c r="A22" s="1542">
        <v>17</v>
      </c>
      <c r="B22" s="1902" t="s">
        <v>247</v>
      </c>
      <c r="C22" s="1901">
        <v>4300</v>
      </c>
      <c r="D22" s="1495" t="s">
        <v>4509</v>
      </c>
      <c r="E22" s="1493" t="s">
        <v>16</v>
      </c>
      <c r="F22" s="1495" t="s">
        <v>4510</v>
      </c>
      <c r="G22" s="1495" t="s">
        <v>4511</v>
      </c>
      <c r="H22" s="1495" t="s">
        <v>65</v>
      </c>
      <c r="I22" s="1495" t="s">
        <v>164</v>
      </c>
      <c r="J22" s="1600" t="s">
        <v>4512</v>
      </c>
      <c r="K22" s="1600" t="s">
        <v>4513</v>
      </c>
      <c r="L22" s="1493"/>
      <c r="M22" s="1790"/>
    </row>
    <row r="23" spans="1:13" s="1548" customFormat="1" ht="66.75" customHeight="1">
      <c r="A23" s="1542">
        <v>18</v>
      </c>
      <c r="B23" s="1493" t="s">
        <v>2956</v>
      </c>
      <c r="C23" s="1901">
        <v>3200</v>
      </c>
      <c r="D23" s="1495" t="s">
        <v>4514</v>
      </c>
      <c r="E23" s="1493" t="s">
        <v>22</v>
      </c>
      <c r="F23" s="1495" t="s">
        <v>4515</v>
      </c>
      <c r="G23" s="1495" t="s">
        <v>4511</v>
      </c>
      <c r="H23" s="1495" t="s">
        <v>65</v>
      </c>
      <c r="I23" s="1495" t="s">
        <v>213</v>
      </c>
      <c r="J23" s="1600" t="s">
        <v>4516</v>
      </c>
      <c r="K23" s="1547" t="s">
        <v>4517</v>
      </c>
      <c r="L23" s="1493"/>
      <c r="M23" s="1790"/>
    </row>
    <row r="24" spans="1:13" s="1548" customFormat="1" ht="66.75" customHeight="1">
      <c r="A24" s="1542">
        <v>19</v>
      </c>
      <c r="B24" s="1902" t="s">
        <v>134</v>
      </c>
      <c r="C24" s="1901">
        <v>2950</v>
      </c>
      <c r="D24" s="1495" t="s">
        <v>4355</v>
      </c>
      <c r="E24" s="1493" t="s">
        <v>22</v>
      </c>
      <c r="F24" s="1495" t="s">
        <v>4518</v>
      </c>
      <c r="G24" s="1495" t="s">
        <v>4519</v>
      </c>
      <c r="H24" s="1495" t="s">
        <v>65</v>
      </c>
      <c r="I24" s="1495" t="s">
        <v>164</v>
      </c>
      <c r="J24" s="1600" t="s">
        <v>4520</v>
      </c>
      <c r="K24" s="1600" t="s">
        <v>4513</v>
      </c>
      <c r="L24" s="1493"/>
      <c r="M24" s="1790"/>
    </row>
    <row r="25" spans="1:13" s="1548" customFormat="1" ht="66.75" customHeight="1">
      <c r="A25" s="1542">
        <v>20</v>
      </c>
      <c r="B25" s="1902" t="s">
        <v>3499</v>
      </c>
      <c r="C25" s="1901">
        <v>4000</v>
      </c>
      <c r="D25" s="1495" t="s">
        <v>4521</v>
      </c>
      <c r="E25" s="1493" t="s">
        <v>20</v>
      </c>
      <c r="F25" s="1495" t="s">
        <v>4522</v>
      </c>
      <c r="G25" s="1495" t="s">
        <v>4523</v>
      </c>
      <c r="H25" s="1495" t="s">
        <v>65</v>
      </c>
      <c r="I25" s="1495" t="s">
        <v>294</v>
      </c>
      <c r="J25" s="1464" t="s">
        <v>4524</v>
      </c>
      <c r="K25" s="1547"/>
      <c r="L25" s="1493"/>
      <c r="M25" s="1790"/>
    </row>
    <row r="26" spans="1:13" s="1548" customFormat="1" ht="66.75" customHeight="1">
      <c r="A26" s="1542">
        <v>21</v>
      </c>
      <c r="B26" s="1493" t="s">
        <v>3895</v>
      </c>
      <c r="C26" s="1901">
        <v>4000</v>
      </c>
      <c r="D26" s="1495" t="s">
        <v>4525</v>
      </c>
      <c r="E26" s="1493" t="s">
        <v>18</v>
      </c>
      <c r="F26" s="1495" t="s">
        <v>4526</v>
      </c>
      <c r="G26" s="1495" t="s">
        <v>4523</v>
      </c>
      <c r="H26" s="1495" t="s">
        <v>65</v>
      </c>
      <c r="I26" s="1495" t="s">
        <v>164</v>
      </c>
      <c r="J26" s="1600" t="s">
        <v>4527</v>
      </c>
      <c r="K26" s="1600" t="s">
        <v>4513</v>
      </c>
      <c r="L26" s="1493"/>
      <c r="M26" s="1790"/>
    </row>
    <row r="27" spans="1:13" s="1548" customFormat="1" ht="66.75" customHeight="1">
      <c r="A27" s="1542">
        <v>22</v>
      </c>
      <c r="B27" s="1493" t="s">
        <v>4168</v>
      </c>
      <c r="C27" s="1901">
        <v>3350</v>
      </c>
      <c r="D27" s="1495" t="s">
        <v>4528</v>
      </c>
      <c r="E27" s="1493" t="s">
        <v>22</v>
      </c>
      <c r="F27" s="1495" t="s">
        <v>4529</v>
      </c>
      <c r="G27" s="1495" t="s">
        <v>4523</v>
      </c>
      <c r="H27" s="1495" t="s">
        <v>65</v>
      </c>
      <c r="I27" s="1495" t="s">
        <v>213</v>
      </c>
      <c r="J27" s="1600" t="s">
        <v>4530</v>
      </c>
      <c r="K27" s="1547" t="s">
        <v>4531</v>
      </c>
      <c r="L27" s="1493"/>
      <c r="M27" s="1790"/>
    </row>
    <row r="28" spans="1:13" s="1548" customFormat="1" ht="66.75" customHeight="1">
      <c r="A28" s="1542">
        <v>23</v>
      </c>
      <c r="B28" s="1493" t="s">
        <v>3602</v>
      </c>
      <c r="C28" s="1901">
        <v>3550</v>
      </c>
      <c r="D28" s="1495" t="s">
        <v>4532</v>
      </c>
      <c r="E28" s="1493" t="s">
        <v>20</v>
      </c>
      <c r="F28" s="1495" t="s">
        <v>4533</v>
      </c>
      <c r="G28" s="1495" t="s">
        <v>4523</v>
      </c>
      <c r="H28" s="1495" t="s">
        <v>65</v>
      </c>
      <c r="I28" s="1495" t="s">
        <v>213</v>
      </c>
      <c r="J28" s="1600" t="s">
        <v>4534</v>
      </c>
      <c r="K28" s="1547" t="s">
        <v>4531</v>
      </c>
      <c r="L28" s="1493"/>
      <c r="M28" s="1790"/>
    </row>
    <row r="29" spans="1:13" s="1548" customFormat="1" ht="82.55" customHeight="1">
      <c r="A29" s="1542">
        <v>24</v>
      </c>
      <c r="B29" s="1493" t="s">
        <v>191</v>
      </c>
      <c r="C29" s="1901">
        <v>8300</v>
      </c>
      <c r="D29" s="1495" t="s">
        <v>4535</v>
      </c>
      <c r="E29" s="1493" t="s">
        <v>192</v>
      </c>
      <c r="F29" s="1495" t="s">
        <v>4536</v>
      </c>
      <c r="G29" s="1495" t="s">
        <v>4537</v>
      </c>
      <c r="H29" s="1495" t="s">
        <v>65</v>
      </c>
      <c r="I29" s="1495" t="s">
        <v>155</v>
      </c>
      <c r="J29" s="1600" t="s">
        <v>4538</v>
      </c>
      <c r="K29" s="1547"/>
      <c r="L29" s="1493"/>
      <c r="M29" s="1790"/>
    </row>
    <row r="30" spans="1:13" s="1548" customFormat="1" ht="82.55" customHeight="1">
      <c r="A30" s="1542">
        <v>25</v>
      </c>
      <c r="B30" s="1493" t="s">
        <v>4316</v>
      </c>
      <c r="C30" s="1901">
        <v>4000</v>
      </c>
      <c r="D30" s="1495" t="s">
        <v>4539</v>
      </c>
      <c r="E30" s="1493" t="s">
        <v>18</v>
      </c>
      <c r="F30" s="1495" t="s">
        <v>4540</v>
      </c>
      <c r="G30" s="1495" t="s">
        <v>4537</v>
      </c>
      <c r="H30" s="1495" t="s">
        <v>65</v>
      </c>
      <c r="I30" s="1495" t="s">
        <v>213</v>
      </c>
      <c r="J30" s="1600" t="s">
        <v>4541</v>
      </c>
      <c r="K30" s="1547"/>
      <c r="L30" s="1493"/>
      <c r="M30" s="1790"/>
    </row>
    <row r="31" spans="1:13" s="1548" customFormat="1" ht="82.55" customHeight="1">
      <c r="A31" s="1542">
        <v>26</v>
      </c>
      <c r="B31" s="1493" t="s">
        <v>3156</v>
      </c>
      <c r="C31" s="1901">
        <v>9850</v>
      </c>
      <c r="D31" s="1495" t="s">
        <v>4542</v>
      </c>
      <c r="E31" s="1493" t="s">
        <v>16</v>
      </c>
      <c r="F31" s="1495" t="s">
        <v>4543</v>
      </c>
      <c r="G31" s="1495" t="s">
        <v>4544</v>
      </c>
      <c r="H31" s="1495" t="s">
        <v>65</v>
      </c>
      <c r="I31" s="1495" t="s">
        <v>213</v>
      </c>
      <c r="J31" s="1600" t="s">
        <v>4545</v>
      </c>
      <c r="K31" s="1547"/>
      <c r="L31" s="1493"/>
      <c r="M31" s="1790"/>
    </row>
    <row r="32" spans="1:13" s="1548" customFormat="1" ht="66.75" customHeight="1">
      <c r="A32" s="1542">
        <v>27</v>
      </c>
      <c r="B32" s="1493" t="s">
        <v>3499</v>
      </c>
      <c r="C32" s="1901">
        <v>4000</v>
      </c>
      <c r="D32" s="1495" t="s">
        <v>4546</v>
      </c>
      <c r="E32" s="1493" t="s">
        <v>20</v>
      </c>
      <c r="F32" s="1543" t="s">
        <v>4547</v>
      </c>
      <c r="G32" s="1495" t="s">
        <v>4544</v>
      </c>
      <c r="H32" s="1495" t="s">
        <v>65</v>
      </c>
      <c r="I32" s="1495" t="s">
        <v>4386</v>
      </c>
      <c r="J32" s="1605" t="s">
        <v>4548</v>
      </c>
      <c r="K32" s="1547"/>
      <c r="L32" s="1493"/>
      <c r="M32" s="1790"/>
    </row>
    <row r="33" spans="1:13" s="1548" customFormat="1" ht="78.8" customHeight="1">
      <c r="A33" s="1542">
        <v>28</v>
      </c>
      <c r="B33" s="1493" t="s">
        <v>139</v>
      </c>
      <c r="C33" s="1901">
        <v>4350</v>
      </c>
      <c r="D33" s="1495" t="s">
        <v>4549</v>
      </c>
      <c r="E33" s="1769" t="s">
        <v>24</v>
      </c>
      <c r="F33" s="1495" t="s">
        <v>4550</v>
      </c>
      <c r="G33" s="1495" t="s">
        <v>4544</v>
      </c>
      <c r="H33" s="1495" t="s">
        <v>65</v>
      </c>
      <c r="I33" s="1773" t="s">
        <v>558</v>
      </c>
      <c r="J33" s="1600" t="s">
        <v>4551</v>
      </c>
      <c r="K33" s="1771"/>
      <c r="L33" s="1493"/>
      <c r="M33" s="1790"/>
    </row>
    <row r="34" spans="1:13" s="1548" customFormat="1" ht="78.8" customHeight="1">
      <c r="A34" s="1542">
        <v>29</v>
      </c>
      <c r="B34" s="1493" t="s">
        <v>129</v>
      </c>
      <c r="C34" s="1901">
        <v>3080</v>
      </c>
      <c r="D34" s="1495" t="s">
        <v>4546</v>
      </c>
      <c r="E34" s="1493" t="s">
        <v>24</v>
      </c>
      <c r="F34" s="1851" t="s">
        <v>4552</v>
      </c>
      <c r="G34" s="1495" t="s">
        <v>4544</v>
      </c>
      <c r="H34" s="1495" t="s">
        <v>65</v>
      </c>
      <c r="I34" s="1495" t="s">
        <v>142</v>
      </c>
      <c r="J34" s="1497" t="s">
        <v>4553</v>
      </c>
      <c r="K34" s="1547"/>
      <c r="L34" s="1493"/>
      <c r="M34" s="1790"/>
    </row>
    <row r="35" spans="1:13" s="1548" customFormat="1" ht="78.8" customHeight="1">
      <c r="A35" s="1542">
        <v>30</v>
      </c>
      <c r="B35" s="1790" t="s">
        <v>114</v>
      </c>
      <c r="C35" s="1494">
        <v>3700</v>
      </c>
      <c r="D35" s="1495" t="s">
        <v>4554</v>
      </c>
      <c r="E35" s="1493" t="s">
        <v>192</v>
      </c>
      <c r="F35" s="1495" t="s">
        <v>4555</v>
      </c>
      <c r="G35" s="1495" t="s">
        <v>4556</v>
      </c>
      <c r="H35" s="1495" t="s">
        <v>65</v>
      </c>
      <c r="I35" s="1495" t="s">
        <v>213</v>
      </c>
      <c r="J35" s="1600" t="s">
        <v>4557</v>
      </c>
      <c r="K35" s="1547"/>
      <c r="L35" s="1493"/>
      <c r="M35" s="1790"/>
    </row>
    <row r="36" spans="1:13" s="1548" customFormat="1" ht="89.35" customHeight="1">
      <c r="A36" s="1542">
        <v>31</v>
      </c>
      <c r="B36" s="1493" t="s">
        <v>3436</v>
      </c>
      <c r="C36" s="1901">
        <v>11200</v>
      </c>
      <c r="D36" s="1495" t="s">
        <v>4558</v>
      </c>
      <c r="E36" s="1493" t="s">
        <v>18</v>
      </c>
      <c r="F36" s="1495" t="s">
        <v>4559</v>
      </c>
      <c r="G36" s="1495" t="s">
        <v>4560</v>
      </c>
      <c r="H36" s="1495" t="s">
        <v>65</v>
      </c>
      <c r="I36" s="1495" t="s">
        <v>213</v>
      </c>
      <c r="J36" s="1600" t="s">
        <v>4561</v>
      </c>
      <c r="K36" s="1547"/>
      <c r="L36" s="1493"/>
      <c r="M36" s="1790"/>
    </row>
    <row r="37" spans="1:13" s="1548" customFormat="1" ht="94.6" customHeight="1">
      <c r="A37" s="1542">
        <v>32</v>
      </c>
      <c r="B37" s="1493" t="s">
        <v>3508</v>
      </c>
      <c r="C37" s="1494">
        <v>4300</v>
      </c>
      <c r="D37" s="1495" t="s">
        <v>4562</v>
      </c>
      <c r="E37" s="1493" t="s">
        <v>22</v>
      </c>
      <c r="F37" s="1495" t="s">
        <v>4563</v>
      </c>
      <c r="G37" s="1495" t="s">
        <v>4560</v>
      </c>
      <c r="H37" s="1495" t="s">
        <v>65</v>
      </c>
      <c r="I37" s="1495" t="s">
        <v>558</v>
      </c>
      <c r="J37" s="1600" t="s">
        <v>4564</v>
      </c>
      <c r="K37" s="1775" t="s">
        <v>4565</v>
      </c>
      <c r="L37" s="1493"/>
      <c r="M37" s="1790"/>
    </row>
    <row r="38" spans="1:13" s="1548" customFormat="1" ht="60.8" customHeight="1">
      <c r="A38" s="1542">
        <v>33</v>
      </c>
      <c r="B38" s="1493" t="s">
        <v>4016</v>
      </c>
      <c r="C38" s="1494">
        <v>3550</v>
      </c>
      <c r="D38" s="1495" t="s">
        <v>4566</v>
      </c>
      <c r="E38" s="1493" t="s">
        <v>20</v>
      </c>
      <c r="F38" s="1495" t="s">
        <v>4567</v>
      </c>
      <c r="G38" s="1495" t="s">
        <v>4568</v>
      </c>
      <c r="H38" s="1495" t="s">
        <v>65</v>
      </c>
      <c r="I38" s="1495" t="s">
        <v>213</v>
      </c>
      <c r="J38" s="1600" t="s">
        <v>4569</v>
      </c>
      <c r="K38" s="1547"/>
      <c r="L38" s="1493"/>
      <c r="M38" s="1790"/>
    </row>
    <row r="39" spans="1:13" s="1548" customFormat="1" ht="96.8" customHeight="1">
      <c r="A39" s="1542">
        <v>34</v>
      </c>
      <c r="B39" s="1790" t="s">
        <v>158</v>
      </c>
      <c r="C39" s="1901">
        <v>3950</v>
      </c>
      <c r="D39" s="1495" t="s">
        <v>4570</v>
      </c>
      <c r="E39" s="1493" t="s">
        <v>22</v>
      </c>
      <c r="F39" s="1495" t="s">
        <v>4571</v>
      </c>
      <c r="G39" s="1495" t="s">
        <v>4568</v>
      </c>
      <c r="H39" s="1495" t="s">
        <v>65</v>
      </c>
      <c r="I39" s="1495" t="s">
        <v>213</v>
      </c>
      <c r="J39" s="1600" t="s">
        <v>4572</v>
      </c>
      <c r="K39" s="1908" t="s">
        <v>4573</v>
      </c>
      <c r="L39" s="1493"/>
      <c r="M39" s="1790"/>
    </row>
    <row r="40" spans="1:13" s="1548" customFormat="1" ht="75.099999999999994" customHeight="1">
      <c r="A40" s="1542">
        <v>35</v>
      </c>
      <c r="B40" s="1493" t="s">
        <v>4574</v>
      </c>
      <c r="C40" s="1494">
        <v>5000</v>
      </c>
      <c r="D40" s="1495" t="s">
        <v>4570</v>
      </c>
      <c r="E40" s="1493" t="s">
        <v>3386</v>
      </c>
      <c r="F40" s="1495"/>
      <c r="G40" s="1495" t="s">
        <v>4575</v>
      </c>
      <c r="H40" s="1495" t="s">
        <v>65</v>
      </c>
      <c r="I40" s="1495" t="s">
        <v>3674</v>
      </c>
      <c r="J40" s="1600" t="s">
        <v>4576</v>
      </c>
      <c r="K40" s="1547" t="s">
        <v>4577</v>
      </c>
      <c r="L40" s="1493"/>
      <c r="M40" s="1790"/>
    </row>
    <row r="41" spans="1:13" s="1548" customFormat="1" ht="64.55" customHeight="1">
      <c r="A41" s="1542">
        <v>36</v>
      </c>
      <c r="B41" s="1902" t="s">
        <v>4578</v>
      </c>
      <c r="C41" s="1494">
        <v>35000</v>
      </c>
      <c r="D41" s="1495" t="s">
        <v>4579</v>
      </c>
      <c r="E41" s="1493" t="s">
        <v>4389</v>
      </c>
      <c r="F41" s="1495" t="s">
        <v>4580</v>
      </c>
      <c r="G41" s="1495" t="s">
        <v>4575</v>
      </c>
      <c r="H41" s="1495" t="s">
        <v>65</v>
      </c>
      <c r="I41" s="1495" t="s">
        <v>4581</v>
      </c>
      <c r="J41" s="1600" t="s">
        <v>4582</v>
      </c>
      <c r="K41" s="1547" t="s">
        <v>4583</v>
      </c>
      <c r="L41" s="1493"/>
      <c r="M41" s="1790"/>
    </row>
    <row r="42" spans="1:13" s="1548" customFormat="1" ht="68.3" customHeight="1">
      <c r="A42" s="1542">
        <v>37</v>
      </c>
      <c r="B42" s="1902" t="s">
        <v>3432</v>
      </c>
      <c r="C42" s="1494">
        <v>3200</v>
      </c>
      <c r="D42" s="1495" t="s">
        <v>4566</v>
      </c>
      <c r="E42" s="1493" t="s">
        <v>24</v>
      </c>
      <c r="F42" s="1495" t="s">
        <v>4584</v>
      </c>
      <c r="G42" s="1495" t="s">
        <v>4575</v>
      </c>
      <c r="H42" s="1495" t="s">
        <v>65</v>
      </c>
      <c r="I42" s="1495" t="s">
        <v>117</v>
      </c>
      <c r="J42" s="1600" t="s">
        <v>4585</v>
      </c>
      <c r="K42" s="1547"/>
      <c r="L42" s="1493"/>
      <c r="M42" s="1790"/>
    </row>
    <row r="43" spans="1:13" s="1548" customFormat="1" ht="107.35" customHeight="1">
      <c r="A43" s="1542">
        <v>38</v>
      </c>
      <c r="B43" s="1902" t="s">
        <v>2947</v>
      </c>
      <c r="C43" s="1494">
        <v>3500</v>
      </c>
      <c r="D43" s="1495" t="s">
        <v>4566</v>
      </c>
      <c r="E43" s="1493" t="s">
        <v>24</v>
      </c>
      <c r="F43" s="1495" t="s">
        <v>4586</v>
      </c>
      <c r="G43" s="1495" t="s">
        <v>4575</v>
      </c>
      <c r="H43" s="1495" t="s">
        <v>65</v>
      </c>
      <c r="I43" s="1495" t="s">
        <v>558</v>
      </c>
      <c r="J43" s="1600" t="s">
        <v>4587</v>
      </c>
      <c r="K43" s="1547"/>
      <c r="L43" s="1493"/>
      <c r="M43" s="1790"/>
    </row>
    <row r="44" spans="1:13" s="1548" customFormat="1" ht="99" customHeight="1">
      <c r="A44" s="1542">
        <v>39</v>
      </c>
      <c r="B44" s="1902" t="s">
        <v>2962</v>
      </c>
      <c r="C44" s="1494">
        <v>6000</v>
      </c>
      <c r="D44" s="1495" t="s">
        <v>4566</v>
      </c>
      <c r="E44" s="1493" t="s">
        <v>16</v>
      </c>
      <c r="F44" s="1495" t="s">
        <v>4588</v>
      </c>
      <c r="G44" s="1495" t="s">
        <v>4575</v>
      </c>
      <c r="H44" s="1495" t="s">
        <v>65</v>
      </c>
      <c r="I44" s="1495" t="s">
        <v>558</v>
      </c>
      <c r="J44" s="1600" t="s">
        <v>4589</v>
      </c>
      <c r="K44" s="1547"/>
      <c r="L44" s="1493"/>
      <c r="M44" s="1790"/>
    </row>
    <row r="45" spans="1:13" s="1548" customFormat="1" ht="86.95" customHeight="1">
      <c r="A45" s="1542">
        <v>40</v>
      </c>
      <c r="B45" s="1790" t="s">
        <v>3546</v>
      </c>
      <c r="C45" s="1901">
        <v>4300</v>
      </c>
      <c r="D45" s="1495" t="s">
        <v>4590</v>
      </c>
      <c r="E45" s="1493" t="s">
        <v>24</v>
      </c>
      <c r="F45" s="1495" t="s">
        <v>4591</v>
      </c>
      <c r="G45" s="1909" t="s">
        <v>4592</v>
      </c>
      <c r="H45" s="1495" t="s">
        <v>65</v>
      </c>
      <c r="I45" s="1495" t="s">
        <v>558</v>
      </c>
      <c r="J45" s="1496" t="s">
        <v>4593</v>
      </c>
      <c r="K45" s="1547"/>
      <c r="L45" s="1493"/>
      <c r="M45" s="1790"/>
    </row>
    <row r="46" spans="1:13" s="1548" customFormat="1" ht="77.95" customHeight="1">
      <c r="A46" s="1542">
        <v>41</v>
      </c>
      <c r="B46" s="1790" t="s">
        <v>252</v>
      </c>
      <c r="C46" s="1494">
        <v>3900</v>
      </c>
      <c r="D46" s="1495" t="s">
        <v>4594</v>
      </c>
      <c r="E46" s="1493" t="s">
        <v>20</v>
      </c>
      <c r="F46" s="1495" t="s">
        <v>4595</v>
      </c>
      <c r="G46" s="1909" t="s">
        <v>4592</v>
      </c>
      <c r="H46" s="1495" t="s">
        <v>65</v>
      </c>
      <c r="I46" s="1495" t="s">
        <v>558</v>
      </c>
      <c r="J46" s="1496" t="s">
        <v>4596</v>
      </c>
      <c r="K46" s="1547"/>
      <c r="L46" s="1493"/>
      <c r="M46" s="1790"/>
    </row>
    <row r="47" spans="1:13" s="1777" customFormat="1" ht="77.3"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7" priority="1070"/>
  </conditionalFormatting>
  <conditionalFormatting sqref="A5">
    <cfRule type="duplicateValues" dxfId="426" priority="4"/>
  </conditionalFormatting>
  <conditionalFormatting sqref="B5">
    <cfRule type="duplicateValues" dxfId="425" priority="1"/>
    <cfRule type="duplicateValues" dxfId="424" priority="2"/>
    <cfRule type="duplicateValues" dxfId="423"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6" customHeight="1">
      <c r="B1" s="10"/>
      <c r="C1" s="3671"/>
      <c r="D1" s="3671"/>
      <c r="E1" s="3671"/>
      <c r="F1" s="3671"/>
      <c r="G1" s="3671"/>
      <c r="H1" s="3671"/>
      <c r="I1" s="3671"/>
      <c r="J1" s="3671"/>
      <c r="K1" s="3671"/>
      <c r="M1" s="1848"/>
    </row>
    <row r="2" spans="1:14" ht="39.75" customHeight="1">
      <c r="A2" s="3672" t="s">
        <v>4597</v>
      </c>
      <c r="B2" s="3672"/>
      <c r="C2" s="3672"/>
      <c r="D2" s="3672"/>
      <c r="E2" s="3672"/>
      <c r="F2" s="3672"/>
      <c r="G2" s="3672"/>
      <c r="H2" s="3672"/>
      <c r="I2" s="3672"/>
      <c r="J2" s="3672"/>
      <c r="K2" s="3672"/>
      <c r="L2" s="3672"/>
      <c r="M2" s="3672"/>
      <c r="N2" s="287"/>
    </row>
    <row r="3" spans="1:14" s="1725" customFormat="1" ht="45" customHeight="1">
      <c r="A3" s="1723"/>
      <c r="B3" s="3673"/>
      <c r="C3" s="3674"/>
      <c r="D3" s="3674"/>
      <c r="E3" s="3674"/>
      <c r="F3" s="3674"/>
      <c r="G3" s="3674"/>
      <c r="H3" s="3674"/>
      <c r="I3" s="3674"/>
      <c r="J3" s="3674"/>
      <c r="K3" s="3674"/>
      <c r="L3" s="3674"/>
      <c r="M3" s="3675"/>
      <c r="N3" s="1724"/>
    </row>
    <row r="4" spans="1:14" ht="30.1" customHeight="1">
      <c r="A4" s="3676"/>
      <c r="B4" s="3676"/>
      <c r="C4" s="1810">
        <f>SUM(C6:C42)</f>
        <v>242500</v>
      </c>
      <c r="D4" s="1503"/>
      <c r="E4" s="1504"/>
      <c r="F4" s="1503"/>
      <c r="G4" s="1503"/>
      <c r="H4" s="1503"/>
      <c r="I4" s="1503"/>
      <c r="J4" s="1504">
        <f ca="1">TODAY()</f>
        <v>45988</v>
      </c>
      <c r="L4" s="1504"/>
      <c r="M4" s="1849"/>
      <c r="N4" s="287"/>
    </row>
    <row r="5" spans="1:14" s="1535" customFormat="1" ht="36" customHeight="1">
      <c r="A5" s="361" t="s">
        <v>48</v>
      </c>
      <c r="B5" s="679" t="s">
        <v>49</v>
      </c>
      <c r="C5" s="1811" t="s">
        <v>50</v>
      </c>
      <c r="D5" s="204" t="s">
        <v>51</v>
      </c>
      <c r="E5" s="204" t="s">
        <v>52</v>
      </c>
      <c r="F5" s="204" t="s">
        <v>53</v>
      </c>
      <c r="G5" s="204" t="s">
        <v>54</v>
      </c>
      <c r="H5" s="204" t="s">
        <v>55</v>
      </c>
      <c r="I5" s="204" t="s">
        <v>56</v>
      </c>
      <c r="J5" s="204" t="s">
        <v>57</v>
      </c>
      <c r="K5" s="204" t="s">
        <v>58</v>
      </c>
      <c r="L5" s="204" t="s">
        <v>59</v>
      </c>
      <c r="M5" s="1858" t="s">
        <v>60</v>
      </c>
      <c r="N5" s="1534" t="e">
        <f>SUM(#REF!)</f>
        <v>#REF!</v>
      </c>
    </row>
    <row r="6" spans="1:14" s="1535" customFormat="1" ht="63.7" customHeight="1">
      <c r="A6" s="1542" cm="1">
        <f t="array" ref="A6:A45">_xlfn.SEQUENCE(40,1,1,)</f>
        <v>1</v>
      </c>
      <c r="B6" s="1630" t="s">
        <v>92</v>
      </c>
      <c r="C6" s="1826">
        <v>4200</v>
      </c>
      <c r="D6" s="1495" t="s">
        <v>4598</v>
      </c>
      <c r="E6" s="1630" t="s">
        <v>16</v>
      </c>
      <c r="F6" s="1495" t="s">
        <v>4599</v>
      </c>
      <c r="G6" s="1787" t="s">
        <v>64</v>
      </c>
      <c r="H6" s="1495" t="s">
        <v>65</v>
      </c>
      <c r="I6" s="1495" t="s">
        <v>164</v>
      </c>
      <c r="J6" s="1496" t="s">
        <v>4600</v>
      </c>
      <c r="K6" s="1547"/>
      <c r="L6" s="1493"/>
      <c r="M6" s="1790"/>
      <c r="N6" s="1534"/>
    </row>
    <row r="7" spans="1:14" s="1535" customFormat="1" ht="171.7" customHeight="1">
      <c r="A7" s="1542">
        <v>2</v>
      </c>
      <c r="B7" s="1630" t="s">
        <v>4316</v>
      </c>
      <c r="C7" s="1826">
        <v>3700</v>
      </c>
      <c r="D7" s="1495" t="s">
        <v>4601</v>
      </c>
      <c r="E7" s="1630" t="s">
        <v>20</v>
      </c>
      <c r="F7" s="1495" t="s">
        <v>4602</v>
      </c>
      <c r="G7" s="1787" t="s">
        <v>64</v>
      </c>
      <c r="H7" s="1495" t="s">
        <v>65</v>
      </c>
      <c r="I7" s="1495" t="s">
        <v>164</v>
      </c>
      <c r="J7" s="1496" t="s">
        <v>4603</v>
      </c>
      <c r="K7" s="1547"/>
      <c r="L7" s="1493"/>
      <c r="M7" s="1790"/>
      <c r="N7" s="1534"/>
    </row>
    <row r="8" spans="1:14" s="1535" customFormat="1" ht="68.95" customHeight="1">
      <c r="A8" s="1542">
        <v>3</v>
      </c>
      <c r="B8" s="1493" t="s">
        <v>3612</v>
      </c>
      <c r="C8" s="1826">
        <v>4000</v>
      </c>
      <c r="D8" s="1495" t="s">
        <v>4604</v>
      </c>
      <c r="E8" s="1493" t="s">
        <v>16</v>
      </c>
      <c r="F8" s="1495" t="s">
        <v>4605</v>
      </c>
      <c r="G8" s="1787" t="s">
        <v>64</v>
      </c>
      <c r="H8" s="1495" t="s">
        <v>65</v>
      </c>
      <c r="I8" s="1495" t="s">
        <v>164</v>
      </c>
      <c r="J8" s="1496" t="s">
        <v>4606</v>
      </c>
      <c r="K8" s="1547" t="s">
        <v>4607</v>
      </c>
      <c r="L8" s="1493"/>
      <c r="M8" s="1790"/>
      <c r="N8" s="1534"/>
    </row>
    <row r="9" spans="1:14" s="1548" customFormat="1" ht="75.75" customHeight="1">
      <c r="A9" s="1542">
        <v>4</v>
      </c>
      <c r="B9" s="1630" t="s">
        <v>4608</v>
      </c>
      <c r="C9" s="1826">
        <v>6300</v>
      </c>
      <c r="D9" s="1495" t="s">
        <v>4609</v>
      </c>
      <c r="E9" s="1630" t="s">
        <v>2301</v>
      </c>
      <c r="F9" s="1495" t="s">
        <v>4610</v>
      </c>
      <c r="G9" s="1787" t="s">
        <v>64</v>
      </c>
      <c r="H9" s="1495" t="s">
        <v>65</v>
      </c>
      <c r="I9" s="1495" t="s">
        <v>150</v>
      </c>
      <c r="J9" s="1496" t="s">
        <v>4611</v>
      </c>
      <c r="K9" s="1547" t="s">
        <v>4612</v>
      </c>
      <c r="L9" s="1493"/>
      <c r="M9" s="1790"/>
    </row>
    <row r="10" spans="1:14" s="1883" customFormat="1" ht="46.55" customHeight="1">
      <c r="A10" s="1850">
        <v>5</v>
      </c>
      <c r="B10" s="1630" t="s">
        <v>4613</v>
      </c>
      <c r="C10" s="1868">
        <v>10000</v>
      </c>
      <c r="D10" s="1890" t="s">
        <v>4614</v>
      </c>
      <c r="E10" s="1851" t="s">
        <v>38</v>
      </c>
      <c r="F10" s="1495" t="s">
        <v>4615</v>
      </c>
      <c r="G10" s="1787" t="s">
        <v>64</v>
      </c>
      <c r="H10" s="1851" t="s">
        <v>3462</v>
      </c>
      <c r="I10" s="1851" t="s">
        <v>3989</v>
      </c>
      <c r="J10" s="1497" t="s">
        <v>4616</v>
      </c>
      <c r="K10" s="1547" t="s">
        <v>4612</v>
      </c>
      <c r="L10" s="1630"/>
      <c r="M10" s="1882"/>
    </row>
    <row r="11" spans="1:14" s="1548" customFormat="1" ht="135.69999999999999" customHeight="1">
      <c r="A11" s="1542">
        <v>6</v>
      </c>
      <c r="B11" s="1493" t="s">
        <v>4016</v>
      </c>
      <c r="C11" s="1826">
        <v>3550</v>
      </c>
      <c r="D11" s="1495" t="s">
        <v>4617</v>
      </c>
      <c r="E11" s="1493" t="s">
        <v>22</v>
      </c>
      <c r="F11" s="1495" t="s">
        <v>4618</v>
      </c>
      <c r="G11" s="1787" t="s">
        <v>64</v>
      </c>
      <c r="H11" s="1495" t="s">
        <v>65</v>
      </c>
      <c r="I11" s="1495" t="s">
        <v>4619</v>
      </c>
      <c r="J11" s="1600" t="s">
        <v>4620</v>
      </c>
      <c r="K11" s="1547" t="s">
        <v>4621</v>
      </c>
      <c r="L11" s="1493"/>
      <c r="M11" s="1790"/>
    </row>
    <row r="12" spans="1:14" s="1548" customFormat="1" ht="83.25" customHeight="1">
      <c r="A12" s="1542">
        <v>7</v>
      </c>
      <c r="B12" s="1493" t="s">
        <v>247</v>
      </c>
      <c r="C12" s="1826">
        <v>4250</v>
      </c>
      <c r="D12" s="1495" t="s">
        <v>4622</v>
      </c>
      <c r="E12" s="1493" t="s">
        <v>22</v>
      </c>
      <c r="F12" s="1495" t="s">
        <v>4623</v>
      </c>
      <c r="G12" s="1787" t="s">
        <v>64</v>
      </c>
      <c r="H12" s="1495" t="s">
        <v>65</v>
      </c>
      <c r="I12" s="1495" t="s">
        <v>240</v>
      </c>
      <c r="J12" s="1496" t="s">
        <v>4624</v>
      </c>
      <c r="K12" s="1547"/>
      <c r="L12" s="1493"/>
      <c r="M12" s="1790"/>
    </row>
    <row r="13" spans="1:14" s="1548" customFormat="1" ht="63.7" customHeight="1">
      <c r="A13" s="1542">
        <v>8</v>
      </c>
      <c r="B13" s="1493" t="s">
        <v>3499</v>
      </c>
      <c r="C13" s="1826">
        <v>4000</v>
      </c>
      <c r="D13" s="1748" t="s">
        <v>4625</v>
      </c>
      <c r="E13" s="1493" t="s">
        <v>20</v>
      </c>
      <c r="F13" s="1787" t="s">
        <v>4626</v>
      </c>
      <c r="G13" s="1787" t="s">
        <v>64</v>
      </c>
      <c r="H13" s="1495" t="s">
        <v>65</v>
      </c>
      <c r="I13" s="1495" t="s">
        <v>106</v>
      </c>
      <c r="J13" s="1889" t="s">
        <v>4627</v>
      </c>
      <c r="K13" s="1547"/>
      <c r="L13" s="1493"/>
      <c r="M13" s="1790"/>
    </row>
    <row r="14" spans="1:14" s="1548" customFormat="1" ht="63.7" customHeight="1">
      <c r="A14" s="1542">
        <v>9</v>
      </c>
      <c r="B14" s="1493" t="s">
        <v>252</v>
      </c>
      <c r="C14" s="1826">
        <v>4000</v>
      </c>
      <c r="D14" s="1748" t="s">
        <v>4625</v>
      </c>
      <c r="E14" s="1493" t="s">
        <v>20</v>
      </c>
      <c r="F14" s="1495" t="s">
        <v>4628</v>
      </c>
      <c r="G14" s="1787" t="s">
        <v>64</v>
      </c>
      <c r="H14" s="1495" t="s">
        <v>65</v>
      </c>
      <c r="I14" s="1495" t="s">
        <v>4386</v>
      </c>
      <c r="J14" s="1600" t="s">
        <v>4629</v>
      </c>
      <c r="K14" s="1547"/>
      <c r="L14" s="1493"/>
      <c r="M14" s="1790"/>
    </row>
    <row r="15" spans="1:14" s="1548" customFormat="1" ht="119.25" customHeight="1">
      <c r="A15" s="1542">
        <v>10</v>
      </c>
      <c r="B15" s="1493" t="s">
        <v>258</v>
      </c>
      <c r="C15" s="1826">
        <v>4250</v>
      </c>
      <c r="D15" s="1495" t="s">
        <v>4630</v>
      </c>
      <c r="E15" s="1493" t="s">
        <v>16</v>
      </c>
      <c r="F15" s="1495" t="s">
        <v>4631</v>
      </c>
      <c r="G15" s="1787" t="s">
        <v>64</v>
      </c>
      <c r="H15" s="1495" t="s">
        <v>65</v>
      </c>
      <c r="I15" s="1495" t="s">
        <v>213</v>
      </c>
      <c r="J15" s="1496" t="s">
        <v>4632</v>
      </c>
      <c r="K15" s="1547"/>
      <c r="L15" s="1493"/>
      <c r="M15" s="1790"/>
    </row>
    <row r="16" spans="1:14" s="1548" customFormat="1" ht="71.349999999999994" customHeight="1">
      <c r="A16" s="1542">
        <v>11</v>
      </c>
      <c r="B16" s="1630" t="s">
        <v>139</v>
      </c>
      <c r="C16" s="1826">
        <v>4200</v>
      </c>
      <c r="D16" s="1495" t="s">
        <v>4633</v>
      </c>
      <c r="E16" s="1630" t="s">
        <v>24</v>
      </c>
      <c r="F16" s="1493" t="s">
        <v>4634</v>
      </c>
      <c r="G16" s="1787" t="s">
        <v>64</v>
      </c>
      <c r="H16" s="1851" t="s">
        <v>65</v>
      </c>
      <c r="I16" s="1495" t="s">
        <v>213</v>
      </c>
      <c r="J16" s="1496" t="s">
        <v>4635</v>
      </c>
      <c r="K16" s="1547"/>
      <c r="L16" s="1493"/>
      <c r="M16" s="1790"/>
    </row>
    <row r="17" spans="1:13" s="1548" customFormat="1" ht="385.15">
      <c r="A17" s="1542">
        <v>12</v>
      </c>
      <c r="B17" s="1493" t="s">
        <v>3150</v>
      </c>
      <c r="C17" s="1826">
        <v>18500</v>
      </c>
      <c r="D17" s="1495" t="s">
        <v>4630</v>
      </c>
      <c r="E17" s="1493" t="s">
        <v>16</v>
      </c>
      <c r="F17" s="1495" t="s">
        <v>4636</v>
      </c>
      <c r="G17" s="1851" t="s">
        <v>4637</v>
      </c>
      <c r="H17" s="1495" t="s">
        <v>65</v>
      </c>
      <c r="I17" s="1495" t="s">
        <v>155</v>
      </c>
      <c r="J17" s="1496" t="s">
        <v>4638</v>
      </c>
      <c r="K17" s="1547"/>
      <c r="L17" s="1493"/>
      <c r="M17" s="1790"/>
    </row>
    <row r="18" spans="1:13" s="1548" customFormat="1" ht="77.95" customHeight="1">
      <c r="A18" s="1542">
        <v>13</v>
      </c>
      <c r="B18" s="1630" t="s">
        <v>4639</v>
      </c>
      <c r="C18" s="1826">
        <v>5000</v>
      </c>
      <c r="D18" s="1495" t="s">
        <v>4640</v>
      </c>
      <c r="E18" s="1851" t="s">
        <v>3136</v>
      </c>
      <c r="F18" s="1495" t="s">
        <v>4641</v>
      </c>
      <c r="G18" s="1851" t="s">
        <v>64</v>
      </c>
      <c r="H18" s="1851" t="s">
        <v>3462</v>
      </c>
      <c r="I18" s="1495" t="s">
        <v>4642</v>
      </c>
      <c r="J18" s="1600" t="s">
        <v>4643</v>
      </c>
      <c r="K18" s="1547" t="s">
        <v>4612</v>
      </c>
      <c r="L18" s="1493"/>
      <c r="M18" s="1790"/>
    </row>
    <row r="19" spans="1:13" s="1548" customFormat="1" ht="256.60000000000002" customHeight="1">
      <c r="A19" s="1542">
        <v>14</v>
      </c>
      <c r="B19" s="1493" t="s">
        <v>4455</v>
      </c>
      <c r="C19" s="1826">
        <v>23800</v>
      </c>
      <c r="D19" s="1495" t="s">
        <v>4609</v>
      </c>
      <c r="E19" s="1493" t="s">
        <v>14</v>
      </c>
      <c r="F19" s="1495" t="s">
        <v>4644</v>
      </c>
      <c r="G19" s="1851" t="s">
        <v>64</v>
      </c>
      <c r="H19" s="1495" t="s">
        <v>65</v>
      </c>
      <c r="I19" s="1495" t="s">
        <v>4645</v>
      </c>
      <c r="J19" s="1496" t="s">
        <v>4646</v>
      </c>
      <c r="K19" s="1891" t="s">
        <v>4647</v>
      </c>
      <c r="L19" s="1493"/>
      <c r="M19" s="1790"/>
    </row>
    <row r="20" spans="1:13" s="1548" customFormat="1" ht="59.3" customHeight="1">
      <c r="A20" s="1542">
        <v>15</v>
      </c>
      <c r="B20" s="1630" t="s">
        <v>3895</v>
      </c>
      <c r="C20" s="1826">
        <v>3800</v>
      </c>
      <c r="D20" s="1495" t="s">
        <v>4648</v>
      </c>
      <c r="E20" s="1630" t="s">
        <v>24</v>
      </c>
      <c r="F20" s="1495" t="s">
        <v>4649</v>
      </c>
      <c r="G20" s="1851" t="s">
        <v>64</v>
      </c>
      <c r="H20" s="1851" t="s">
        <v>65</v>
      </c>
      <c r="I20" s="1495" t="s">
        <v>213</v>
      </c>
      <c r="J20" s="1496" t="s">
        <v>4650</v>
      </c>
      <c r="K20" s="1547"/>
      <c r="L20" s="1493"/>
      <c r="M20" s="1790"/>
    </row>
    <row r="21" spans="1:13" s="1548" customFormat="1" ht="72.7" customHeight="1">
      <c r="A21" s="1542">
        <v>16</v>
      </c>
      <c r="B21" s="1493" t="s">
        <v>158</v>
      </c>
      <c r="C21" s="1826">
        <v>4000</v>
      </c>
      <c r="D21" s="1495" t="s">
        <v>4651</v>
      </c>
      <c r="E21" s="1493" t="s">
        <v>22</v>
      </c>
      <c r="F21" s="1493" t="s">
        <v>4649</v>
      </c>
      <c r="G21" s="1851" t="s">
        <v>64</v>
      </c>
      <c r="H21" s="1495" t="s">
        <v>65</v>
      </c>
      <c r="I21" s="1495" t="s">
        <v>4386</v>
      </c>
      <c r="J21" s="1496" t="s">
        <v>4652</v>
      </c>
      <c r="K21" s="1547"/>
      <c r="L21" s="1493"/>
      <c r="M21" s="1790"/>
    </row>
    <row r="22" spans="1:13" s="1548" customFormat="1" ht="59.3" customHeight="1">
      <c r="A22" s="1542">
        <v>17</v>
      </c>
      <c r="B22" s="1630" t="s">
        <v>129</v>
      </c>
      <c r="C22" s="1826">
        <v>3080</v>
      </c>
      <c r="D22" s="1495" t="s">
        <v>4653</v>
      </c>
      <c r="E22" s="1851" t="s">
        <v>24</v>
      </c>
      <c r="F22" s="1495" t="s">
        <v>4654</v>
      </c>
      <c r="G22" s="1851" t="s">
        <v>64</v>
      </c>
      <c r="H22" s="1851" t="s">
        <v>65</v>
      </c>
      <c r="I22" s="1495" t="s">
        <v>142</v>
      </c>
      <c r="J22" s="1600" t="s">
        <v>4655</v>
      </c>
      <c r="K22" s="1600"/>
      <c r="L22" s="1493"/>
      <c r="M22" s="1790"/>
    </row>
    <row r="23" spans="1:13" s="1548" customFormat="1" ht="59.3" customHeight="1">
      <c r="A23" s="1542">
        <v>18</v>
      </c>
      <c r="B23" s="1630" t="s">
        <v>2953</v>
      </c>
      <c r="C23" s="1826">
        <v>4000</v>
      </c>
      <c r="D23" s="1495" t="s">
        <v>4648</v>
      </c>
      <c r="E23" s="1851" t="s">
        <v>22</v>
      </c>
      <c r="F23" s="1495" t="s">
        <v>4656</v>
      </c>
      <c r="G23" s="1851" t="s">
        <v>64</v>
      </c>
      <c r="H23" s="1851" t="s">
        <v>65</v>
      </c>
      <c r="I23" s="1495" t="s">
        <v>213</v>
      </c>
      <c r="J23" s="1600" t="s">
        <v>4657</v>
      </c>
      <c r="K23" s="1600"/>
      <c r="L23" s="1493"/>
      <c r="M23" s="1790"/>
    </row>
    <row r="24" spans="1:13" s="1548" customFormat="1" ht="67.599999999999994" customHeight="1">
      <c r="A24" s="1542">
        <v>19</v>
      </c>
      <c r="B24" s="1630" t="s">
        <v>3546</v>
      </c>
      <c r="C24" s="1826">
        <v>4400</v>
      </c>
      <c r="D24" s="1495" t="s">
        <v>4648</v>
      </c>
      <c r="E24" s="1851" t="s">
        <v>20</v>
      </c>
      <c r="F24" s="1495" t="s">
        <v>4658</v>
      </c>
      <c r="G24" s="1851" t="s">
        <v>64</v>
      </c>
      <c r="H24" s="1851" t="s">
        <v>65</v>
      </c>
      <c r="I24" s="1495" t="s">
        <v>213</v>
      </c>
      <c r="J24" s="1600" t="s">
        <v>4659</v>
      </c>
      <c r="K24" s="1600"/>
      <c r="L24" s="1493"/>
      <c r="M24" s="1790"/>
    </row>
    <row r="25" spans="1:13" s="1548" customFormat="1" ht="179.35" customHeight="1">
      <c r="A25" s="1542">
        <v>20</v>
      </c>
      <c r="B25" s="1493" t="s">
        <v>4660</v>
      </c>
      <c r="C25" s="1826">
        <v>13000</v>
      </c>
      <c r="D25" s="1495" t="s">
        <v>4661</v>
      </c>
      <c r="E25" s="1493" t="s">
        <v>16</v>
      </c>
      <c r="F25" s="1495" t="s">
        <v>4662</v>
      </c>
      <c r="G25" s="1851" t="s">
        <v>64</v>
      </c>
      <c r="H25" s="1495" t="s">
        <v>65</v>
      </c>
      <c r="I25" s="1495" t="s">
        <v>434</v>
      </c>
      <c r="J25" s="1600" t="s">
        <v>4663</v>
      </c>
      <c r="K25" s="1843" t="s">
        <v>4664</v>
      </c>
      <c r="L25" s="1493"/>
      <c r="M25" s="1790"/>
    </row>
    <row r="26" spans="1:13" s="1548" customFormat="1" ht="80.349999999999994" customHeight="1">
      <c r="A26" s="1542">
        <v>21</v>
      </c>
      <c r="B26" s="1630" t="s">
        <v>191</v>
      </c>
      <c r="C26" s="1826">
        <v>8300</v>
      </c>
      <c r="D26" s="1495" t="s">
        <v>4661</v>
      </c>
      <c r="E26" s="1630" t="s">
        <v>192</v>
      </c>
      <c r="F26" s="1495" t="s">
        <v>4665</v>
      </c>
      <c r="G26" s="1851" t="s">
        <v>64</v>
      </c>
      <c r="H26" s="1851" t="s">
        <v>65</v>
      </c>
      <c r="I26" s="1495" t="s">
        <v>213</v>
      </c>
      <c r="J26" s="1600" t="s">
        <v>4666</v>
      </c>
      <c r="K26" s="1547"/>
      <c r="L26" s="1493"/>
      <c r="M26" s="1790"/>
    </row>
    <row r="27" spans="1:13" s="1548" customFormat="1" ht="82.55" customHeight="1">
      <c r="A27" s="1542">
        <v>22</v>
      </c>
      <c r="B27" s="1630" t="s">
        <v>4667</v>
      </c>
      <c r="C27" s="1826">
        <v>35000</v>
      </c>
      <c r="D27" s="1495" t="s">
        <v>4668</v>
      </c>
      <c r="E27" s="1851" t="s">
        <v>39</v>
      </c>
      <c r="F27" s="1495" t="s">
        <v>4669</v>
      </c>
      <c r="G27" s="1851" t="s">
        <v>64</v>
      </c>
      <c r="H27" s="1851" t="s">
        <v>3462</v>
      </c>
      <c r="I27" s="1495" t="s">
        <v>4670</v>
      </c>
      <c r="J27" s="1600" t="s">
        <v>4671</v>
      </c>
      <c r="K27" s="1600" t="s">
        <v>4672</v>
      </c>
      <c r="L27" s="1493"/>
      <c r="M27" s="1790"/>
    </row>
    <row r="28" spans="1:13" s="1548" customFormat="1" ht="82.55" customHeight="1">
      <c r="A28" s="1542">
        <v>23</v>
      </c>
      <c r="B28" s="1493" t="s">
        <v>3508</v>
      </c>
      <c r="C28" s="1826">
        <v>4280</v>
      </c>
      <c r="D28" s="1495" t="s">
        <v>4673</v>
      </c>
      <c r="E28" s="1493" t="s">
        <v>22</v>
      </c>
      <c r="F28" s="1495" t="s">
        <v>4674</v>
      </c>
      <c r="G28" s="1851" t="s">
        <v>64</v>
      </c>
      <c r="H28" s="1495" t="s">
        <v>65</v>
      </c>
      <c r="I28" s="1495" t="s">
        <v>117</v>
      </c>
      <c r="J28" s="1600" t="s">
        <v>4675</v>
      </c>
      <c r="K28" s="1547"/>
      <c r="L28" s="1493"/>
      <c r="M28" s="1790"/>
    </row>
    <row r="29" spans="1:13" s="1548" customFormat="1" ht="67.599999999999994" customHeight="1">
      <c r="A29" s="1542">
        <v>24</v>
      </c>
      <c r="B29" s="1851" t="s">
        <v>97</v>
      </c>
      <c r="C29" s="1868">
        <v>4700</v>
      </c>
      <c r="D29" s="1851" t="s">
        <v>4676</v>
      </c>
      <c r="E29" s="1851" t="s">
        <v>18</v>
      </c>
      <c r="F29" s="1495" t="s">
        <v>4677</v>
      </c>
      <c r="G29" s="1851" t="s">
        <v>64</v>
      </c>
      <c r="H29" s="1875" t="s">
        <v>65</v>
      </c>
      <c r="I29" s="1495" t="s">
        <v>213</v>
      </c>
      <c r="J29" s="1600" t="s">
        <v>4678</v>
      </c>
      <c r="K29" s="1547"/>
      <c r="L29" s="1493"/>
      <c r="M29" s="1790"/>
    </row>
    <row r="30" spans="1:13" s="1559" customFormat="1" ht="122.95" customHeight="1">
      <c r="A30" s="1553">
        <v>25</v>
      </c>
      <c r="B30" s="1545" t="s">
        <v>3436</v>
      </c>
      <c r="C30" s="1827">
        <v>11000</v>
      </c>
      <c r="D30" s="1543" t="s">
        <v>4676</v>
      </c>
      <c r="E30" s="1543" t="s">
        <v>18</v>
      </c>
      <c r="F30" s="1543" t="s">
        <v>4679</v>
      </c>
      <c r="G30" s="1899"/>
      <c r="H30" s="1543" t="s">
        <v>65</v>
      </c>
      <c r="I30" s="1900" t="s">
        <v>213</v>
      </c>
      <c r="J30" s="1605" t="s">
        <v>4680</v>
      </c>
      <c r="K30" s="1828"/>
      <c r="L30" s="1545"/>
      <c r="M30" s="1852"/>
    </row>
    <row r="31" spans="1:13" s="1548" customFormat="1" ht="179.35" customHeight="1">
      <c r="A31" s="1542">
        <v>26</v>
      </c>
      <c r="B31" s="1493" t="s">
        <v>4681</v>
      </c>
      <c r="C31" s="1826">
        <v>15000</v>
      </c>
      <c r="D31" s="1495" t="s">
        <v>4682</v>
      </c>
      <c r="E31" s="1495" t="s">
        <v>38</v>
      </c>
      <c r="F31" s="1495" t="s">
        <v>4683</v>
      </c>
      <c r="G31" s="1495" t="s">
        <v>4684</v>
      </c>
      <c r="H31" s="1495" t="s">
        <v>3462</v>
      </c>
      <c r="I31" s="1495" t="s">
        <v>4685</v>
      </c>
      <c r="J31" s="1496" t="s">
        <v>4686</v>
      </c>
      <c r="L31" s="1493"/>
      <c r="M31" s="1790"/>
    </row>
    <row r="32" spans="1:13" s="1883" customFormat="1" ht="72" customHeight="1">
      <c r="A32" s="1850">
        <v>27</v>
      </c>
      <c r="B32" s="1630" t="s">
        <v>3432</v>
      </c>
      <c r="C32" s="1868">
        <v>3000</v>
      </c>
      <c r="D32" s="1851" t="s">
        <v>4687</v>
      </c>
      <c r="E32" s="1630" t="s">
        <v>24</v>
      </c>
      <c r="F32" s="1851" t="s">
        <v>4688</v>
      </c>
      <c r="G32" s="1875" t="s">
        <v>4689</v>
      </c>
      <c r="H32" s="1851" t="s">
        <v>65</v>
      </c>
      <c r="I32" s="1851" t="s">
        <v>142</v>
      </c>
      <c r="J32" s="1497" t="s">
        <v>4690</v>
      </c>
      <c r="K32" s="1881"/>
      <c r="L32" s="1630"/>
      <c r="M32" s="1882"/>
    </row>
    <row r="33" spans="1:13" s="1559" customFormat="1" ht="105.8" customHeight="1">
      <c r="A33" s="1553">
        <v>28</v>
      </c>
      <c r="B33" s="1545" t="s">
        <v>252</v>
      </c>
      <c r="C33" s="1827">
        <v>4000</v>
      </c>
      <c r="D33" s="1543" t="s">
        <v>4691</v>
      </c>
      <c r="E33" s="1545" t="s">
        <v>20</v>
      </c>
      <c r="F33" s="1543" t="s">
        <v>4692</v>
      </c>
      <c r="G33" s="1543" t="s">
        <v>4693</v>
      </c>
      <c r="H33" s="1543" t="s">
        <v>65</v>
      </c>
      <c r="I33" s="1543" t="s">
        <v>117</v>
      </c>
      <c r="J33" s="1605" t="s">
        <v>4694</v>
      </c>
      <c r="K33" s="1605" t="s">
        <v>4695</v>
      </c>
      <c r="L33" s="1545"/>
      <c r="M33" s="1545"/>
    </row>
    <row r="34" spans="1:13" s="1559" customFormat="1" ht="153.69999999999999" customHeight="1">
      <c r="A34" s="1553">
        <v>29</v>
      </c>
      <c r="B34" s="1545" t="s">
        <v>3612</v>
      </c>
      <c r="C34" s="1827">
        <v>3100</v>
      </c>
      <c r="D34" s="1543" t="s">
        <v>4696</v>
      </c>
      <c r="E34" s="1545" t="s">
        <v>22</v>
      </c>
      <c r="F34" s="1543" t="s">
        <v>4697</v>
      </c>
      <c r="G34" s="1543" t="s">
        <v>4693</v>
      </c>
      <c r="H34" s="1543" t="s">
        <v>65</v>
      </c>
      <c r="I34" s="1543" t="s">
        <v>117</v>
      </c>
      <c r="J34" s="1605" t="s">
        <v>4698</v>
      </c>
      <c r="K34" s="1828" t="s">
        <v>4695</v>
      </c>
      <c r="L34" s="1545"/>
      <c r="M34" s="1852"/>
    </row>
    <row r="35" spans="1:13" s="1548" customFormat="1" ht="115.5" customHeight="1">
      <c r="A35" s="1542">
        <v>30</v>
      </c>
      <c r="B35" s="1493" t="s">
        <v>3602</v>
      </c>
      <c r="C35" s="1901">
        <v>3550</v>
      </c>
      <c r="D35" s="1495" t="s">
        <v>4691</v>
      </c>
      <c r="E35" s="1493" t="s">
        <v>20</v>
      </c>
      <c r="F35" s="1493" t="s">
        <v>4699</v>
      </c>
      <c r="G35" s="1495"/>
      <c r="H35" s="1495" t="s">
        <v>65</v>
      </c>
      <c r="I35" s="1495" t="s">
        <v>66</v>
      </c>
      <c r="J35" s="1770" t="s">
        <v>4700</v>
      </c>
      <c r="K35" s="1600" t="s">
        <v>4701</v>
      </c>
      <c r="L35" s="1493"/>
      <c r="M35" s="1790"/>
    </row>
    <row r="36" spans="1:13" s="1883" customFormat="1" ht="117.7" customHeight="1">
      <c r="A36" s="1630">
        <v>31</v>
      </c>
      <c r="B36" s="1902" t="s">
        <v>103</v>
      </c>
      <c r="C36" s="1826">
        <v>3240</v>
      </c>
      <c r="D36" s="1495" t="s">
        <v>4702</v>
      </c>
      <c r="E36" s="1493" t="s">
        <v>24</v>
      </c>
      <c r="F36" s="1495" t="s">
        <v>4703</v>
      </c>
      <c r="H36" s="1875" t="s">
        <v>65</v>
      </c>
      <c r="I36" s="1851" t="s">
        <v>66</v>
      </c>
      <c r="J36" s="1994" t="s">
        <v>4704</v>
      </c>
      <c r="K36" s="1883" t="s">
        <v>4705</v>
      </c>
    </row>
    <row r="37" spans="1:13" s="1548" customFormat="1" ht="86.3" customHeight="1">
      <c r="A37" s="1493">
        <v>32</v>
      </c>
      <c r="B37" s="1630" t="s">
        <v>3499</v>
      </c>
      <c r="C37" s="1631">
        <v>4000</v>
      </c>
      <c r="D37" s="1851" t="s">
        <v>4706</v>
      </c>
      <c r="E37" s="1630" t="s">
        <v>20</v>
      </c>
      <c r="F37" s="1630" t="s">
        <v>4707</v>
      </c>
      <c r="G37" s="1493"/>
      <c r="H37" s="1543" t="s">
        <v>65</v>
      </c>
      <c r="I37" s="1851" t="s">
        <v>4708</v>
      </c>
      <c r="J37" s="1600" t="s">
        <v>4709</v>
      </c>
    </row>
    <row r="38" spans="1:13" s="1548" customFormat="1" ht="106.5" customHeight="1">
      <c r="A38" s="1542">
        <v>33</v>
      </c>
      <c r="B38" s="1493" t="s">
        <v>3754</v>
      </c>
      <c r="C38" s="1903">
        <v>4350</v>
      </c>
      <c r="D38" s="1495" t="s">
        <v>4710</v>
      </c>
      <c r="E38" s="1493" t="s">
        <v>22</v>
      </c>
      <c r="F38" s="1495" t="s">
        <v>4711</v>
      </c>
      <c r="G38" s="1495"/>
      <c r="H38" s="1543" t="s">
        <v>65</v>
      </c>
      <c r="I38" s="1851" t="s">
        <v>66</v>
      </c>
      <c r="J38" s="1994" t="s">
        <v>4712</v>
      </c>
      <c r="K38" s="1600" t="s">
        <v>4713</v>
      </c>
      <c r="L38" s="1493"/>
      <c r="M38" s="1790"/>
    </row>
    <row r="39" spans="1:13" s="1548" customFormat="1" ht="107.35" customHeight="1">
      <c r="A39" s="1542">
        <v>34</v>
      </c>
      <c r="B39" s="1493" t="s">
        <v>134</v>
      </c>
      <c r="C39" s="1903">
        <v>2950</v>
      </c>
      <c r="D39" s="1495" t="s">
        <v>4456</v>
      </c>
      <c r="E39" s="1493" t="s">
        <v>22</v>
      </c>
      <c r="F39" s="1495" t="s">
        <v>4714</v>
      </c>
      <c r="G39" s="1495"/>
      <c r="H39" s="1543" t="s">
        <v>65</v>
      </c>
      <c r="I39" s="1851" t="s">
        <v>66</v>
      </c>
      <c r="J39" s="1600" t="s">
        <v>4704</v>
      </c>
      <c r="K39" s="1600" t="s">
        <v>4713</v>
      </c>
      <c r="L39" s="1493"/>
      <c r="M39" s="1790"/>
    </row>
    <row r="40" spans="1:13" s="1548" customFormat="1" ht="119.25" customHeight="1">
      <c r="A40" s="1542">
        <v>35</v>
      </c>
      <c r="B40" s="1493" t="s">
        <v>92</v>
      </c>
      <c r="C40" s="1903">
        <v>4000</v>
      </c>
      <c r="D40" s="1495" t="s">
        <v>4715</v>
      </c>
      <c r="E40" s="1493" t="s">
        <v>16</v>
      </c>
      <c r="F40" s="1495" t="s">
        <v>4716</v>
      </c>
      <c r="G40" s="1495"/>
      <c r="H40" s="1543" t="s">
        <v>65</v>
      </c>
      <c r="I40" s="1851" t="s">
        <v>66</v>
      </c>
      <c r="J40" s="1600" t="s">
        <v>4712</v>
      </c>
      <c r="K40" s="1600" t="s">
        <v>4713</v>
      </c>
      <c r="L40" s="1493"/>
      <c r="M40" s="1790"/>
    </row>
    <row r="41" spans="1:13" s="1777" customFormat="1" ht="58.6" customHeight="1">
      <c r="A41" s="738">
        <v>36</v>
      </c>
      <c r="B41" s="1895"/>
      <c r="C41" s="1207"/>
      <c r="D41" s="109"/>
      <c r="E41" s="102"/>
      <c r="F41" s="109"/>
      <c r="G41" s="109"/>
      <c r="H41" s="109"/>
      <c r="I41" s="109"/>
      <c r="J41" s="143"/>
      <c r="K41" s="143"/>
      <c r="L41" s="102"/>
      <c r="M41" s="1853"/>
    </row>
    <row r="42" spans="1:13" s="1777" customFormat="1" ht="58.6" customHeight="1">
      <c r="A42" s="738">
        <v>37</v>
      </c>
      <c r="B42" s="102"/>
      <c r="C42" s="1207"/>
      <c r="D42" s="109"/>
      <c r="E42" s="102"/>
      <c r="F42" s="109"/>
      <c r="G42" s="109"/>
      <c r="H42" s="109"/>
      <c r="I42" s="109"/>
      <c r="J42" s="143"/>
      <c r="K42" s="143"/>
      <c r="L42" s="102"/>
      <c r="M42" s="1853"/>
    </row>
    <row r="43" spans="1:13" s="1777" customFormat="1" ht="58.6" customHeight="1">
      <c r="A43" s="738">
        <v>38</v>
      </c>
      <c r="B43" s="102"/>
      <c r="C43" s="1207"/>
      <c r="D43" s="109"/>
      <c r="E43" s="102"/>
      <c r="F43" s="109"/>
      <c r="G43" s="109"/>
      <c r="H43" s="109"/>
      <c r="I43" s="109"/>
      <c r="J43" s="143"/>
      <c r="K43" s="143"/>
      <c r="L43" s="102"/>
      <c r="M43" s="1853"/>
    </row>
    <row r="44" spans="1:13" s="1777" customFormat="1" ht="58.6" customHeight="1">
      <c r="A44" s="738">
        <v>39</v>
      </c>
      <c r="B44" s="102"/>
      <c r="C44" s="1207"/>
      <c r="D44" s="109"/>
      <c r="E44" s="102"/>
      <c r="F44" s="109"/>
      <c r="G44" s="109"/>
      <c r="H44" s="109"/>
      <c r="I44" s="109"/>
      <c r="J44" s="143"/>
      <c r="K44" s="143"/>
      <c r="L44" s="102"/>
      <c r="M44" s="1853"/>
    </row>
    <row r="45" spans="1:13" s="1777" customFormat="1" ht="58.6" customHeight="1">
      <c r="A45" s="738">
        <v>40</v>
      </c>
      <c r="B45" s="102"/>
      <c r="C45" s="1207"/>
      <c r="D45" s="109"/>
      <c r="E45" s="102"/>
      <c r="F45" s="109"/>
      <c r="G45" s="109"/>
      <c r="H45" s="109"/>
      <c r="I45" s="109"/>
      <c r="J45" s="143"/>
      <c r="K45" s="143"/>
      <c r="L45" s="102"/>
      <c r="M45" s="1853"/>
    </row>
    <row r="53" spans="2:5" s="1823" customFormat="1" ht="54" customHeight="1">
      <c r="B53" s="1801" t="s">
        <v>134</v>
      </c>
      <c r="C53" s="1830"/>
      <c r="D53" s="1802" t="s">
        <v>257</v>
      </c>
      <c r="E53" s="1801" t="s">
        <v>22</v>
      </c>
    </row>
  </sheetData>
  <autoFilter ref="A5:P44" xr:uid="{00000000-0009-0000-0000-000001000000}"/>
  <mergeCells count="4">
    <mergeCell ref="C1:K1"/>
    <mergeCell ref="A2:M2"/>
    <mergeCell ref="B3:M3"/>
    <mergeCell ref="A4:B4"/>
  </mergeCells>
  <conditionalFormatting sqref="A1:A4">
    <cfRule type="duplicateValues" dxfId="422" priority="6"/>
  </conditionalFormatting>
  <conditionalFormatting sqref="A5">
    <cfRule type="duplicateValues" dxfId="421" priority="5"/>
  </conditionalFormatting>
  <conditionalFormatting sqref="B5">
    <cfRule type="duplicateValues" dxfId="420" priority="2"/>
    <cfRule type="duplicateValues" dxfId="419" priority="3"/>
    <cfRule type="duplicateValues" dxfId="418"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6" customHeight="1">
      <c r="B1" s="10"/>
      <c r="C1" s="3671"/>
      <c r="D1" s="3671"/>
      <c r="E1" s="3671"/>
      <c r="F1" s="3671"/>
      <c r="G1" s="3671"/>
      <c r="H1" s="3671"/>
      <c r="I1" s="3671"/>
      <c r="J1" s="3671"/>
      <c r="K1" s="3671"/>
      <c r="M1" s="1848"/>
    </row>
    <row r="2" spans="1:14" ht="39.75" customHeight="1">
      <c r="A2" s="3672" t="s">
        <v>4717</v>
      </c>
      <c r="B2" s="3672"/>
      <c r="C2" s="3672"/>
      <c r="D2" s="3672"/>
      <c r="E2" s="3672"/>
      <c r="F2" s="3672"/>
      <c r="G2" s="3672"/>
      <c r="H2" s="3672"/>
      <c r="I2" s="3672"/>
      <c r="J2" s="3672"/>
      <c r="K2" s="3672"/>
      <c r="L2" s="3672"/>
      <c r="M2" s="3672"/>
      <c r="N2" s="287"/>
    </row>
    <row r="3" spans="1:14" s="1725" customFormat="1" ht="45" customHeight="1">
      <c r="A3" s="1723"/>
      <c r="B3" s="3673"/>
      <c r="C3" s="3674"/>
      <c r="D3" s="3674"/>
      <c r="E3" s="3674"/>
      <c r="F3" s="3674"/>
      <c r="G3" s="3674"/>
      <c r="H3" s="3674"/>
      <c r="I3" s="3674"/>
      <c r="J3" s="3674"/>
      <c r="K3" s="3674"/>
      <c r="L3" s="3674"/>
      <c r="M3" s="3675"/>
      <c r="N3" s="1724"/>
    </row>
    <row r="4" spans="1:14" ht="30.1" customHeight="1">
      <c r="A4" s="3676"/>
      <c r="B4" s="3676"/>
      <c r="C4" s="1810">
        <f>SUM(C6:C28)</f>
        <v>284490</v>
      </c>
      <c r="D4" s="1503"/>
      <c r="E4" s="1504"/>
      <c r="F4" s="1503"/>
      <c r="G4" s="1503"/>
      <c r="H4" s="1503"/>
      <c r="I4" s="1503"/>
      <c r="J4" s="1504">
        <f ca="1">TODAY()</f>
        <v>45988</v>
      </c>
      <c r="L4" s="1504"/>
      <c r="M4" s="1849"/>
      <c r="N4" s="287"/>
    </row>
    <row r="5" spans="1:14" s="1535" customFormat="1" ht="34">
      <c r="A5" s="361" t="s">
        <v>48</v>
      </c>
      <c r="B5" s="679" t="s">
        <v>49</v>
      </c>
      <c r="C5" s="1811" t="s">
        <v>50</v>
      </c>
      <c r="D5" s="204" t="s">
        <v>51</v>
      </c>
      <c r="E5" s="204" t="s">
        <v>52</v>
      </c>
      <c r="F5" s="204" t="s">
        <v>53</v>
      </c>
      <c r="G5" s="204" t="s">
        <v>54</v>
      </c>
      <c r="H5" s="204" t="s">
        <v>55</v>
      </c>
      <c r="I5" s="204" t="s">
        <v>56</v>
      </c>
      <c r="J5" s="204" t="s">
        <v>57</v>
      </c>
      <c r="K5" s="204" t="s">
        <v>58</v>
      </c>
      <c r="L5" s="204" t="s">
        <v>59</v>
      </c>
      <c r="M5" s="1858" t="s">
        <v>60</v>
      </c>
      <c r="N5" s="1534" t="e">
        <f>SUM(#REF!)</f>
        <v>#REF!</v>
      </c>
    </row>
    <row r="6" spans="1:14" s="1548" customFormat="1" ht="220.1">
      <c r="A6" s="1850" cm="1">
        <f t="array" ref="A6:A45">_xlfn.SEQUENCE(40,1,1,)</f>
        <v>1</v>
      </c>
      <c r="B6" s="1630" t="s">
        <v>4455</v>
      </c>
      <c r="C6" s="1826">
        <v>23800</v>
      </c>
      <c r="D6" s="1495" t="s">
        <v>4718</v>
      </c>
      <c r="E6" s="1851" t="s">
        <v>14</v>
      </c>
      <c r="F6" s="1495" t="s">
        <v>4719</v>
      </c>
      <c r="G6" s="1787" t="s">
        <v>64</v>
      </c>
      <c r="H6" s="1851" t="s">
        <v>65</v>
      </c>
      <c r="I6" s="1495" t="s">
        <v>213</v>
      </c>
      <c r="J6" s="1600" t="s">
        <v>4720</v>
      </c>
      <c r="K6" s="1547" t="s">
        <v>4721</v>
      </c>
      <c r="L6" s="1493"/>
      <c r="M6" s="1790"/>
    </row>
    <row r="7" spans="1:14" s="1548" customFormat="1" ht="55.05">
      <c r="A7" s="1542">
        <v>2</v>
      </c>
      <c r="B7" s="1493" t="s">
        <v>252</v>
      </c>
      <c r="C7" s="1826">
        <v>3800</v>
      </c>
      <c r="D7" s="1495" t="s">
        <v>4722</v>
      </c>
      <c r="E7" s="1493" t="s">
        <v>20</v>
      </c>
      <c r="F7" s="1495" t="s">
        <v>4723</v>
      </c>
      <c r="G7" s="1787" t="s">
        <v>64</v>
      </c>
      <c r="H7" s="1493" t="s">
        <v>65</v>
      </c>
      <c r="I7" s="1493" t="s">
        <v>558</v>
      </c>
      <c r="J7" s="1496" t="s">
        <v>4724</v>
      </c>
      <c r="K7" s="1547"/>
      <c r="L7" s="1493"/>
      <c r="M7" s="1790"/>
    </row>
    <row r="8" spans="1:14" s="1548" customFormat="1" ht="138.75" customHeight="1">
      <c r="A8" s="1542">
        <v>3</v>
      </c>
      <c r="B8" s="1493" t="s">
        <v>4016</v>
      </c>
      <c r="C8" s="1826">
        <v>2300</v>
      </c>
      <c r="D8" s="1495" t="s">
        <v>4725</v>
      </c>
      <c r="E8" s="1493" t="s">
        <v>22</v>
      </c>
      <c r="F8" s="1495" t="s">
        <v>4726</v>
      </c>
      <c r="G8" s="1787" t="s">
        <v>64</v>
      </c>
      <c r="H8" s="1493" t="s">
        <v>65</v>
      </c>
      <c r="I8" s="1493" t="s">
        <v>117</v>
      </c>
      <c r="J8" s="1496" t="s">
        <v>4727</v>
      </c>
      <c r="K8" s="1496"/>
      <c r="L8" s="1493"/>
      <c r="M8" s="1790"/>
    </row>
    <row r="9" spans="1:14" s="1883" customFormat="1" ht="360.7" customHeight="1">
      <c r="A9" s="1850">
        <v>4</v>
      </c>
      <c r="B9" s="1630" t="s">
        <v>4728</v>
      </c>
      <c r="C9" s="1868">
        <v>31100</v>
      </c>
      <c r="D9" s="1851" t="s">
        <v>4729</v>
      </c>
      <c r="E9" s="1851" t="s">
        <v>38</v>
      </c>
      <c r="F9" s="1851"/>
      <c r="G9" s="1851" t="s">
        <v>4730</v>
      </c>
      <c r="H9" s="1851" t="s">
        <v>194</v>
      </c>
      <c r="I9" s="1851" t="s">
        <v>3552</v>
      </c>
      <c r="J9" s="1887" t="s">
        <v>4731</v>
      </c>
      <c r="K9" s="1881"/>
      <c r="L9" s="1630"/>
      <c r="M9" s="1882" t="s">
        <v>4732</v>
      </c>
    </row>
    <row r="10" spans="1:14" s="1883" customFormat="1" ht="55.05">
      <c r="A10" s="1850">
        <v>5</v>
      </c>
      <c r="B10" s="1851" t="s">
        <v>134</v>
      </c>
      <c r="C10" s="1868">
        <v>2950</v>
      </c>
      <c r="D10" s="1851" t="s">
        <v>4733</v>
      </c>
      <c r="E10" s="1851" t="s">
        <v>22</v>
      </c>
      <c r="F10" s="1851"/>
      <c r="G10" s="1787" t="s">
        <v>64</v>
      </c>
      <c r="H10" s="1851" t="s">
        <v>65</v>
      </c>
      <c r="I10" s="1851" t="s">
        <v>213</v>
      </c>
      <c r="J10" s="1497" t="s">
        <v>4734</v>
      </c>
      <c r="K10" s="1881"/>
      <c r="L10" s="1630"/>
      <c r="M10" s="1882"/>
    </row>
    <row r="11" spans="1:14" s="1883" customFormat="1" ht="36.700000000000003">
      <c r="A11" s="1850">
        <v>6</v>
      </c>
      <c r="B11" s="1851" t="s">
        <v>4316</v>
      </c>
      <c r="C11" s="1868">
        <v>4000</v>
      </c>
      <c r="D11" s="1851" t="s">
        <v>4735</v>
      </c>
      <c r="E11" s="1851" t="s">
        <v>18</v>
      </c>
      <c r="F11" s="1851" t="s">
        <v>4736</v>
      </c>
      <c r="G11" s="1787" t="s">
        <v>64</v>
      </c>
      <c r="H11" s="1851" t="s">
        <v>65</v>
      </c>
      <c r="I11" s="1851" t="s">
        <v>213</v>
      </c>
      <c r="J11" s="1497" t="s">
        <v>4737</v>
      </c>
      <c r="K11" s="1881"/>
      <c r="L11" s="1630"/>
      <c r="M11" s="1882"/>
    </row>
    <row r="12" spans="1:14" s="1883" customFormat="1" ht="36.700000000000003">
      <c r="A12" s="1850">
        <v>7</v>
      </c>
      <c r="B12" s="1851" t="s">
        <v>103</v>
      </c>
      <c r="C12" s="1868">
        <v>3300</v>
      </c>
      <c r="D12" s="1851" t="s">
        <v>4738</v>
      </c>
      <c r="E12" s="1851" t="s">
        <v>20</v>
      </c>
      <c r="F12" s="1851" t="s">
        <v>4739</v>
      </c>
      <c r="G12" s="1787" t="s">
        <v>64</v>
      </c>
      <c r="H12" s="1851" t="s">
        <v>65</v>
      </c>
      <c r="I12" s="1851" t="s">
        <v>142</v>
      </c>
      <c r="J12" s="1497" t="s">
        <v>4740</v>
      </c>
      <c r="K12" s="1881"/>
      <c r="L12" s="1630"/>
      <c r="M12" s="1882"/>
    </row>
    <row r="13" spans="1:14" s="1883" customFormat="1" ht="55.05">
      <c r="A13" s="1850">
        <v>8</v>
      </c>
      <c r="B13" s="1851" t="s">
        <v>4741</v>
      </c>
      <c r="C13" s="1868">
        <v>45000</v>
      </c>
      <c r="D13" s="1851" t="s">
        <v>4742</v>
      </c>
      <c r="E13" s="1851" t="s">
        <v>554</v>
      </c>
      <c r="F13" s="1851" t="s">
        <v>4743</v>
      </c>
      <c r="G13" s="1851"/>
      <c r="H13" s="1851" t="s">
        <v>3462</v>
      </c>
      <c r="I13" s="1851" t="s">
        <v>4744</v>
      </c>
      <c r="J13" s="1497" t="s">
        <v>4745</v>
      </c>
      <c r="K13" s="1881"/>
      <c r="L13" s="1630"/>
      <c r="M13" s="1882"/>
    </row>
    <row r="14" spans="1:14" s="1883" customFormat="1" ht="91.7">
      <c r="A14" s="1850">
        <v>9</v>
      </c>
      <c r="B14" s="1851" t="s">
        <v>2956</v>
      </c>
      <c r="C14" s="1868">
        <v>3300</v>
      </c>
      <c r="D14" s="1851" t="s">
        <v>4735</v>
      </c>
      <c r="E14" s="1851" t="s">
        <v>20</v>
      </c>
      <c r="F14" s="1851" t="s">
        <v>4746</v>
      </c>
      <c r="G14" s="1787" t="s">
        <v>64</v>
      </c>
      <c r="H14" s="1851" t="s">
        <v>65</v>
      </c>
      <c r="I14" s="1851" t="s">
        <v>213</v>
      </c>
      <c r="J14" s="1497" t="s">
        <v>4747</v>
      </c>
      <c r="K14" s="1881"/>
      <c r="L14" s="1630"/>
      <c r="M14" s="1882"/>
    </row>
    <row r="15" spans="1:14" s="1883" customFormat="1" ht="31.25">
      <c r="A15" s="1850">
        <v>10</v>
      </c>
      <c r="B15" s="1630" t="s">
        <v>260</v>
      </c>
      <c r="C15" s="1868">
        <v>3800</v>
      </c>
      <c r="D15" s="1851" t="s">
        <v>4738</v>
      </c>
      <c r="E15" s="1851" t="s">
        <v>20</v>
      </c>
      <c r="F15" s="1851" t="s">
        <v>4748</v>
      </c>
      <c r="G15" s="1787" t="s">
        <v>64</v>
      </c>
      <c r="H15" s="1851" t="s">
        <v>65</v>
      </c>
      <c r="I15" s="1851" t="s">
        <v>106</v>
      </c>
      <c r="J15" s="1887" t="s">
        <v>4749</v>
      </c>
      <c r="K15" s="1881"/>
      <c r="L15" s="1630"/>
      <c r="M15" s="1882"/>
    </row>
    <row r="16" spans="1:14" s="1883" customFormat="1" ht="36.700000000000003">
      <c r="A16" s="1850">
        <v>11</v>
      </c>
      <c r="B16" s="1630" t="s">
        <v>4750</v>
      </c>
      <c r="C16" s="1868">
        <v>35000</v>
      </c>
      <c r="D16" s="1851" t="s">
        <v>4751</v>
      </c>
      <c r="E16" s="1851" t="s">
        <v>39</v>
      </c>
      <c r="F16" s="1851" t="s">
        <v>4752</v>
      </c>
      <c r="G16" s="1787" t="s">
        <v>64</v>
      </c>
      <c r="H16" s="1851" t="s">
        <v>3462</v>
      </c>
      <c r="I16" s="1851" t="s">
        <v>4581</v>
      </c>
      <c r="J16" s="1497" t="s">
        <v>4753</v>
      </c>
      <c r="K16" s="1888" t="s">
        <v>4754</v>
      </c>
      <c r="L16" s="1630"/>
      <c r="M16" s="1882"/>
    </row>
    <row r="17" spans="1:13" s="1883" customFormat="1" ht="36.700000000000003">
      <c r="A17" s="1850">
        <v>12</v>
      </c>
      <c r="B17" s="1630" t="s">
        <v>61</v>
      </c>
      <c r="C17" s="1868">
        <v>4000</v>
      </c>
      <c r="D17" s="1851" t="s">
        <v>4751</v>
      </c>
      <c r="E17" s="1851" t="s">
        <v>22</v>
      </c>
      <c r="F17" s="1851" t="s">
        <v>4755</v>
      </c>
      <c r="G17" s="1787" t="s">
        <v>64</v>
      </c>
      <c r="H17" s="1851" t="s">
        <v>65</v>
      </c>
      <c r="I17" s="1851" t="s">
        <v>4366</v>
      </c>
      <c r="J17" s="1497" t="s">
        <v>4756</v>
      </c>
      <c r="K17" s="1888"/>
      <c r="L17" s="1630"/>
      <c r="M17" s="1882"/>
    </row>
    <row r="18" spans="1:13" s="1883" customFormat="1" ht="36.700000000000003">
      <c r="A18" s="1850">
        <v>13</v>
      </c>
      <c r="B18" s="1630" t="s">
        <v>4757</v>
      </c>
      <c r="C18" s="1868">
        <v>15000</v>
      </c>
      <c r="D18" s="1851" t="s">
        <v>4758</v>
      </c>
      <c r="E18" s="1851" t="s">
        <v>38</v>
      </c>
      <c r="F18" s="1851" t="s">
        <v>4759</v>
      </c>
      <c r="G18" s="1787" t="s">
        <v>64</v>
      </c>
      <c r="H18" s="1851" t="s">
        <v>3462</v>
      </c>
      <c r="I18" s="1495" t="s">
        <v>4760</v>
      </c>
      <c r="J18" s="1497" t="s">
        <v>4761</v>
      </c>
      <c r="K18" s="1881"/>
      <c r="L18" s="1630"/>
      <c r="M18" s="1882"/>
    </row>
    <row r="19" spans="1:13" s="1883" customFormat="1" ht="37.549999999999997" customHeight="1">
      <c r="A19" s="1850">
        <v>14</v>
      </c>
      <c r="B19" s="1851" t="s">
        <v>3546</v>
      </c>
      <c r="C19" s="1868">
        <v>4450</v>
      </c>
      <c r="D19" s="1851" t="s">
        <v>4758</v>
      </c>
      <c r="E19" s="1851" t="s">
        <v>20</v>
      </c>
      <c r="F19" s="1851" t="s">
        <v>4762</v>
      </c>
      <c r="G19" s="1787" t="s">
        <v>64</v>
      </c>
      <c r="H19" s="1851" t="s">
        <v>65</v>
      </c>
      <c r="I19" s="1851" t="s">
        <v>4386</v>
      </c>
      <c r="J19" s="1497" t="s">
        <v>4763</v>
      </c>
      <c r="K19" s="1881"/>
      <c r="L19" s="1630"/>
      <c r="M19" s="1882"/>
    </row>
    <row r="20" spans="1:13" s="1883" customFormat="1" ht="201.75">
      <c r="A20" s="1850">
        <v>15</v>
      </c>
      <c r="B20" s="1851" t="s">
        <v>4455</v>
      </c>
      <c r="C20" s="1868">
        <v>20000</v>
      </c>
      <c r="D20" s="1851" t="s">
        <v>4764</v>
      </c>
      <c r="E20" s="1851" t="s">
        <v>14</v>
      </c>
      <c r="F20" s="1851" t="s">
        <v>4765</v>
      </c>
      <c r="G20" s="1787" t="s">
        <v>64</v>
      </c>
      <c r="H20" s="1851" t="s">
        <v>65</v>
      </c>
      <c r="I20" s="1851" t="s">
        <v>4766</v>
      </c>
      <c r="J20" s="1497" t="s">
        <v>4767</v>
      </c>
      <c r="K20" s="1881"/>
      <c r="L20" s="1630"/>
      <c r="M20" s="1882"/>
    </row>
    <row r="21" spans="1:13" s="1883" customFormat="1" ht="38.25" customHeight="1">
      <c r="A21" s="1850">
        <v>16</v>
      </c>
      <c r="B21" s="1851" t="s">
        <v>92</v>
      </c>
      <c r="C21" s="1868">
        <v>4250</v>
      </c>
      <c r="D21" s="1851" t="s">
        <v>4768</v>
      </c>
      <c r="E21" s="1851" t="s">
        <v>16</v>
      </c>
      <c r="F21" s="1851" t="s">
        <v>4769</v>
      </c>
      <c r="G21" s="1787" t="s">
        <v>64</v>
      </c>
      <c r="H21" s="1851" t="s">
        <v>65</v>
      </c>
      <c r="I21" s="1851" t="s">
        <v>66</v>
      </c>
      <c r="J21" s="1497" t="s">
        <v>4770</v>
      </c>
      <c r="K21" s="1881" t="s">
        <v>4771</v>
      </c>
      <c r="L21" s="1630"/>
      <c r="M21" s="1882"/>
    </row>
    <row r="22" spans="1:13" s="1883" customFormat="1" ht="127.55" customHeight="1">
      <c r="A22" s="1850">
        <v>17</v>
      </c>
      <c r="B22" s="1851" t="s">
        <v>234</v>
      </c>
      <c r="C22" s="1868">
        <v>9000</v>
      </c>
      <c r="D22" s="1851" t="s">
        <v>4772</v>
      </c>
      <c r="E22" s="1851" t="s">
        <v>16</v>
      </c>
      <c r="F22" s="1851" t="s">
        <v>4773</v>
      </c>
      <c r="G22" s="1787" t="s">
        <v>64</v>
      </c>
      <c r="H22" s="1851" t="s">
        <v>65</v>
      </c>
      <c r="I22" s="1851" t="s">
        <v>434</v>
      </c>
      <c r="J22" s="1497" t="s">
        <v>4774</v>
      </c>
      <c r="K22" s="1881"/>
      <c r="L22" s="1630"/>
      <c r="M22" s="1882"/>
    </row>
    <row r="23" spans="1:13" s="1548" customFormat="1" ht="55.05">
      <c r="A23" s="1542">
        <v>18</v>
      </c>
      <c r="B23" s="1630" t="s">
        <v>4775</v>
      </c>
      <c r="C23" s="1826">
        <v>10000</v>
      </c>
      <c r="D23" s="1495" t="s">
        <v>4776</v>
      </c>
      <c r="E23" s="1851" t="s">
        <v>38</v>
      </c>
      <c r="F23" s="1495" t="s">
        <v>4777</v>
      </c>
      <c r="G23" s="1787" t="s">
        <v>64</v>
      </c>
      <c r="H23" s="1851" t="s">
        <v>3462</v>
      </c>
      <c r="I23" s="1495" t="s">
        <v>219</v>
      </c>
      <c r="J23" s="1600" t="s">
        <v>4778</v>
      </c>
      <c r="K23" s="1547" t="s">
        <v>4779</v>
      </c>
      <c r="L23" s="1493"/>
      <c r="M23" s="1790"/>
    </row>
    <row r="24" spans="1:13" s="1883" customFormat="1" ht="256.75">
      <c r="A24" s="1850">
        <v>19</v>
      </c>
      <c r="B24" s="1630" t="s">
        <v>4780</v>
      </c>
      <c r="C24" s="1868">
        <v>20350</v>
      </c>
      <c r="D24" s="1851" t="s">
        <v>4781</v>
      </c>
      <c r="E24" s="1851" t="s">
        <v>38</v>
      </c>
      <c r="F24" s="1851" t="s">
        <v>4782</v>
      </c>
      <c r="G24" s="1787" t="s">
        <v>64</v>
      </c>
      <c r="H24" s="1851" t="s">
        <v>3462</v>
      </c>
      <c r="I24" s="1851" t="s">
        <v>3552</v>
      </c>
      <c r="J24" s="1497" t="s">
        <v>4783</v>
      </c>
      <c r="K24" s="1881" t="s">
        <v>4784</v>
      </c>
      <c r="L24" s="1630"/>
      <c r="M24" s="1882"/>
    </row>
    <row r="25" spans="1:13" s="1548" customFormat="1" ht="201.75">
      <c r="A25" s="1542">
        <v>20</v>
      </c>
      <c r="B25" s="1630" t="s">
        <v>4785</v>
      </c>
      <c r="C25" s="1826">
        <v>27820</v>
      </c>
      <c r="D25" s="1495" t="s">
        <v>4786</v>
      </c>
      <c r="E25" s="1851" t="s">
        <v>2301</v>
      </c>
      <c r="F25" s="1495" t="s">
        <v>4787</v>
      </c>
      <c r="G25" s="1787" t="s">
        <v>64</v>
      </c>
      <c r="H25" s="1851" t="s">
        <v>3462</v>
      </c>
      <c r="I25" s="1495" t="s">
        <v>3392</v>
      </c>
      <c r="J25" s="1600" t="s">
        <v>4788</v>
      </c>
      <c r="K25" s="1600"/>
      <c r="L25" s="1493"/>
      <c r="M25" s="1790"/>
    </row>
    <row r="26" spans="1:13" s="1548" customFormat="1" ht="85.6" customHeight="1">
      <c r="A26" s="1542">
        <v>21</v>
      </c>
      <c r="B26" s="1630" t="s">
        <v>252</v>
      </c>
      <c r="C26" s="1826">
        <v>4000</v>
      </c>
      <c r="D26" s="1495" t="s">
        <v>4789</v>
      </c>
      <c r="E26" s="1851" t="s">
        <v>20</v>
      </c>
      <c r="F26" s="1495" t="s">
        <v>4790</v>
      </c>
      <c r="G26" s="1787" t="s">
        <v>64</v>
      </c>
      <c r="H26" s="1851" t="s">
        <v>65</v>
      </c>
      <c r="I26" s="1495" t="s">
        <v>142</v>
      </c>
      <c r="J26" s="1600" t="s">
        <v>4791</v>
      </c>
      <c r="K26" s="1547"/>
      <c r="L26" s="1493"/>
      <c r="M26" s="1790"/>
    </row>
    <row r="27" spans="1:13" s="1548" customFormat="1" ht="97.5" customHeight="1">
      <c r="A27" s="1542">
        <v>22</v>
      </c>
      <c r="B27" s="1630" t="s">
        <v>4016</v>
      </c>
      <c r="C27" s="1826">
        <v>3550</v>
      </c>
      <c r="D27" s="1495" t="s">
        <v>4792</v>
      </c>
      <c r="E27" s="1851" t="s">
        <v>22</v>
      </c>
      <c r="F27" s="1495" t="s">
        <v>4793</v>
      </c>
      <c r="G27" s="1787" t="s">
        <v>64</v>
      </c>
      <c r="H27" s="1851" t="s">
        <v>65</v>
      </c>
      <c r="I27" s="1495" t="s">
        <v>142</v>
      </c>
      <c r="J27" s="1600" t="s">
        <v>4794</v>
      </c>
      <c r="K27" s="1547"/>
      <c r="L27" s="1493"/>
      <c r="M27" s="1790"/>
    </row>
    <row r="28" spans="1:13" s="1548" customFormat="1" ht="56.25" customHeight="1">
      <c r="A28" s="1542">
        <v>23</v>
      </c>
      <c r="B28" s="1630" t="s">
        <v>114</v>
      </c>
      <c r="C28" s="1826">
        <v>3720</v>
      </c>
      <c r="D28" s="1495" t="s">
        <v>4795</v>
      </c>
      <c r="E28" s="1851" t="s">
        <v>18</v>
      </c>
      <c r="F28" s="1495" t="s">
        <v>4796</v>
      </c>
      <c r="G28" s="1787" t="s">
        <v>64</v>
      </c>
      <c r="H28" s="1851" t="s">
        <v>65</v>
      </c>
      <c r="I28" s="1495" t="s">
        <v>213</v>
      </c>
      <c r="J28" s="1600" t="s">
        <v>4797</v>
      </c>
      <c r="K28" s="1547"/>
      <c r="L28" s="1493"/>
      <c r="M28" s="1790"/>
    </row>
    <row r="29" spans="1:13" s="1777" customFormat="1" ht="58.6" customHeight="1">
      <c r="A29" s="738">
        <v>24</v>
      </c>
      <c r="B29" s="102"/>
      <c r="C29" s="1207"/>
      <c r="D29" s="109"/>
      <c r="E29" s="102"/>
      <c r="F29" s="109"/>
      <c r="G29" s="109"/>
      <c r="H29" s="109"/>
      <c r="I29" s="109"/>
      <c r="J29" s="143"/>
      <c r="K29" s="143"/>
      <c r="L29" s="102"/>
      <c r="M29" s="1853"/>
    </row>
    <row r="30" spans="1:13" s="1777" customFormat="1" ht="58.6" customHeight="1">
      <c r="A30" s="738">
        <v>25</v>
      </c>
      <c r="B30" s="102"/>
      <c r="C30" s="1207"/>
      <c r="D30" s="109"/>
      <c r="E30" s="102"/>
      <c r="F30" s="109"/>
      <c r="G30" s="109"/>
      <c r="H30" s="109"/>
      <c r="I30" s="109"/>
      <c r="J30" s="143"/>
      <c r="K30" s="143"/>
      <c r="L30" s="102"/>
      <c r="M30" s="1853"/>
    </row>
    <row r="31" spans="1:13" s="1777" customFormat="1" ht="58.6" customHeight="1">
      <c r="A31" s="738">
        <v>26</v>
      </c>
      <c r="B31" s="102"/>
      <c r="C31" s="1207"/>
      <c r="D31" s="109"/>
      <c r="E31" s="102"/>
      <c r="F31" s="109"/>
      <c r="G31" s="109"/>
      <c r="H31" s="109"/>
      <c r="I31" s="109"/>
      <c r="J31" s="143"/>
      <c r="K31" s="143"/>
      <c r="L31" s="102"/>
      <c r="M31" s="1853"/>
    </row>
    <row r="32" spans="1:13" s="1777" customFormat="1" ht="58.6" customHeight="1">
      <c r="A32" s="738">
        <v>27</v>
      </c>
      <c r="B32" s="102"/>
      <c r="C32" s="1207"/>
      <c r="D32" s="109"/>
      <c r="E32" s="102"/>
      <c r="F32" s="109"/>
      <c r="G32" s="109"/>
      <c r="H32" s="109"/>
      <c r="I32" s="109"/>
      <c r="J32" s="143"/>
      <c r="K32" s="143"/>
      <c r="L32" s="102"/>
      <c r="M32" s="1853"/>
    </row>
    <row r="33" spans="1:13" s="1777" customFormat="1" ht="58.6" customHeight="1">
      <c r="A33" s="738">
        <v>28</v>
      </c>
      <c r="B33" s="102"/>
      <c r="C33" s="1207"/>
      <c r="D33" s="109"/>
      <c r="E33" s="102"/>
      <c r="F33" s="109"/>
      <c r="G33" s="109"/>
      <c r="H33" s="109"/>
      <c r="I33" s="109"/>
      <c r="J33" s="143"/>
      <c r="K33" s="143"/>
      <c r="L33" s="102"/>
      <c r="M33" s="1853"/>
    </row>
    <row r="34" spans="1:13" ht="58.6" customHeight="1">
      <c r="A34" s="359">
        <v>29</v>
      </c>
    </row>
    <row r="35" spans="1:13" ht="58.6" customHeight="1">
      <c r="A35" s="359">
        <v>30</v>
      </c>
    </row>
    <row r="36" spans="1:13" ht="58.6" customHeight="1">
      <c r="A36" s="359">
        <v>31</v>
      </c>
    </row>
    <row r="37" spans="1:13" ht="58.6" customHeight="1">
      <c r="A37" s="359">
        <v>32</v>
      </c>
    </row>
    <row r="38" spans="1:13" ht="58.6" customHeight="1">
      <c r="A38" s="359">
        <v>33</v>
      </c>
    </row>
    <row r="39" spans="1:13" ht="58.6" customHeight="1">
      <c r="A39" s="359">
        <v>34</v>
      </c>
    </row>
    <row r="40" spans="1:13" ht="58.6" customHeight="1">
      <c r="A40" s="359">
        <v>35</v>
      </c>
    </row>
    <row r="41" spans="1:13" ht="58.6" customHeight="1">
      <c r="A41" s="359">
        <v>36</v>
      </c>
    </row>
    <row r="42" spans="1:13" ht="58.6" customHeight="1">
      <c r="A42" s="359">
        <v>37</v>
      </c>
    </row>
    <row r="43" spans="1:13" ht="58.6" customHeight="1">
      <c r="A43" s="359">
        <v>38</v>
      </c>
    </row>
    <row r="44" spans="1:13" ht="58.6" customHeight="1">
      <c r="A44" s="359">
        <v>39</v>
      </c>
    </row>
    <row r="45" spans="1:13" ht="58.6" customHeight="1">
      <c r="A45" s="359">
        <v>40</v>
      </c>
    </row>
  </sheetData>
  <autoFilter ref="A5:N45" xr:uid="{2E055369-18FC-4D56-9918-366D6855EACE}"/>
  <mergeCells count="4">
    <mergeCell ref="C1:K1"/>
    <mergeCell ref="A2:M2"/>
    <mergeCell ref="B3:M3"/>
    <mergeCell ref="A4:B4"/>
  </mergeCells>
  <conditionalFormatting sqref="A1:A4">
    <cfRule type="duplicateValues" dxfId="417" priority="6"/>
  </conditionalFormatting>
  <conditionalFormatting sqref="A5">
    <cfRule type="duplicateValues" dxfId="416" priority="5"/>
  </conditionalFormatting>
  <conditionalFormatting sqref="B5">
    <cfRule type="duplicateValues" dxfId="415" priority="2"/>
    <cfRule type="duplicateValues" dxfId="414" priority="3"/>
    <cfRule type="duplicateValues" dxfId="413"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375" style="1" customWidth="1"/>
    <col min="13" max="13" width="18.75" style="763" customWidth="1"/>
    <col min="14" max="14" width="35.375" style="3" customWidth="1"/>
    <col min="15" max="16384" width="32.125" style="3"/>
  </cols>
  <sheetData>
    <row r="1" spans="1:127" ht="58.6" customHeight="1">
      <c r="B1" s="10"/>
      <c r="C1" s="3671"/>
      <c r="D1" s="3671"/>
      <c r="E1" s="3671"/>
      <c r="F1" s="3671"/>
      <c r="G1" s="3671"/>
      <c r="H1" s="3671"/>
      <c r="I1" s="3671"/>
      <c r="J1" s="3671"/>
      <c r="K1" s="3671"/>
      <c r="M1" s="1848"/>
    </row>
    <row r="2" spans="1:127" ht="50.3" customHeight="1">
      <c r="A2" s="3761" t="s">
        <v>4798</v>
      </c>
      <c r="B2" s="3762"/>
      <c r="C2" s="3762"/>
      <c r="D2" s="3762"/>
      <c r="E2" s="3762"/>
      <c r="F2" s="3762"/>
      <c r="G2" s="3762"/>
      <c r="H2" s="3762"/>
      <c r="I2" s="3762"/>
      <c r="J2" s="3762"/>
      <c r="K2" s="3763"/>
      <c r="L2" s="1905"/>
      <c r="M2" s="1905"/>
      <c r="N2" s="287"/>
    </row>
    <row r="3" spans="1:127" ht="37.549999999999997" customHeight="1">
      <c r="A3" s="3754" t="s">
        <v>3429</v>
      </c>
      <c r="B3" s="3754"/>
      <c r="C3" s="1950">
        <f>SUBTOTAL(9,C5:C536)</f>
        <v>124600</v>
      </c>
      <c r="D3" s="1932"/>
      <c r="E3" s="1951"/>
      <c r="F3" s="1932"/>
      <c r="G3" s="1932"/>
      <c r="H3" s="1932"/>
      <c r="I3" s="1932"/>
      <c r="J3" s="1934">
        <f ca="1">TODAY()</f>
        <v>45988</v>
      </c>
      <c r="K3" s="1622"/>
      <c r="L3" s="1952"/>
      <c r="M3" s="1951"/>
      <c r="N3" s="287"/>
    </row>
    <row r="4" spans="1:127" s="1149" customFormat="1" ht="53.35" customHeight="1">
      <c r="A4" s="1817" t="s">
        <v>48</v>
      </c>
      <c r="B4" s="1818" t="s">
        <v>49</v>
      </c>
      <c r="C4" s="1948" t="s">
        <v>50</v>
      </c>
      <c r="D4" s="1818" t="s">
        <v>3430</v>
      </c>
      <c r="E4" s="1818" t="s">
        <v>52</v>
      </c>
      <c r="F4" s="1818" t="s">
        <v>3431</v>
      </c>
      <c r="G4" s="1818" t="s">
        <v>54</v>
      </c>
      <c r="H4" s="1818" t="s">
        <v>55</v>
      </c>
      <c r="I4" s="1818" t="s">
        <v>56</v>
      </c>
      <c r="J4" s="1818" t="s">
        <v>57</v>
      </c>
      <c r="K4" s="1818" t="s">
        <v>58</v>
      </c>
      <c r="L4" s="1818" t="s">
        <v>59</v>
      </c>
      <c r="M4" s="1949" t="s">
        <v>60</v>
      </c>
      <c r="N4" s="1820" t="e">
        <f>SUM(#REF!)</f>
        <v>#REF!</v>
      </c>
    </row>
    <row r="5" spans="1:127" s="2077" customFormat="1" ht="100.55" customHeight="1">
      <c r="A5" s="1850" cm="1">
        <f t="array" ref="A5:A54">_xlfn.SEQUENCE(50,1,1,)</f>
        <v>1</v>
      </c>
      <c r="B5" s="1851" t="s">
        <v>3530</v>
      </c>
      <c r="C5" s="1915">
        <v>4300</v>
      </c>
      <c r="D5" s="1851" t="s">
        <v>4799</v>
      </c>
      <c r="E5" s="1935" t="s">
        <v>16</v>
      </c>
      <c r="F5" s="1851" t="s">
        <v>4800</v>
      </c>
      <c r="G5" s="1947" t="s">
        <v>1640</v>
      </c>
      <c r="H5" s="1851" t="s">
        <v>65</v>
      </c>
      <c r="I5" s="1851" t="s">
        <v>1000</v>
      </c>
      <c r="J5" s="1628" t="s">
        <v>4801</v>
      </c>
      <c r="K5" s="1497" t="s">
        <v>4802</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5" customHeight="1">
      <c r="A6" s="1917">
        <v>2</v>
      </c>
      <c r="B6" s="1545" t="s">
        <v>3668</v>
      </c>
      <c r="C6" s="1918">
        <v>23000</v>
      </c>
      <c r="D6" s="1543" t="s">
        <v>4803</v>
      </c>
      <c r="E6" s="1474" t="s">
        <v>14</v>
      </c>
      <c r="F6" s="1543" t="s">
        <v>4804</v>
      </c>
      <c r="G6" s="1947" t="s">
        <v>1640</v>
      </c>
      <c r="H6" s="1543" t="s">
        <v>65</v>
      </c>
      <c r="I6" s="1543" t="s">
        <v>66</v>
      </c>
      <c r="J6" s="1988" t="s">
        <v>4805</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69999999999999" customHeight="1">
      <c r="A7" s="1542">
        <v>3</v>
      </c>
      <c r="B7" s="1495" t="s">
        <v>3963</v>
      </c>
      <c r="C7" s="1901">
        <v>7200</v>
      </c>
      <c r="D7" s="1495" t="s">
        <v>4806</v>
      </c>
      <c r="E7" s="1493" t="s">
        <v>16</v>
      </c>
      <c r="F7" s="1495" t="s">
        <v>4807</v>
      </c>
      <c r="G7" s="1947" t="s">
        <v>1640</v>
      </c>
      <c r="H7" s="1495" t="s">
        <v>65</v>
      </c>
      <c r="I7" s="1495" t="s">
        <v>1179</v>
      </c>
      <c r="J7" s="1598" t="s">
        <v>4808</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3" customHeight="1">
      <c r="A8" s="1542">
        <v>4</v>
      </c>
      <c r="B8" s="1495" t="s">
        <v>97</v>
      </c>
      <c r="C8" s="1901">
        <v>4600</v>
      </c>
      <c r="D8" s="1495" t="s">
        <v>4809</v>
      </c>
      <c r="E8" s="1493" t="s">
        <v>18</v>
      </c>
      <c r="F8" s="1495"/>
      <c r="G8" s="1947" t="s">
        <v>1640</v>
      </c>
      <c r="H8" s="1495" t="s">
        <v>65</v>
      </c>
      <c r="I8" s="1495" t="s">
        <v>240</v>
      </c>
      <c r="J8" s="1496" t="s">
        <v>4810</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 customHeight="1">
      <c r="A9" s="1850">
        <v>5</v>
      </c>
      <c r="B9" s="1851" t="s">
        <v>114</v>
      </c>
      <c r="C9" s="1915">
        <v>3720</v>
      </c>
      <c r="D9" s="1851" t="s">
        <v>4809</v>
      </c>
      <c r="E9" s="1935" t="s">
        <v>22</v>
      </c>
      <c r="F9" s="1851" t="s">
        <v>4811</v>
      </c>
      <c r="G9" s="1947"/>
      <c r="H9" s="1851" t="s">
        <v>65</v>
      </c>
      <c r="I9" s="1851" t="s">
        <v>1000</v>
      </c>
      <c r="J9" s="1628" t="s">
        <v>4812</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35" customHeight="1">
      <c r="A10" s="2081">
        <v>6</v>
      </c>
      <c r="B10" s="1953" t="s">
        <v>87</v>
      </c>
      <c r="C10" s="2082">
        <v>5950</v>
      </c>
      <c r="D10" s="1953" t="s">
        <v>4813</v>
      </c>
      <c r="E10" s="2083" t="s">
        <v>16</v>
      </c>
      <c r="F10" s="427" t="s">
        <v>4814</v>
      </c>
      <c r="G10" s="2084"/>
      <c r="H10" s="1953" t="s">
        <v>65</v>
      </c>
      <c r="I10" s="1953" t="s">
        <v>1179</v>
      </c>
      <c r="J10" s="2145" t="s">
        <v>4815</v>
      </c>
      <c r="K10" s="2145" t="s">
        <v>4816</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3" customHeight="1">
      <c r="A11" s="874">
        <v>7</v>
      </c>
      <c r="B11" s="735" t="s">
        <v>252</v>
      </c>
      <c r="C11" s="1925">
        <v>3950</v>
      </c>
      <c r="D11" s="735" t="s">
        <v>4817</v>
      </c>
      <c r="E11" s="875" t="s">
        <v>20</v>
      </c>
      <c r="F11" s="109" t="s">
        <v>4818</v>
      </c>
      <c r="G11" s="2001"/>
      <c r="H11" s="735" t="s">
        <v>65</v>
      </c>
      <c r="I11" s="735" t="s">
        <v>558</v>
      </c>
      <c r="J11" s="2139" t="s">
        <v>4819</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35" customHeight="1">
      <c r="A12" s="874">
        <v>8</v>
      </c>
      <c r="B12" s="735" t="s">
        <v>3503</v>
      </c>
      <c r="C12" s="1925">
        <v>2355</v>
      </c>
      <c r="D12" s="735" t="s">
        <v>4820</v>
      </c>
      <c r="E12" s="875" t="s">
        <v>22</v>
      </c>
      <c r="F12" s="109" t="s">
        <v>4821</v>
      </c>
      <c r="G12" s="2001"/>
      <c r="H12" s="735" t="s">
        <v>65</v>
      </c>
      <c r="I12" s="735" t="s">
        <v>558</v>
      </c>
      <c r="J12" s="2139" t="s">
        <v>4822</v>
      </c>
      <c r="K12" s="2146" t="s">
        <v>4823</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0.1">
      <c r="A13" s="874">
        <v>9</v>
      </c>
      <c r="B13" s="735" t="s">
        <v>4824</v>
      </c>
      <c r="C13" s="1925">
        <v>5800</v>
      </c>
      <c r="D13" s="735" t="s">
        <v>4820</v>
      </c>
      <c r="E13" s="875" t="s">
        <v>18</v>
      </c>
      <c r="F13" s="109" t="s">
        <v>675</v>
      </c>
      <c r="G13" s="2001"/>
      <c r="H13" s="735" t="s">
        <v>65</v>
      </c>
      <c r="I13" s="735" t="s">
        <v>213</v>
      </c>
      <c r="J13" s="2139" t="s">
        <v>4825</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6" customHeight="1">
      <c r="A14" s="874">
        <v>10</v>
      </c>
      <c r="B14" s="735" t="s">
        <v>3772</v>
      </c>
      <c r="C14" s="1925">
        <v>8700</v>
      </c>
      <c r="D14" s="735" t="s">
        <v>4826</v>
      </c>
      <c r="E14" s="875" t="s">
        <v>16</v>
      </c>
      <c r="F14" s="109" t="s">
        <v>4827</v>
      </c>
      <c r="G14" s="2001"/>
      <c r="H14" s="735" t="s">
        <v>65</v>
      </c>
      <c r="I14" s="735" t="s">
        <v>213</v>
      </c>
      <c r="J14" s="2139" t="s">
        <v>4828</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6" customHeight="1">
      <c r="A15" s="874">
        <v>11</v>
      </c>
      <c r="B15" s="735" t="s">
        <v>4829</v>
      </c>
      <c r="C15" s="1925">
        <v>3000</v>
      </c>
      <c r="D15" s="735" t="s">
        <v>4830</v>
      </c>
      <c r="E15" s="875"/>
      <c r="F15" s="109"/>
      <c r="G15" s="2001"/>
      <c r="H15" s="735" t="s">
        <v>65</v>
      </c>
      <c r="I15" s="735" t="s">
        <v>558</v>
      </c>
      <c r="J15" s="2139" t="s">
        <v>4831</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65</v>
      </c>
      <c r="I16" s="735" t="s">
        <v>213</v>
      </c>
      <c r="J16" s="2139" t="s">
        <v>4832</v>
      </c>
      <c r="K16" s="2139" t="s">
        <v>4816</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60000000000002" customHeight="1">
      <c r="A17" s="874">
        <v>13</v>
      </c>
      <c r="B17" s="735"/>
      <c r="C17" s="1925">
        <v>19525</v>
      </c>
      <c r="D17" s="735" t="s">
        <v>4833</v>
      </c>
      <c r="E17" s="875" t="s">
        <v>38</v>
      </c>
      <c r="F17" s="109"/>
      <c r="G17" s="2001"/>
      <c r="H17" s="735" t="s">
        <v>65</v>
      </c>
      <c r="I17" s="735" t="s">
        <v>4834</v>
      </c>
      <c r="J17" s="2139" t="s">
        <v>4835</v>
      </c>
      <c r="K17" s="1877" t="s">
        <v>4836</v>
      </c>
      <c r="L17" s="112"/>
      <c r="M17" s="1879"/>
      <c r="DW17" s="1880" t="s">
        <v>4837</v>
      </c>
    </row>
    <row r="18" spans="1:127" s="1777" customFormat="1" ht="75.75" customHeight="1">
      <c r="A18" s="874">
        <v>14</v>
      </c>
      <c r="B18" s="735" t="s">
        <v>4838</v>
      </c>
      <c r="C18" s="1925">
        <v>9000</v>
      </c>
      <c r="D18" s="735" t="s">
        <v>4839</v>
      </c>
      <c r="E18" s="875"/>
      <c r="F18" s="109"/>
      <c r="G18" s="2001"/>
      <c r="H18" s="735" t="s">
        <v>65</v>
      </c>
      <c r="I18" s="735" t="s">
        <v>327</v>
      </c>
      <c r="J18" s="2139" t="s">
        <v>4840</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8" customHeight="1">
      <c r="A19" s="874">
        <v>15</v>
      </c>
      <c r="B19" s="735" t="s">
        <v>4838</v>
      </c>
      <c r="C19" s="1925">
        <v>10000</v>
      </c>
      <c r="D19" s="735" t="s">
        <v>4841</v>
      </c>
      <c r="E19" s="875"/>
      <c r="F19" s="109"/>
      <c r="G19" s="2001"/>
      <c r="H19" s="735" t="s">
        <v>65</v>
      </c>
      <c r="I19" s="735" t="s">
        <v>327</v>
      </c>
      <c r="J19" s="2139" t="s">
        <v>4842</v>
      </c>
      <c r="K19" s="1877"/>
      <c r="L19" s="112"/>
      <c r="M19" s="1879"/>
    </row>
    <row r="20" spans="1:127" s="1880" customFormat="1" ht="60.8" customHeight="1">
      <c r="A20" s="874">
        <v>16</v>
      </c>
      <c r="B20" s="735" t="s">
        <v>4838</v>
      </c>
      <c r="C20" s="1925">
        <v>2500</v>
      </c>
      <c r="D20" s="735" t="s">
        <v>4843</v>
      </c>
      <c r="E20" s="875"/>
      <c r="F20" s="109"/>
      <c r="G20" s="2001"/>
      <c r="H20" s="735" t="s">
        <v>65</v>
      </c>
      <c r="I20" s="735" t="s">
        <v>327</v>
      </c>
      <c r="J20" s="2139" t="s">
        <v>4844</v>
      </c>
      <c r="K20" s="1877"/>
      <c r="L20" s="112"/>
      <c r="M20" s="1879"/>
    </row>
    <row r="21" spans="1:127" s="1880" customFormat="1" ht="60.8" customHeight="1">
      <c r="A21" s="874">
        <v>17</v>
      </c>
      <c r="B21" s="735" t="s">
        <v>4838</v>
      </c>
      <c r="C21" s="1925">
        <v>5000</v>
      </c>
      <c r="D21" s="735" t="s">
        <v>4843</v>
      </c>
      <c r="E21" s="875"/>
      <c r="F21" s="109"/>
      <c r="G21" s="2001"/>
      <c r="H21" s="735" t="s">
        <v>65</v>
      </c>
      <c r="I21" s="735" t="s">
        <v>4845</v>
      </c>
      <c r="J21" s="2139" t="s">
        <v>4846</v>
      </c>
      <c r="K21" s="1877"/>
      <c r="L21" s="112"/>
      <c r="M21" s="1879"/>
    </row>
    <row r="22" spans="1:127" s="1880" customFormat="1" ht="211.6" customHeight="1">
      <c r="A22" s="874">
        <v>18</v>
      </c>
      <c r="B22" s="735"/>
      <c r="C22" s="1925">
        <v>6000</v>
      </c>
      <c r="D22" s="735" t="s">
        <v>4847</v>
      </c>
      <c r="E22" s="875"/>
      <c r="F22" s="109"/>
      <c r="G22" s="2001"/>
      <c r="H22" s="735" t="s">
        <v>65</v>
      </c>
      <c r="I22" s="735" t="s">
        <v>558</v>
      </c>
      <c r="J22" s="2139" t="s">
        <v>4848</v>
      </c>
      <c r="K22" s="1877"/>
      <c r="L22" s="112"/>
      <c r="M22" s="1879"/>
    </row>
    <row r="23" spans="1:127" s="1880" customFormat="1" ht="105.8" customHeight="1">
      <c r="A23" s="874">
        <v>19</v>
      </c>
      <c r="B23" s="735"/>
      <c r="C23" s="1925"/>
      <c r="D23" s="735"/>
      <c r="E23" s="875"/>
      <c r="F23" s="109"/>
      <c r="G23" s="2001"/>
      <c r="H23" s="735" t="s">
        <v>65</v>
      </c>
      <c r="I23" s="735" t="s">
        <v>213</v>
      </c>
      <c r="J23" s="2139" t="s">
        <v>4849</v>
      </c>
      <c r="K23" s="1877"/>
      <c r="L23" s="112"/>
      <c r="M23" s="1879"/>
    </row>
    <row r="24" spans="1:127" s="1880" customFormat="1" ht="107.35" customHeight="1">
      <c r="A24" s="874">
        <v>20</v>
      </c>
      <c r="B24" s="735"/>
      <c r="C24" s="1925"/>
      <c r="D24" s="735"/>
      <c r="E24" s="875"/>
      <c r="F24" s="109"/>
      <c r="G24" s="2001"/>
      <c r="H24" s="735" t="s">
        <v>65</v>
      </c>
      <c r="I24" s="735" t="s">
        <v>558</v>
      </c>
      <c r="J24" s="2139" t="s">
        <v>4850</v>
      </c>
      <c r="K24" s="1877" t="s">
        <v>4851</v>
      </c>
      <c r="L24" s="112"/>
      <c r="M24" s="1879"/>
    </row>
    <row r="25" spans="1:127" s="1880" customFormat="1" ht="70.5" customHeight="1">
      <c r="A25" s="874">
        <v>21</v>
      </c>
      <c r="B25" s="735"/>
      <c r="C25" s="1925"/>
      <c r="D25" s="735"/>
      <c r="E25" s="112"/>
      <c r="F25" s="1926"/>
      <c r="G25" s="735"/>
      <c r="H25" s="735" t="s">
        <v>65</v>
      </c>
      <c r="I25" s="735" t="s">
        <v>213</v>
      </c>
      <c r="J25" s="2139" t="s">
        <v>4852</v>
      </c>
      <c r="K25" s="1877"/>
      <c r="L25" s="112"/>
      <c r="M25" s="1879"/>
    </row>
    <row r="26" spans="1:127" s="1880" customFormat="1" ht="192.75" customHeight="1">
      <c r="A26" s="1007">
        <v>22</v>
      </c>
      <c r="B26" s="109"/>
      <c r="C26" s="2068"/>
      <c r="D26" s="735"/>
      <c r="E26" s="112"/>
      <c r="F26" s="1926"/>
      <c r="G26" s="735"/>
      <c r="H26" s="735"/>
      <c r="I26" s="735"/>
      <c r="J26" s="2139" t="s">
        <v>4853</v>
      </c>
      <c r="K26" s="2147" t="s">
        <v>4854</v>
      </c>
      <c r="L26" s="112"/>
      <c r="M26" s="1879"/>
    </row>
    <row r="27" spans="1:127" s="1777" customFormat="1" ht="86.95" customHeight="1">
      <c r="A27" s="738">
        <v>23</v>
      </c>
      <c r="B27" s="112"/>
      <c r="C27" s="2069"/>
      <c r="D27" s="735"/>
      <c r="E27" s="102"/>
      <c r="F27" s="109"/>
      <c r="G27" s="109"/>
      <c r="H27" s="735"/>
      <c r="I27" s="109"/>
      <c r="J27" s="696" t="s">
        <v>4855</v>
      </c>
      <c r="K27" s="2147" t="s">
        <v>4854</v>
      </c>
      <c r="L27" s="102"/>
      <c r="M27" s="1853"/>
    </row>
    <row r="28" spans="1:127" s="1777" customFormat="1" ht="86.95" customHeight="1">
      <c r="A28" s="738">
        <v>24</v>
      </c>
      <c r="B28" s="102"/>
      <c r="C28" s="1148"/>
      <c r="D28" s="109"/>
      <c r="E28" s="102"/>
      <c r="F28" s="109"/>
      <c r="G28" s="109"/>
      <c r="H28" s="109"/>
      <c r="I28" s="109"/>
      <c r="J28" s="143"/>
      <c r="K28" s="143"/>
      <c r="L28" s="102"/>
      <c r="M28" s="1853"/>
    </row>
    <row r="29" spans="1:127" s="1777" customFormat="1" ht="58.6" customHeight="1">
      <c r="A29" s="738">
        <v>25</v>
      </c>
      <c r="B29" s="102"/>
      <c r="C29" s="1148"/>
      <c r="D29" s="109"/>
      <c r="E29" s="102"/>
      <c r="F29" s="109"/>
      <c r="G29" s="109"/>
      <c r="H29" s="109"/>
      <c r="I29" s="109"/>
      <c r="J29" s="143"/>
      <c r="K29" s="143"/>
      <c r="L29" s="102"/>
      <c r="M29" s="1853"/>
    </row>
    <row r="30" spans="1:127" s="1777" customFormat="1" ht="58.6" customHeight="1">
      <c r="A30" s="738">
        <v>26</v>
      </c>
      <c r="B30" s="102"/>
      <c r="C30" s="1148"/>
      <c r="D30" s="109"/>
      <c r="E30" s="102"/>
      <c r="F30" s="109"/>
      <c r="G30" s="109"/>
      <c r="H30" s="109"/>
      <c r="I30" s="109"/>
      <c r="J30" s="143"/>
      <c r="K30" s="143"/>
      <c r="L30" s="102"/>
      <c r="M30" s="1853"/>
    </row>
    <row r="31" spans="1:127" s="1777" customFormat="1" ht="58.6" customHeight="1">
      <c r="A31" s="738">
        <v>27</v>
      </c>
      <c r="B31" s="102"/>
      <c r="C31" s="1148"/>
      <c r="D31" s="109"/>
      <c r="E31" s="102"/>
      <c r="F31" s="109"/>
      <c r="G31" s="109"/>
      <c r="H31" s="109"/>
      <c r="I31" s="109"/>
      <c r="J31" s="143"/>
      <c r="K31" s="143"/>
      <c r="L31" s="102"/>
      <c r="M31" s="1853"/>
    </row>
    <row r="32" spans="1:127" s="1777" customFormat="1" ht="58.6" customHeight="1">
      <c r="A32" s="738">
        <v>28</v>
      </c>
      <c r="B32" s="102"/>
      <c r="C32" s="1148"/>
      <c r="D32" s="109"/>
      <c r="E32" s="102"/>
      <c r="F32" s="109"/>
      <c r="G32" s="109"/>
      <c r="H32" s="109"/>
      <c r="I32" s="109"/>
      <c r="J32" s="143"/>
      <c r="K32" s="143"/>
      <c r="L32" s="102"/>
      <c r="M32" s="1853"/>
    </row>
    <row r="33" spans="1:13" s="1777" customFormat="1" ht="58.6" customHeight="1">
      <c r="A33" s="738">
        <v>29</v>
      </c>
      <c r="B33" s="102"/>
      <c r="C33" s="1148"/>
      <c r="D33" s="109"/>
      <c r="E33" s="102"/>
      <c r="F33" s="109"/>
      <c r="G33" s="109"/>
      <c r="H33" s="109"/>
      <c r="I33" s="109"/>
      <c r="J33" s="143"/>
      <c r="K33" s="143"/>
      <c r="L33" s="102"/>
      <c r="M33" s="1853"/>
    </row>
    <row r="34" spans="1:13" s="1777" customFormat="1" ht="58.6" customHeight="1">
      <c r="A34" s="738">
        <v>30</v>
      </c>
      <c r="B34" s="102"/>
      <c r="C34" s="1148"/>
      <c r="D34" s="109"/>
      <c r="E34" s="102"/>
      <c r="F34" s="109"/>
      <c r="G34" s="109"/>
      <c r="H34" s="109"/>
      <c r="I34" s="109"/>
      <c r="J34" s="143"/>
      <c r="K34" s="143"/>
      <c r="L34" s="102"/>
      <c r="M34" s="1853"/>
    </row>
    <row r="35" spans="1:13" s="1777" customFormat="1" ht="58.6" customHeight="1">
      <c r="A35" s="738">
        <v>31</v>
      </c>
      <c r="B35" s="102"/>
      <c r="C35" s="1148"/>
      <c r="D35" s="109"/>
      <c r="E35" s="102"/>
      <c r="F35" s="109"/>
      <c r="G35" s="109"/>
      <c r="H35" s="109"/>
      <c r="I35" s="109"/>
      <c r="J35" s="143"/>
      <c r="K35" s="143"/>
      <c r="L35" s="102"/>
      <c r="M35" s="1853"/>
    </row>
    <row r="36" spans="1:13" s="1777" customFormat="1" ht="58.6" customHeight="1">
      <c r="A36" s="738">
        <v>32</v>
      </c>
      <c r="B36" s="102"/>
      <c r="C36" s="1148"/>
      <c r="D36" s="109"/>
      <c r="E36" s="102"/>
      <c r="F36" s="109"/>
      <c r="G36" s="109"/>
      <c r="H36" s="109"/>
      <c r="I36" s="109"/>
      <c r="J36" s="143"/>
      <c r="K36" s="143"/>
      <c r="L36" s="102"/>
      <c r="M36" s="1853"/>
    </row>
    <row r="37" spans="1:13" s="1777" customFormat="1" ht="58.6" customHeight="1">
      <c r="A37" s="738">
        <v>33</v>
      </c>
      <c r="B37" s="102"/>
      <c r="C37" s="1148"/>
      <c r="D37" s="109"/>
      <c r="E37" s="102"/>
      <c r="F37" s="109"/>
      <c r="G37" s="109"/>
      <c r="H37" s="109"/>
      <c r="I37" s="109"/>
      <c r="J37" s="143"/>
      <c r="K37" s="143"/>
      <c r="L37" s="102"/>
      <c r="M37" s="1853"/>
    </row>
    <row r="38" spans="1:13" s="1777" customFormat="1" ht="58.6" customHeight="1">
      <c r="A38" s="738">
        <v>34</v>
      </c>
      <c r="B38" s="102"/>
      <c r="C38" s="1148"/>
      <c r="D38" s="109"/>
      <c r="E38" s="102"/>
      <c r="F38" s="109"/>
      <c r="G38" s="109"/>
      <c r="H38" s="109"/>
      <c r="I38" s="109"/>
      <c r="J38" s="143"/>
      <c r="K38" s="143"/>
      <c r="L38" s="102"/>
      <c r="M38" s="1853"/>
    </row>
    <row r="39" spans="1:13" s="1623" customFormat="1" ht="58.6" customHeight="1">
      <c r="A39" s="1344">
        <v>35</v>
      </c>
      <c r="B39" s="144"/>
      <c r="C39" s="2070"/>
      <c r="D39" s="111"/>
      <c r="E39" s="144"/>
      <c r="F39" s="111"/>
      <c r="G39" s="111"/>
      <c r="H39" s="111"/>
      <c r="I39" s="111"/>
      <c r="J39" s="1622"/>
      <c r="K39" s="1622"/>
      <c r="L39" s="144"/>
      <c r="M39" s="1924"/>
    </row>
    <row r="40" spans="1:13" s="1777" customFormat="1" ht="58.6" customHeight="1">
      <c r="A40" s="738">
        <v>36</v>
      </c>
      <c r="B40" s="102"/>
      <c r="C40" s="1148"/>
      <c r="D40" s="109"/>
      <c r="E40" s="102"/>
      <c r="F40" s="109"/>
      <c r="G40" s="109"/>
      <c r="H40" s="109"/>
      <c r="I40" s="109"/>
      <c r="J40" s="143"/>
      <c r="K40" s="143"/>
      <c r="L40" s="102"/>
      <c r="M40" s="1853"/>
    </row>
    <row r="41" spans="1:13" s="1777" customFormat="1" ht="58.6" customHeight="1">
      <c r="A41" s="738">
        <v>37</v>
      </c>
      <c r="B41" s="102"/>
      <c r="C41" s="1148"/>
      <c r="D41" s="109"/>
      <c r="E41" s="102"/>
      <c r="F41" s="109"/>
      <c r="G41" s="109"/>
      <c r="H41" s="109"/>
      <c r="I41" s="109"/>
      <c r="J41" s="143"/>
      <c r="K41" s="143"/>
      <c r="L41" s="102"/>
      <c r="M41" s="1853"/>
    </row>
    <row r="42" spans="1:13" s="1777" customFormat="1" ht="58.6" customHeight="1">
      <c r="A42" s="738">
        <v>38</v>
      </c>
      <c r="B42" s="102"/>
      <c r="C42" s="1167"/>
      <c r="D42" s="109"/>
      <c r="E42" s="102"/>
      <c r="F42" s="109"/>
      <c r="G42" s="109"/>
      <c r="H42" s="109"/>
      <c r="I42" s="109"/>
      <c r="J42" s="143"/>
      <c r="K42" s="143"/>
      <c r="L42" s="102"/>
      <c r="M42" s="1853"/>
    </row>
    <row r="43" spans="1:13" s="1777" customFormat="1" ht="58.6" customHeight="1">
      <c r="A43" s="738">
        <v>39</v>
      </c>
      <c r="B43" s="102"/>
      <c r="C43" s="1167"/>
      <c r="D43" s="109"/>
      <c r="E43" s="102"/>
      <c r="F43" s="109"/>
      <c r="G43" s="109"/>
      <c r="H43" s="109"/>
      <c r="I43" s="109"/>
      <c r="J43" s="143"/>
      <c r="K43" s="143"/>
      <c r="L43" s="102"/>
      <c r="M43" s="1853"/>
    </row>
    <row r="44" spans="1:13" s="1777" customFormat="1" ht="58.6" customHeight="1">
      <c r="A44" s="738">
        <v>40</v>
      </c>
      <c r="B44" s="102"/>
      <c r="C44" s="1167"/>
      <c r="D44" s="109"/>
      <c r="E44" s="102"/>
      <c r="F44" s="109"/>
      <c r="G44" s="109"/>
      <c r="H44" s="109"/>
      <c r="I44" s="109"/>
      <c r="J44" s="143"/>
      <c r="K44" s="143"/>
      <c r="L44" s="102"/>
      <c r="M44" s="1853"/>
    </row>
    <row r="45" spans="1:13" s="1777" customFormat="1" ht="58.6" customHeight="1">
      <c r="A45" s="738">
        <v>41</v>
      </c>
      <c r="B45" s="102"/>
      <c r="C45" s="1167"/>
      <c r="D45" s="109"/>
      <c r="E45" s="102"/>
      <c r="F45" s="109"/>
      <c r="G45" s="109"/>
      <c r="H45" s="109"/>
      <c r="I45" s="109"/>
      <c r="J45" s="143"/>
      <c r="K45" s="143"/>
      <c r="L45" s="102"/>
      <c r="M45" s="1853"/>
    </row>
    <row r="46" spans="1:13" s="1777" customFormat="1" ht="58.6" customHeight="1">
      <c r="A46" s="738">
        <v>42</v>
      </c>
      <c r="B46" s="102"/>
      <c r="C46" s="1167"/>
      <c r="D46" s="109"/>
      <c r="E46" s="102"/>
      <c r="F46" s="109"/>
      <c r="G46" s="109"/>
      <c r="H46" s="109"/>
      <c r="I46" s="109"/>
      <c r="J46" s="143"/>
      <c r="K46" s="143"/>
      <c r="L46" s="102"/>
      <c r="M46" s="1853"/>
    </row>
    <row r="47" spans="1:13" s="1777" customFormat="1" ht="58.6" customHeight="1">
      <c r="A47" s="738">
        <v>43</v>
      </c>
      <c r="B47" s="102"/>
      <c r="C47" s="1167"/>
      <c r="D47" s="109"/>
      <c r="E47" s="102"/>
      <c r="F47" s="109"/>
      <c r="G47" s="109"/>
      <c r="H47" s="109"/>
      <c r="I47" s="109"/>
      <c r="J47" s="143"/>
      <c r="K47" s="143"/>
      <c r="L47" s="102"/>
      <c r="M47" s="1853"/>
    </row>
    <row r="48" spans="1:13" s="1777" customFormat="1" ht="58.6" customHeight="1">
      <c r="A48" s="738">
        <v>44</v>
      </c>
      <c r="B48" s="102"/>
      <c r="C48" s="1167"/>
      <c r="D48" s="109"/>
      <c r="E48" s="102"/>
      <c r="F48" s="109"/>
      <c r="G48" s="109"/>
      <c r="H48" s="109"/>
      <c r="I48" s="109"/>
      <c r="J48" s="143"/>
      <c r="K48" s="143"/>
      <c r="L48" s="102"/>
      <c r="M48" s="1853"/>
    </row>
    <row r="49" spans="1:13" s="1777" customFormat="1" ht="58.6" customHeight="1">
      <c r="A49" s="738">
        <v>45</v>
      </c>
      <c r="B49" s="102"/>
      <c r="C49" s="1167"/>
      <c r="D49" s="109"/>
      <c r="E49" s="102"/>
      <c r="F49" s="109"/>
      <c r="G49" s="109"/>
      <c r="H49" s="109"/>
      <c r="I49" s="109"/>
      <c r="J49" s="143"/>
      <c r="K49" s="143"/>
      <c r="L49" s="102"/>
      <c r="M49" s="1853"/>
    </row>
    <row r="50" spans="1:13" s="1777" customFormat="1" ht="58.6" customHeight="1">
      <c r="A50" s="738">
        <v>46</v>
      </c>
      <c r="B50" s="102"/>
      <c r="C50" s="1167"/>
      <c r="D50" s="109"/>
      <c r="E50" s="102"/>
      <c r="F50" s="109"/>
      <c r="G50" s="109"/>
      <c r="H50" s="109"/>
      <c r="I50" s="109"/>
      <c r="J50" s="143"/>
      <c r="K50" s="143"/>
      <c r="L50" s="102"/>
      <c r="M50" s="1853"/>
    </row>
    <row r="51" spans="1:13" s="1777" customFormat="1" ht="58.6" customHeight="1">
      <c r="A51" s="738">
        <v>47</v>
      </c>
      <c r="B51" s="102"/>
      <c r="C51" s="1167"/>
      <c r="D51" s="109"/>
      <c r="E51" s="102"/>
      <c r="F51" s="109"/>
      <c r="G51" s="109"/>
      <c r="H51" s="109"/>
      <c r="I51" s="109"/>
      <c r="J51" s="143"/>
      <c r="K51" s="143"/>
      <c r="L51" s="102"/>
      <c r="M51" s="1853"/>
    </row>
    <row r="52" spans="1:13" s="1777" customFormat="1" ht="58.6" customHeight="1">
      <c r="A52" s="738">
        <v>48</v>
      </c>
      <c r="B52" s="102"/>
      <c r="C52" s="1167"/>
      <c r="D52" s="109"/>
      <c r="E52" s="102"/>
      <c r="F52" s="109"/>
      <c r="G52" s="109"/>
      <c r="H52" s="109"/>
      <c r="I52" s="109"/>
      <c r="J52" s="143"/>
      <c r="K52" s="143"/>
      <c r="L52" s="102"/>
      <c r="M52" s="1853"/>
    </row>
    <row r="53" spans="1:13" s="1777" customFormat="1" ht="58.6" customHeight="1">
      <c r="A53" s="738">
        <v>49</v>
      </c>
      <c r="B53" s="102"/>
      <c r="C53" s="1167"/>
      <c r="D53" s="109"/>
      <c r="E53" s="102"/>
      <c r="F53" s="109"/>
      <c r="G53" s="109"/>
      <c r="H53" s="109"/>
      <c r="I53" s="109"/>
      <c r="J53" s="143"/>
      <c r="K53" s="143"/>
      <c r="L53" s="102"/>
      <c r="M53" s="1853"/>
    </row>
    <row r="54" spans="1:13" s="1777" customFormat="1" ht="58.6" customHeight="1">
      <c r="A54" s="738">
        <v>50</v>
      </c>
      <c r="B54" s="102"/>
      <c r="C54" s="1167"/>
      <c r="D54" s="109"/>
      <c r="E54" s="102"/>
      <c r="F54" s="109"/>
      <c r="G54" s="109"/>
      <c r="H54" s="109"/>
      <c r="I54" s="109"/>
      <c r="J54" s="143"/>
      <c r="K54" s="143"/>
      <c r="L54" s="102"/>
      <c r="M54" s="1853"/>
    </row>
    <row r="55" spans="1:13" s="1777" customFormat="1" ht="58.6" customHeight="1">
      <c r="A55" s="738"/>
      <c r="B55" s="102"/>
      <c r="C55" s="1167"/>
      <c r="D55" s="109"/>
      <c r="E55" s="102"/>
      <c r="F55" s="109"/>
      <c r="G55" s="109"/>
      <c r="H55" s="109"/>
      <c r="I55" s="109"/>
      <c r="J55" s="143"/>
      <c r="K55" s="143"/>
      <c r="L55" s="102"/>
      <c r="M55" s="1853"/>
    </row>
    <row r="56" spans="1:13" s="1777" customFormat="1" ht="58.6" customHeight="1">
      <c r="A56" s="738"/>
      <c r="B56" s="102"/>
      <c r="C56" s="1167"/>
      <c r="D56" s="109"/>
      <c r="E56" s="102"/>
      <c r="F56" s="109"/>
      <c r="G56" s="109"/>
      <c r="H56" s="109"/>
      <c r="I56" s="109"/>
      <c r="J56" s="143"/>
      <c r="K56" s="143"/>
      <c r="L56" s="102"/>
      <c r="M56" s="1853"/>
    </row>
    <row r="57" spans="1:13" s="1777" customFormat="1" ht="58.6" customHeight="1">
      <c r="A57" s="738"/>
      <c r="B57" s="102"/>
      <c r="C57" s="1167"/>
      <c r="D57" s="109"/>
      <c r="E57" s="102"/>
      <c r="F57" s="109"/>
      <c r="G57" s="109"/>
      <c r="H57" s="109"/>
      <c r="I57" s="109"/>
      <c r="J57" s="143"/>
      <c r="K57" s="143"/>
      <c r="L57" s="102"/>
      <c r="M57" s="1853"/>
    </row>
    <row r="58" spans="1:13" s="1777" customFormat="1" ht="58.6" customHeight="1">
      <c r="A58" s="738"/>
      <c r="B58" s="102"/>
      <c r="C58" s="1167"/>
      <c r="D58" s="109"/>
      <c r="E58" s="102"/>
      <c r="F58" s="109"/>
      <c r="G58" s="109"/>
      <c r="H58" s="109"/>
      <c r="I58" s="109"/>
      <c r="J58" s="143"/>
      <c r="K58" s="143"/>
      <c r="L58" s="102"/>
      <c r="M58" s="1853"/>
    </row>
    <row r="59" spans="1:13" s="1777" customFormat="1" ht="58.6" customHeight="1">
      <c r="A59" s="738"/>
      <c r="B59" s="102"/>
      <c r="C59" s="1167"/>
      <c r="D59" s="109"/>
      <c r="E59" s="102"/>
      <c r="F59" s="109"/>
      <c r="G59" s="109"/>
      <c r="H59" s="109"/>
      <c r="I59" s="109"/>
      <c r="J59" s="143"/>
      <c r="K59" s="143"/>
      <c r="L59" s="102"/>
      <c r="M59" s="1853"/>
    </row>
    <row r="60" spans="1:13" s="1777" customFormat="1" ht="58.6"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2" priority="5"/>
  </conditionalFormatting>
  <conditionalFormatting sqref="A4">
    <cfRule type="duplicateValues" dxfId="411" priority="1"/>
  </conditionalFormatting>
  <conditionalFormatting sqref="B4">
    <cfRule type="duplicateValues" dxfId="410" priority="2"/>
    <cfRule type="duplicateValues" dxfId="409" priority="3"/>
    <cfRule type="duplicateValues" dxfId="408"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3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6" customHeight="1">
      <c r="B1" s="10"/>
      <c r="C1" s="3671"/>
      <c r="D1" s="3671"/>
      <c r="E1" s="3671"/>
      <c r="F1" s="3671"/>
      <c r="G1" s="3671"/>
      <c r="H1" s="3671"/>
      <c r="I1" s="3671"/>
      <c r="J1" s="3671"/>
      <c r="K1" s="3671"/>
      <c r="M1" s="1848"/>
    </row>
    <row r="2" spans="1:14" ht="63" customHeight="1">
      <c r="A2" s="3764" t="s">
        <v>4856</v>
      </c>
      <c r="B2" s="3765"/>
      <c r="C2" s="3765"/>
      <c r="D2" s="3765"/>
      <c r="E2" s="3765"/>
      <c r="F2" s="3765"/>
      <c r="G2" s="3765"/>
      <c r="H2" s="3765"/>
      <c r="I2" s="3765"/>
      <c r="J2" s="3765"/>
      <c r="K2" s="3766"/>
      <c r="L2" s="1905"/>
      <c r="M2" s="1905"/>
      <c r="N2" s="287"/>
    </row>
    <row r="3" spans="1:14" ht="37.549999999999997" customHeight="1">
      <c r="A3" s="3754" t="s">
        <v>3429</v>
      </c>
      <c r="B3" s="3754"/>
      <c r="C3" s="1950">
        <f>SUBTOTAL(9,C5:C557)</f>
        <v>196656</v>
      </c>
      <c r="D3" s="1932"/>
      <c r="E3" s="1951"/>
      <c r="F3" s="1932"/>
      <c r="G3" s="1932"/>
      <c r="H3" s="1932"/>
      <c r="I3" s="1932"/>
      <c r="J3" s="1934">
        <f ca="1">TODAY()</f>
        <v>45988</v>
      </c>
      <c r="K3" s="1622"/>
      <c r="L3" s="1952"/>
      <c r="M3" s="1951"/>
      <c r="N3" s="287"/>
    </row>
    <row r="4" spans="1:14" s="1149" customFormat="1" ht="53.35" customHeight="1">
      <c r="A4" s="1978" t="s">
        <v>48</v>
      </c>
      <c r="B4" s="1818" t="s">
        <v>49</v>
      </c>
      <c r="C4" s="1948" t="s">
        <v>50</v>
      </c>
      <c r="D4" s="1818" t="s">
        <v>3430</v>
      </c>
      <c r="E4" s="1818" t="s">
        <v>52</v>
      </c>
      <c r="F4" s="1818" t="s">
        <v>3431</v>
      </c>
      <c r="G4" s="1818" t="s">
        <v>54</v>
      </c>
      <c r="H4" s="1970" t="s">
        <v>55</v>
      </c>
      <c r="I4" s="1818" t="s">
        <v>56</v>
      </c>
      <c r="J4" s="1818"/>
      <c r="K4" s="1818" t="s">
        <v>58</v>
      </c>
      <c r="L4" s="1818" t="s">
        <v>59</v>
      </c>
      <c r="M4" s="1949" t="s">
        <v>60</v>
      </c>
      <c r="N4" s="1820" t="e">
        <f>SUM(#REF!)</f>
        <v>#REF!</v>
      </c>
    </row>
    <row r="5" spans="1:14" s="1548" customFormat="1" ht="104.3" customHeight="1">
      <c r="A5" s="1542" cm="1">
        <f t="array" ref="A5:A54">_xlfn.SEQUENCE(50,1,1,)</f>
        <v>1</v>
      </c>
      <c r="B5" s="1495" t="s">
        <v>97</v>
      </c>
      <c r="C5" s="2056">
        <v>4620</v>
      </c>
      <c r="D5" s="1495" t="s">
        <v>4857</v>
      </c>
      <c r="E5" s="1626" t="s">
        <v>18</v>
      </c>
      <c r="F5" s="1495" t="s">
        <v>4858</v>
      </c>
      <c r="G5" s="1773"/>
      <c r="H5" s="1495" t="s">
        <v>65</v>
      </c>
      <c r="I5" s="1495" t="s">
        <v>213</v>
      </c>
      <c r="J5" s="2155" t="s">
        <v>4859</v>
      </c>
      <c r="K5" s="1770" t="s">
        <v>4860</v>
      </c>
      <c r="L5" s="1495"/>
      <c r="M5" s="1790"/>
    </row>
    <row r="6" spans="1:14" s="1945" customFormat="1" ht="117.7" customHeight="1">
      <c r="A6" s="1667">
        <v>2</v>
      </c>
      <c r="B6" s="1495" t="s">
        <v>125</v>
      </c>
      <c r="C6" s="1901">
        <v>4230</v>
      </c>
      <c r="D6" s="1495" t="s">
        <v>4861</v>
      </c>
      <c r="E6" s="1493" t="s">
        <v>22</v>
      </c>
      <c r="F6" s="1900" t="s">
        <v>4862</v>
      </c>
      <c r="G6" s="2055"/>
      <c r="H6" s="1568" t="s">
        <v>65</v>
      </c>
      <c r="I6" s="1495" t="s">
        <v>558</v>
      </c>
      <c r="J6" s="1496" t="s">
        <v>4863</v>
      </c>
      <c r="K6" s="2156" t="s">
        <v>4864</v>
      </c>
      <c r="L6" s="1493"/>
      <c r="M6" s="1790"/>
      <c r="N6" s="1548"/>
    </row>
    <row r="7" spans="1:14" s="1548" customFormat="1" ht="72" customHeight="1">
      <c r="A7" s="1542">
        <v>3</v>
      </c>
      <c r="B7" s="1495" t="s">
        <v>3754</v>
      </c>
      <c r="C7" s="1901">
        <v>4450</v>
      </c>
      <c r="D7" s="1495" t="s">
        <v>4865</v>
      </c>
      <c r="E7" s="1493" t="s">
        <v>22</v>
      </c>
      <c r="F7" s="1495" t="s">
        <v>4866</v>
      </c>
      <c r="G7" s="1748"/>
      <c r="H7" s="1495" t="s">
        <v>65</v>
      </c>
      <c r="I7" s="1495" t="s">
        <v>558</v>
      </c>
      <c r="J7" s="1600" t="s">
        <v>4867</v>
      </c>
      <c r="K7" s="2039" t="s">
        <v>33</v>
      </c>
      <c r="L7" s="1493"/>
      <c r="M7" s="1790"/>
    </row>
    <row r="8" spans="1:14" s="1945" customFormat="1" ht="72" customHeight="1">
      <c r="A8" s="1917">
        <v>4</v>
      </c>
      <c r="B8" s="1875" t="s">
        <v>4868</v>
      </c>
      <c r="C8" s="1918">
        <v>4300</v>
      </c>
      <c r="D8" s="1875" t="s">
        <v>4869</v>
      </c>
      <c r="E8" s="1869" t="s">
        <v>24</v>
      </c>
      <c r="F8" s="1875" t="s">
        <v>4870</v>
      </c>
      <c r="G8" s="2057"/>
      <c r="H8" s="1875" t="s">
        <v>65</v>
      </c>
      <c r="I8" s="1875" t="s">
        <v>558</v>
      </c>
      <c r="J8" s="2037" t="s">
        <v>4871</v>
      </c>
      <c r="K8" s="2058" t="s">
        <v>4872</v>
      </c>
      <c r="L8" s="1869"/>
      <c r="M8" s="1867"/>
    </row>
    <row r="9" spans="1:14" s="1559" customFormat="1" ht="408.75" customHeight="1">
      <c r="A9" s="1553">
        <v>5</v>
      </c>
      <c r="B9" s="1543" t="s">
        <v>3150</v>
      </c>
      <c r="C9" s="1913">
        <v>18500</v>
      </c>
      <c r="D9" s="1543" t="s">
        <v>4873</v>
      </c>
      <c r="E9" s="1545" t="s">
        <v>16</v>
      </c>
      <c r="F9" s="1543" t="s">
        <v>4874</v>
      </c>
      <c r="G9" s="2051"/>
      <c r="H9" s="1543" t="s">
        <v>65</v>
      </c>
      <c r="I9" s="1543" t="s">
        <v>558</v>
      </c>
      <c r="J9" s="1605" t="s">
        <v>4875</v>
      </c>
      <c r="K9" s="2059" t="s">
        <v>4876</v>
      </c>
      <c r="L9" s="1605"/>
      <c r="M9" s="1852"/>
    </row>
    <row r="10" spans="1:14" s="1548" customFormat="1" ht="93.75" customHeight="1">
      <c r="A10" s="1542">
        <v>6</v>
      </c>
      <c r="B10" s="1495" t="s">
        <v>114</v>
      </c>
      <c r="C10" s="1901">
        <v>3720</v>
      </c>
      <c r="D10" s="1495" t="s">
        <v>4873</v>
      </c>
      <c r="E10" s="1493" t="s">
        <v>22</v>
      </c>
      <c r="F10" s="1495" t="s">
        <v>4877</v>
      </c>
      <c r="G10" s="1748"/>
      <c r="H10" s="1495" t="s">
        <v>65</v>
      </c>
      <c r="I10" s="1495" t="s">
        <v>558</v>
      </c>
      <c r="J10" s="1496" t="s">
        <v>4878</v>
      </c>
      <c r="K10" s="2060" t="s">
        <v>33</v>
      </c>
      <c r="L10" s="1493"/>
      <c r="M10" s="1790"/>
    </row>
    <row r="11" spans="1:14" s="1559" customFormat="1" ht="93.75" customHeight="1">
      <c r="A11" s="1542">
        <v>7</v>
      </c>
      <c r="B11" s="1495" t="s">
        <v>3499</v>
      </c>
      <c r="C11" s="1901">
        <v>4000</v>
      </c>
      <c r="D11" s="1495" t="s">
        <v>4879</v>
      </c>
      <c r="E11" s="1493" t="s">
        <v>20</v>
      </c>
      <c r="F11" s="1495" t="s">
        <v>4880</v>
      </c>
      <c r="G11" s="1748"/>
      <c r="H11" s="1495" t="s">
        <v>65</v>
      </c>
      <c r="I11" s="1851" t="s">
        <v>558</v>
      </c>
      <c r="J11" s="1600" t="s">
        <v>4881</v>
      </c>
      <c r="K11" s="1600" t="s">
        <v>4882</v>
      </c>
      <c r="L11" s="1493"/>
      <c r="M11" s="1790"/>
      <c r="N11" s="1548"/>
    </row>
    <row r="12" spans="1:14" s="1559" customFormat="1" ht="257.3" customHeight="1">
      <c r="A12" s="1553">
        <v>8</v>
      </c>
      <c r="B12" s="1543" t="s">
        <v>3668</v>
      </c>
      <c r="C12" s="1913">
        <v>24000</v>
      </c>
      <c r="D12" s="1543" t="s">
        <v>4883</v>
      </c>
      <c r="E12" s="1545" t="s">
        <v>14</v>
      </c>
      <c r="F12" s="1543" t="s">
        <v>4884</v>
      </c>
      <c r="G12" s="2051"/>
      <c r="H12" s="1543" t="s">
        <v>65</v>
      </c>
      <c r="I12" s="1543" t="s">
        <v>155</v>
      </c>
      <c r="J12" s="1605" t="s">
        <v>4885</v>
      </c>
      <c r="K12" s="1605"/>
      <c r="L12" s="1545"/>
      <c r="M12" s="1852"/>
    </row>
    <row r="13" spans="1:14" s="1559" customFormat="1" ht="77.95" customHeight="1">
      <c r="A13" s="1553">
        <v>9</v>
      </c>
      <c r="B13" s="1543" t="s">
        <v>234</v>
      </c>
      <c r="C13" s="1913">
        <v>8000</v>
      </c>
      <c r="D13" s="1543" t="s">
        <v>4886</v>
      </c>
      <c r="E13" s="1545" t="s">
        <v>16</v>
      </c>
      <c r="F13" s="1543" t="s">
        <v>4887</v>
      </c>
      <c r="G13" s="2051"/>
      <c r="H13" s="1543" t="s">
        <v>65</v>
      </c>
      <c r="I13" s="1543" t="s">
        <v>294</v>
      </c>
      <c r="J13" s="1605" t="s">
        <v>4888</v>
      </c>
      <c r="K13" s="2062" t="s">
        <v>4889</v>
      </c>
      <c r="L13" s="1545"/>
      <c r="M13" s="1852"/>
    </row>
    <row r="14" spans="1:14" s="1548" customFormat="1" ht="143.35" customHeight="1">
      <c r="A14" s="1542">
        <v>10</v>
      </c>
      <c r="B14" s="1495" t="s">
        <v>3895</v>
      </c>
      <c r="C14" s="1901">
        <v>3950</v>
      </c>
      <c r="D14" s="1495" t="s">
        <v>4890</v>
      </c>
      <c r="E14" s="1493" t="s">
        <v>26</v>
      </c>
      <c r="F14" s="1495" t="s">
        <v>4891</v>
      </c>
      <c r="G14" s="1748"/>
      <c r="H14" s="1495" t="s">
        <v>65</v>
      </c>
      <c r="I14" s="1495" t="s">
        <v>213</v>
      </c>
      <c r="J14" s="1600" t="s">
        <v>4892</v>
      </c>
      <c r="K14" s="2060" t="s">
        <v>33</v>
      </c>
      <c r="L14" s="1493"/>
      <c r="M14" s="1790"/>
    </row>
    <row r="15" spans="1:14" s="2035" customFormat="1" ht="125.35" customHeight="1">
      <c r="A15" s="1917">
        <v>11</v>
      </c>
      <c r="B15" s="1875" t="s">
        <v>3738</v>
      </c>
      <c r="C15" s="1918">
        <v>4370</v>
      </c>
      <c r="D15" s="1875" t="s">
        <v>4893</v>
      </c>
      <c r="E15" s="1869" t="s">
        <v>20</v>
      </c>
      <c r="F15" s="1875" t="s">
        <v>4894</v>
      </c>
      <c r="G15" s="2036"/>
      <c r="H15" s="1872" t="s">
        <v>65</v>
      </c>
      <c r="I15" s="1851" t="s">
        <v>558</v>
      </c>
      <c r="J15" s="2037" t="s">
        <v>4895</v>
      </c>
      <c r="K15" s="2061" t="s">
        <v>33</v>
      </c>
      <c r="L15" s="1869"/>
      <c r="M15" s="1867"/>
      <c r="N15" s="1945"/>
    </row>
    <row r="16" spans="1:14" s="1958" customFormat="1" ht="167.95" customHeight="1">
      <c r="A16" s="1542">
        <v>12</v>
      </c>
      <c r="B16" s="1495" t="s">
        <v>4896</v>
      </c>
      <c r="C16" s="1901">
        <v>25000</v>
      </c>
      <c r="D16" s="1495" t="s">
        <v>4897</v>
      </c>
      <c r="E16" s="1493" t="s">
        <v>16</v>
      </c>
      <c r="F16" s="1495" t="s">
        <v>4898</v>
      </c>
      <c r="G16" s="1780" t="s">
        <v>4899</v>
      </c>
      <c r="H16" s="1568" t="s">
        <v>65</v>
      </c>
      <c r="I16" s="1495" t="s">
        <v>213</v>
      </c>
      <c r="J16" s="1598" t="s">
        <v>4900</v>
      </c>
      <c r="K16" s="2157"/>
      <c r="L16" s="1493"/>
      <c r="M16" s="1790"/>
      <c r="N16" s="1548"/>
    </row>
    <row r="17" spans="1:109" s="1883" customFormat="1" ht="103.6" customHeight="1">
      <c r="A17" s="1542">
        <v>13</v>
      </c>
      <c r="B17" s="1495" t="s">
        <v>97</v>
      </c>
      <c r="C17" s="1901">
        <v>4620</v>
      </c>
      <c r="D17" s="1495" t="s">
        <v>4901</v>
      </c>
      <c r="E17" s="1493" t="s">
        <v>18</v>
      </c>
      <c r="F17" s="1495" t="s">
        <v>4902</v>
      </c>
      <c r="G17" s="1780"/>
      <c r="H17" s="1568" t="s">
        <v>65</v>
      </c>
      <c r="I17" s="1495" t="s">
        <v>558</v>
      </c>
      <c r="J17" s="1598" t="s">
        <v>4903</v>
      </c>
      <c r="K17" s="2157" t="s">
        <v>33</v>
      </c>
      <c r="L17" s="1493"/>
      <c r="M17" s="1790"/>
      <c r="N17" s="1548"/>
    </row>
    <row r="18" spans="1:109" s="1945" customFormat="1" ht="74.25" customHeight="1">
      <c r="A18" s="1542">
        <v>14</v>
      </c>
      <c r="B18" s="1495" t="s">
        <v>2956</v>
      </c>
      <c r="C18" s="1901">
        <v>3300</v>
      </c>
      <c r="D18" s="1495" t="s">
        <v>4904</v>
      </c>
      <c r="E18" s="1493" t="s">
        <v>24</v>
      </c>
      <c r="F18" s="1495" t="s">
        <v>4905</v>
      </c>
      <c r="G18" s="1780"/>
      <c r="H18" s="1568" t="s">
        <v>65</v>
      </c>
      <c r="I18" s="1495" t="s">
        <v>213</v>
      </c>
      <c r="J18" s="1598" t="s">
        <v>4906</v>
      </c>
      <c r="K18" s="2157" t="s">
        <v>4907</v>
      </c>
      <c r="L18" s="1493"/>
      <c r="M18" s="1790"/>
      <c r="N18" s="1548"/>
    </row>
    <row r="19" spans="1:109" s="2035" customFormat="1" ht="74.25" customHeight="1">
      <c r="A19" s="1542">
        <v>15</v>
      </c>
      <c r="B19" s="1543" t="s">
        <v>2947</v>
      </c>
      <c r="C19" s="1901">
        <v>3500</v>
      </c>
      <c r="D19" s="1495" t="s">
        <v>4908</v>
      </c>
      <c r="E19" s="1493" t="s">
        <v>20</v>
      </c>
      <c r="F19" s="1495" t="s">
        <v>4909</v>
      </c>
      <c r="G19" s="1780"/>
      <c r="H19" s="1568" t="s">
        <v>65</v>
      </c>
      <c r="I19" s="1495" t="s">
        <v>66</v>
      </c>
      <c r="J19" s="1598" t="s">
        <v>4910</v>
      </c>
      <c r="K19" s="2157"/>
      <c r="L19" s="1493"/>
      <c r="M19" s="1790"/>
      <c r="N19" s="1548"/>
    </row>
    <row r="20" spans="1:109" s="2012" customFormat="1" ht="300.10000000000002" customHeight="1">
      <c r="A20" s="1542">
        <v>16</v>
      </c>
      <c r="B20" s="1543" t="s">
        <v>3150</v>
      </c>
      <c r="C20" s="1901">
        <v>18500</v>
      </c>
      <c r="D20" s="1495" t="s">
        <v>4911</v>
      </c>
      <c r="E20" s="1493" t="s">
        <v>16</v>
      </c>
      <c r="F20" s="1495" t="s">
        <v>4912</v>
      </c>
      <c r="G20" s="1780" t="s">
        <v>4913</v>
      </c>
      <c r="H20" s="1568" t="s">
        <v>65</v>
      </c>
      <c r="I20" s="1495" t="s">
        <v>558</v>
      </c>
      <c r="J20" s="1598" t="s">
        <v>4914</v>
      </c>
      <c r="K20" s="2157" t="s">
        <v>4915</v>
      </c>
      <c r="L20" s="1493"/>
      <c r="M20" s="1790"/>
      <c r="N20" s="1548"/>
    </row>
    <row r="21" spans="1:109" s="1777" customFormat="1" ht="199.55" customHeight="1">
      <c r="A21" s="1542">
        <v>17</v>
      </c>
      <c r="B21" s="1543" t="s">
        <v>3546</v>
      </c>
      <c r="C21" s="1901">
        <v>4400</v>
      </c>
      <c r="D21" s="1495" t="s">
        <v>4916</v>
      </c>
      <c r="E21" s="1493" t="s">
        <v>20</v>
      </c>
      <c r="F21" s="1495" t="s">
        <v>4917</v>
      </c>
      <c r="G21" s="1780" t="s">
        <v>4918</v>
      </c>
      <c r="H21" s="1568" t="s">
        <v>65</v>
      </c>
      <c r="I21" s="1495" t="s">
        <v>213</v>
      </c>
      <c r="J21" s="1598" t="s">
        <v>4919</v>
      </c>
      <c r="K21" s="2157" t="s">
        <v>4920</v>
      </c>
      <c r="L21" s="1493"/>
      <c r="M21" s="1790"/>
      <c r="N21" s="1548"/>
    </row>
    <row r="22" spans="1:109" s="1998" customFormat="1" ht="127.55" customHeight="1">
      <c r="A22" s="1542">
        <v>18</v>
      </c>
      <c r="B22" s="1543" t="s">
        <v>114</v>
      </c>
      <c r="C22" s="1901">
        <v>3720</v>
      </c>
      <c r="D22" s="1495" t="s">
        <v>4916</v>
      </c>
      <c r="E22" s="1493" t="s">
        <v>22</v>
      </c>
      <c r="F22" s="1495" t="s">
        <v>4921</v>
      </c>
      <c r="G22" s="1780" t="s">
        <v>4918</v>
      </c>
      <c r="H22" s="1568" t="s">
        <v>65</v>
      </c>
      <c r="I22" s="1495" t="s">
        <v>558</v>
      </c>
      <c r="J22" s="1598" t="s">
        <v>4922</v>
      </c>
      <c r="K22" s="2157" t="s">
        <v>4923</v>
      </c>
      <c r="L22" s="1493"/>
      <c r="M22" s="1790"/>
      <c r="N22" s="1548"/>
    </row>
    <row r="23" spans="1:109" s="1880" customFormat="1" ht="101.25" customHeight="1">
      <c r="A23" s="1542">
        <v>19</v>
      </c>
      <c r="B23" s="1543" t="s">
        <v>3464</v>
      </c>
      <c r="C23" s="1901">
        <v>3726</v>
      </c>
      <c r="D23" s="1495" t="s">
        <v>4916</v>
      </c>
      <c r="E23" s="1493" t="s">
        <v>20</v>
      </c>
      <c r="F23" s="1495" t="s">
        <v>4924</v>
      </c>
      <c r="G23" s="1780" t="s">
        <v>4918</v>
      </c>
      <c r="H23" s="1568" t="s">
        <v>65</v>
      </c>
      <c r="I23" s="1495" t="s">
        <v>558</v>
      </c>
      <c r="J23" s="1598" t="s">
        <v>4925</v>
      </c>
      <c r="K23" s="2157" t="s">
        <v>4926</v>
      </c>
      <c r="L23" s="1493"/>
      <c r="M23" s="1790"/>
      <c r="N23" s="1548"/>
    </row>
    <row r="24" spans="1:109" s="1880" customFormat="1" ht="100.55" customHeight="1">
      <c r="A24" s="1667">
        <v>20</v>
      </c>
      <c r="B24" s="1495" t="s">
        <v>3508</v>
      </c>
      <c r="C24" s="2066">
        <v>4000</v>
      </c>
      <c r="D24" s="1495" t="s">
        <v>4927</v>
      </c>
      <c r="E24" s="1493" t="s">
        <v>22</v>
      </c>
      <c r="F24" s="1495" t="s">
        <v>4928</v>
      </c>
      <c r="G24" s="1780"/>
      <c r="H24" s="1568" t="s">
        <v>65</v>
      </c>
      <c r="I24" s="1495" t="s">
        <v>558</v>
      </c>
      <c r="J24" s="1598" t="s">
        <v>4929</v>
      </c>
      <c r="K24" s="2157" t="s">
        <v>4930</v>
      </c>
      <c r="L24" s="1493"/>
      <c r="M24" s="1790"/>
      <c r="N24" s="1548"/>
    </row>
    <row r="25" spans="1:109" s="2012" customFormat="1" ht="100.55" customHeight="1">
      <c r="A25" s="1667">
        <v>21</v>
      </c>
      <c r="B25" s="1495" t="s">
        <v>234</v>
      </c>
      <c r="C25" s="2066">
        <v>11500</v>
      </c>
      <c r="D25" s="1495" t="s">
        <v>4931</v>
      </c>
      <c r="E25" s="1493" t="s">
        <v>16</v>
      </c>
      <c r="F25" s="1495" t="s">
        <v>4932</v>
      </c>
      <c r="G25" s="1780"/>
      <c r="H25" s="1568" t="s">
        <v>65</v>
      </c>
      <c r="I25" s="1495" t="s">
        <v>66</v>
      </c>
      <c r="J25" s="1598" t="s">
        <v>4933</v>
      </c>
      <c r="K25" s="2157" t="s">
        <v>4934</v>
      </c>
      <c r="L25" s="1493"/>
      <c r="M25" s="1790"/>
      <c r="N25" s="1548"/>
    </row>
    <row r="26" spans="1:109" s="1880" customFormat="1" ht="99" customHeight="1">
      <c r="A26" s="1667">
        <v>22</v>
      </c>
      <c r="B26" s="1495" t="s">
        <v>4935</v>
      </c>
      <c r="C26" s="2066">
        <v>3600</v>
      </c>
      <c r="D26" s="1495" t="s">
        <v>4936</v>
      </c>
      <c r="E26" s="1493" t="s">
        <v>24</v>
      </c>
      <c r="F26" s="1495" t="s">
        <v>4937</v>
      </c>
      <c r="G26" s="1780"/>
      <c r="H26" s="1568" t="s">
        <v>65</v>
      </c>
      <c r="I26" s="1495" t="s">
        <v>213</v>
      </c>
      <c r="J26" s="1598" t="s">
        <v>4938</v>
      </c>
      <c r="K26" s="2157" t="s">
        <v>4907</v>
      </c>
      <c r="L26" s="1493"/>
      <c r="M26" s="1790"/>
      <c r="N26" s="1548"/>
    </row>
    <row r="27" spans="1:109" s="1883" customFormat="1" ht="151.5" customHeight="1">
      <c r="A27" s="1850">
        <v>23</v>
      </c>
      <c r="B27" s="1851" t="s">
        <v>3996</v>
      </c>
      <c r="C27" s="1915">
        <v>12900</v>
      </c>
      <c r="D27" s="1851" t="s">
        <v>4939</v>
      </c>
      <c r="E27" s="1630" t="s">
        <v>16</v>
      </c>
      <c r="F27" s="1851" t="s">
        <v>4940</v>
      </c>
      <c r="G27" s="2030"/>
      <c r="H27" s="1947" t="s">
        <v>65</v>
      </c>
      <c r="I27" s="1851" t="s">
        <v>213</v>
      </c>
      <c r="J27" s="1628" t="s">
        <v>4941</v>
      </c>
      <c r="K27" s="2067" t="s">
        <v>4942</v>
      </c>
      <c r="L27" s="1497"/>
      <c r="M27" s="1882"/>
    </row>
    <row r="28" spans="1:109" s="1883" customFormat="1" ht="96.8" customHeight="1">
      <c r="A28" s="1850">
        <v>24</v>
      </c>
      <c r="B28" s="1630" t="s">
        <v>260</v>
      </c>
      <c r="C28" s="1915">
        <v>3750</v>
      </c>
      <c r="D28" s="1851" t="s">
        <v>4943</v>
      </c>
      <c r="E28" s="1630" t="s">
        <v>20</v>
      </c>
      <c r="F28" s="1947" t="s">
        <v>4944</v>
      </c>
      <c r="G28" s="2030"/>
      <c r="H28" s="1851" t="s">
        <v>65</v>
      </c>
      <c r="I28" s="1851" t="s">
        <v>558</v>
      </c>
      <c r="J28" s="1628" t="s">
        <v>4945</v>
      </c>
      <c r="K28" s="2067" t="s">
        <v>4946</v>
      </c>
      <c r="L28" s="1630"/>
      <c r="M28" s="1882"/>
    </row>
    <row r="29" spans="1:109" s="1883" customFormat="1" ht="83.25" customHeight="1">
      <c r="A29" s="1850">
        <v>25</v>
      </c>
      <c r="B29" s="1851" t="s">
        <v>87</v>
      </c>
      <c r="C29" s="1915">
        <v>6000</v>
      </c>
      <c r="D29" s="1851" t="s">
        <v>4947</v>
      </c>
      <c r="E29" s="1630" t="s">
        <v>18</v>
      </c>
      <c r="F29" s="1851" t="s">
        <v>4948</v>
      </c>
      <c r="G29" s="2030"/>
      <c r="H29" s="1851" t="s">
        <v>65</v>
      </c>
      <c r="I29" s="1851" t="s">
        <v>213</v>
      </c>
      <c r="J29" s="1628" t="s">
        <v>4949</v>
      </c>
      <c r="K29" s="2067" t="s">
        <v>4907</v>
      </c>
      <c r="L29" s="1497"/>
      <c r="M29" s="1882"/>
    </row>
    <row r="30" spans="1:109" s="1883" customFormat="1" ht="122.95" customHeight="1">
      <c r="A30" s="1542">
        <v>26</v>
      </c>
      <c r="B30" s="1495" t="s">
        <v>3499</v>
      </c>
      <c r="C30" s="1901">
        <v>4000</v>
      </c>
      <c r="D30" s="1495" t="s">
        <v>4950</v>
      </c>
      <c r="E30" s="1493" t="s">
        <v>20</v>
      </c>
      <c r="F30" s="1495" t="s">
        <v>194</v>
      </c>
      <c r="G30" s="1495"/>
      <c r="H30" s="1495" t="s">
        <v>65</v>
      </c>
      <c r="I30" s="1495" t="s">
        <v>558</v>
      </c>
      <c r="J30" s="1598" t="s">
        <v>4951</v>
      </c>
      <c r="K30" s="2039" t="s">
        <v>4952</v>
      </c>
      <c r="L30" s="1493"/>
      <c r="M30" s="1790"/>
      <c r="N30" s="1548"/>
    </row>
    <row r="31" spans="1:109" s="1880" customFormat="1" ht="127.55" customHeight="1">
      <c r="A31" s="874">
        <v>27</v>
      </c>
      <c r="B31" s="735"/>
      <c r="C31" s="1925"/>
      <c r="D31" s="735"/>
      <c r="E31" s="112"/>
      <c r="F31" s="1926"/>
      <c r="G31" s="735"/>
      <c r="H31" s="109"/>
      <c r="I31" s="109"/>
      <c r="J31" s="2139"/>
      <c r="K31" s="2158"/>
      <c r="L31" s="1877"/>
      <c r="M31" s="1879"/>
      <c r="DE31" s="1880" t="s">
        <v>4953</v>
      </c>
    </row>
    <row r="32" spans="1:109" s="1880" customFormat="1" ht="81" customHeight="1">
      <c r="A32" s="874">
        <v>28</v>
      </c>
      <c r="B32" s="735"/>
      <c r="C32" s="1925"/>
      <c r="D32" s="2063"/>
      <c r="E32" s="112"/>
      <c r="F32" s="735"/>
      <c r="G32" s="735"/>
      <c r="H32" s="735"/>
      <c r="I32" s="735"/>
      <c r="J32" s="2139"/>
      <c r="K32" s="2065"/>
      <c r="L32" s="112"/>
      <c r="M32" s="1879"/>
    </row>
    <row r="33" spans="1:13" s="1777" customFormat="1" ht="84.1" customHeight="1">
      <c r="A33" s="738">
        <v>29</v>
      </c>
      <c r="B33" s="102"/>
      <c r="C33" s="1167"/>
      <c r="D33" s="109"/>
      <c r="E33" s="102"/>
      <c r="F33" s="109"/>
      <c r="G33" s="109"/>
      <c r="H33" s="735"/>
      <c r="I33" s="109"/>
      <c r="J33" s="696"/>
      <c r="K33" s="143"/>
      <c r="L33" s="102"/>
      <c r="M33" s="1853"/>
    </row>
    <row r="34" spans="1:13" s="1777" customFormat="1" ht="66.099999999999994" customHeight="1">
      <c r="A34" s="738">
        <v>30</v>
      </c>
      <c r="B34" s="102"/>
      <c r="C34" s="1167"/>
      <c r="D34" s="109"/>
      <c r="E34" s="102"/>
      <c r="F34" s="109"/>
      <c r="G34" s="109"/>
      <c r="H34" s="109"/>
      <c r="I34" s="109"/>
      <c r="J34" s="696"/>
      <c r="K34" s="696"/>
      <c r="L34" s="102"/>
      <c r="M34" s="1853"/>
    </row>
    <row r="35" spans="1:13" s="1777" customFormat="1" ht="58.6" customHeight="1">
      <c r="A35" s="738">
        <v>31</v>
      </c>
      <c r="B35" s="102"/>
      <c r="C35" s="1167"/>
      <c r="D35" s="109"/>
      <c r="E35" s="102"/>
      <c r="F35" s="109"/>
      <c r="G35" s="109"/>
      <c r="H35" s="109"/>
      <c r="I35" s="109"/>
      <c r="J35" s="696"/>
      <c r="K35" s="143"/>
      <c r="L35" s="102"/>
      <c r="M35" s="1853"/>
    </row>
    <row r="36" spans="1:13" s="1777" customFormat="1" ht="68.95" customHeight="1">
      <c r="A36" s="738">
        <v>32</v>
      </c>
      <c r="B36" s="102"/>
      <c r="C36" s="1167"/>
      <c r="D36" s="109"/>
      <c r="E36" s="102"/>
      <c r="F36" s="109"/>
      <c r="G36" s="109"/>
      <c r="H36" s="109"/>
      <c r="I36" s="109"/>
      <c r="J36" s="696"/>
      <c r="K36" s="143"/>
      <c r="L36" s="102"/>
      <c r="M36" s="1853"/>
    </row>
    <row r="37" spans="1:13" s="1777" customFormat="1" ht="58.6" customHeight="1">
      <c r="A37" s="738">
        <v>33</v>
      </c>
      <c r="B37" s="102"/>
      <c r="C37" s="1167"/>
      <c r="D37" s="109"/>
      <c r="E37" s="102"/>
      <c r="F37" s="109"/>
      <c r="G37" s="109"/>
      <c r="H37" s="109"/>
      <c r="I37" s="109"/>
      <c r="J37" s="143"/>
      <c r="K37" s="143"/>
      <c r="L37" s="102"/>
      <c r="M37" s="1853"/>
    </row>
    <row r="38" spans="1:13" s="1777" customFormat="1" ht="58.6" customHeight="1">
      <c r="A38" s="738">
        <v>34</v>
      </c>
      <c r="B38" s="102"/>
      <c r="C38" s="1167"/>
      <c r="D38" s="109"/>
      <c r="E38" s="102"/>
      <c r="F38" s="109"/>
      <c r="G38" s="109"/>
      <c r="H38" s="109"/>
      <c r="I38" s="109"/>
      <c r="J38" s="143"/>
      <c r="K38" s="143"/>
      <c r="L38" s="102"/>
      <c r="M38" s="1853"/>
    </row>
    <row r="39" spans="1:13" s="1777" customFormat="1" ht="58.6" customHeight="1">
      <c r="A39" s="738">
        <v>35</v>
      </c>
      <c r="B39" s="102"/>
      <c r="C39" s="1167"/>
      <c r="D39" s="109"/>
      <c r="E39" s="102"/>
      <c r="F39" s="109"/>
      <c r="G39" s="109"/>
      <c r="H39" s="109"/>
      <c r="I39" s="109"/>
      <c r="J39" s="143"/>
      <c r="K39" s="143"/>
      <c r="L39" s="102"/>
      <c r="M39" s="1853"/>
    </row>
    <row r="40" spans="1:13" s="1777" customFormat="1" ht="58.6" customHeight="1">
      <c r="A40" s="738">
        <v>36</v>
      </c>
      <c r="B40" s="102"/>
      <c r="C40" s="1167"/>
      <c r="D40" s="109"/>
      <c r="E40" s="102"/>
      <c r="F40" s="109"/>
      <c r="G40" s="109"/>
      <c r="H40" s="109"/>
      <c r="I40" s="109"/>
      <c r="J40" s="143"/>
      <c r="K40" s="143"/>
      <c r="L40" s="102"/>
      <c r="M40" s="1853"/>
    </row>
    <row r="41" spans="1:13" s="1777" customFormat="1" ht="58.6" customHeight="1">
      <c r="A41" s="738">
        <v>37</v>
      </c>
      <c r="B41" s="102"/>
      <c r="C41" s="1167"/>
      <c r="D41" s="109"/>
      <c r="E41" s="102"/>
      <c r="F41" s="109"/>
      <c r="G41" s="109"/>
      <c r="H41" s="109"/>
      <c r="I41" s="109"/>
      <c r="J41" s="143"/>
      <c r="K41" s="143"/>
      <c r="L41" s="102"/>
      <c r="M41" s="1853"/>
    </row>
    <row r="42" spans="1:13" s="1777" customFormat="1" ht="58.6" customHeight="1">
      <c r="A42" s="738">
        <v>38</v>
      </c>
      <c r="B42" s="102"/>
      <c r="C42" s="1167"/>
      <c r="D42" s="109"/>
      <c r="E42" s="102"/>
      <c r="F42" s="109"/>
      <c r="G42" s="109"/>
      <c r="H42" s="109"/>
      <c r="I42" s="109"/>
      <c r="J42" s="143"/>
      <c r="K42" s="143"/>
      <c r="L42" s="102"/>
      <c r="M42" s="1853"/>
    </row>
    <row r="43" spans="1:13" s="1777" customFormat="1" ht="58.6" customHeight="1">
      <c r="A43" s="738">
        <v>39</v>
      </c>
      <c r="B43" s="102"/>
      <c r="C43" s="1167"/>
      <c r="D43" s="109"/>
      <c r="E43" s="102"/>
      <c r="F43" s="109"/>
      <c r="G43" s="109"/>
      <c r="H43" s="109"/>
      <c r="I43" s="109"/>
      <c r="J43" s="143"/>
      <c r="K43" s="143"/>
      <c r="L43" s="102"/>
      <c r="M43" s="1853"/>
    </row>
    <row r="44" spans="1:13" s="1777" customFormat="1" ht="58.6" customHeight="1">
      <c r="A44" s="738">
        <v>40</v>
      </c>
      <c r="B44" s="102"/>
      <c r="C44" s="1167"/>
      <c r="D44" s="109"/>
      <c r="E44" s="102"/>
      <c r="F44" s="109"/>
      <c r="G44" s="109"/>
      <c r="H44" s="109"/>
      <c r="I44" s="109"/>
      <c r="J44" s="143"/>
      <c r="K44" s="143"/>
      <c r="L44" s="102"/>
      <c r="M44" s="1853"/>
    </row>
    <row r="45" spans="1:13" s="1777" customFormat="1" ht="58.6" customHeight="1">
      <c r="A45" s="738">
        <v>41</v>
      </c>
      <c r="B45" s="102"/>
      <c r="C45" s="1167"/>
      <c r="D45" s="109"/>
      <c r="E45" s="102"/>
      <c r="F45" s="109"/>
      <c r="G45" s="109"/>
      <c r="H45" s="109"/>
      <c r="I45" s="109"/>
      <c r="J45" s="143"/>
      <c r="K45" s="143"/>
      <c r="L45" s="102"/>
      <c r="M45" s="1853"/>
    </row>
    <row r="46" spans="1:13" s="1777" customFormat="1" ht="58.6" customHeight="1">
      <c r="A46" s="738">
        <v>42</v>
      </c>
      <c r="B46" s="102"/>
      <c r="C46" s="1167"/>
      <c r="D46" s="109"/>
      <c r="E46" s="102"/>
      <c r="F46" s="109"/>
      <c r="G46" s="109"/>
      <c r="H46" s="109"/>
      <c r="I46" s="109"/>
      <c r="J46" s="143"/>
      <c r="K46" s="143"/>
      <c r="L46" s="102"/>
      <c r="M46" s="1853"/>
    </row>
    <row r="47" spans="1:13" s="1777" customFormat="1" ht="58.6" customHeight="1">
      <c r="A47" s="738">
        <v>43</v>
      </c>
      <c r="B47" s="102"/>
      <c r="C47" s="1167"/>
      <c r="D47" s="109"/>
      <c r="E47" s="102"/>
      <c r="F47" s="109"/>
      <c r="G47" s="109"/>
      <c r="H47" s="109"/>
      <c r="I47" s="109"/>
      <c r="J47" s="143"/>
      <c r="K47" s="143"/>
      <c r="L47" s="102"/>
      <c r="M47" s="1853"/>
    </row>
    <row r="48" spans="1:13" s="1777" customFormat="1" ht="58.6" customHeight="1">
      <c r="A48" s="738">
        <v>44</v>
      </c>
      <c r="B48" s="102"/>
      <c r="C48" s="1167"/>
      <c r="D48" s="109"/>
      <c r="E48" s="102"/>
      <c r="F48" s="109"/>
      <c r="G48" s="109"/>
      <c r="H48" s="109"/>
      <c r="I48" s="109"/>
      <c r="J48" s="143"/>
      <c r="K48" s="143"/>
      <c r="L48" s="102"/>
      <c r="M48" s="1853"/>
    </row>
    <row r="49" spans="1:13" s="1777" customFormat="1" ht="58.6" customHeight="1">
      <c r="A49" s="738">
        <v>45</v>
      </c>
      <c r="B49" s="102"/>
      <c r="C49" s="1167"/>
      <c r="D49" s="109"/>
      <c r="E49" s="102"/>
      <c r="F49" s="109"/>
      <c r="G49" s="109"/>
      <c r="H49" s="109"/>
      <c r="I49" s="109"/>
      <c r="J49" s="143"/>
      <c r="K49" s="143"/>
      <c r="L49" s="102"/>
      <c r="M49" s="1853"/>
    </row>
    <row r="50" spans="1:13" s="1777" customFormat="1" ht="58.6" customHeight="1">
      <c r="A50" s="738">
        <v>46</v>
      </c>
      <c r="B50" s="102"/>
      <c r="C50" s="1167"/>
      <c r="D50" s="109"/>
      <c r="E50" s="102"/>
      <c r="F50" s="109"/>
      <c r="G50" s="109"/>
      <c r="H50" s="109"/>
      <c r="I50" s="109"/>
      <c r="J50" s="143"/>
      <c r="K50" s="143"/>
      <c r="L50" s="102"/>
      <c r="M50" s="1853"/>
    </row>
    <row r="51" spans="1:13" s="1777" customFormat="1" ht="58.6" customHeight="1">
      <c r="A51" s="738">
        <v>47</v>
      </c>
      <c r="B51" s="102"/>
      <c r="C51" s="1167"/>
      <c r="D51" s="109"/>
      <c r="E51" s="102"/>
      <c r="F51" s="109"/>
      <c r="G51" s="109"/>
      <c r="H51" s="109"/>
      <c r="I51" s="109"/>
      <c r="J51" s="143"/>
      <c r="K51" s="143"/>
      <c r="L51" s="102"/>
      <c r="M51" s="1853"/>
    </row>
    <row r="52" spans="1:13" s="1777" customFormat="1" ht="58.6" customHeight="1">
      <c r="A52" s="738">
        <v>48</v>
      </c>
      <c r="B52" s="102"/>
      <c r="C52" s="1167"/>
      <c r="D52" s="109"/>
      <c r="E52" s="102"/>
      <c r="F52" s="109"/>
      <c r="G52" s="109"/>
      <c r="H52" s="109"/>
      <c r="I52" s="109"/>
      <c r="J52" s="143"/>
      <c r="K52" s="143"/>
      <c r="L52" s="102"/>
      <c r="M52" s="1853"/>
    </row>
    <row r="53" spans="1:13" s="1777" customFormat="1" ht="58.6" customHeight="1">
      <c r="A53" s="738">
        <v>49</v>
      </c>
      <c r="B53" s="102"/>
      <c r="C53" s="1167"/>
      <c r="D53" s="109"/>
      <c r="E53" s="102"/>
      <c r="F53" s="109"/>
      <c r="G53" s="109"/>
      <c r="H53" s="109"/>
      <c r="I53" s="109"/>
      <c r="J53" s="143"/>
      <c r="K53" s="143"/>
      <c r="L53" s="102"/>
      <c r="M53" s="1853"/>
    </row>
    <row r="54" spans="1:13" s="1777" customFormat="1" ht="58.6" customHeight="1">
      <c r="A54" s="738">
        <v>50</v>
      </c>
      <c r="B54" s="102"/>
      <c r="C54" s="1167"/>
      <c r="D54" s="109"/>
      <c r="E54" s="102"/>
      <c r="F54" s="109"/>
      <c r="G54" s="109"/>
      <c r="H54" s="109"/>
      <c r="I54" s="109"/>
      <c r="J54" s="143"/>
      <c r="K54" s="143"/>
      <c r="L54" s="102"/>
      <c r="M54" s="1853"/>
    </row>
    <row r="55" spans="1:13" s="1777" customFormat="1" ht="58.6" customHeight="1">
      <c r="A55" s="738"/>
      <c r="B55" s="102"/>
      <c r="C55" s="1167"/>
      <c r="D55" s="109"/>
      <c r="E55" s="102"/>
      <c r="F55" s="109"/>
      <c r="G55" s="109"/>
      <c r="H55" s="109"/>
      <c r="I55" s="109"/>
      <c r="J55" s="143"/>
      <c r="K55" s="143"/>
      <c r="L55" s="102"/>
      <c r="M55" s="1853"/>
    </row>
    <row r="56" spans="1:13" s="1777" customFormat="1" ht="58.6" customHeight="1">
      <c r="A56" s="738"/>
      <c r="B56" s="102"/>
      <c r="C56" s="1167"/>
      <c r="D56" s="109"/>
      <c r="E56" s="102"/>
      <c r="F56" s="109"/>
      <c r="G56" s="109"/>
      <c r="H56" s="109"/>
      <c r="I56" s="109"/>
      <c r="J56" s="143"/>
      <c r="K56" s="143"/>
      <c r="L56" s="102"/>
      <c r="M56" s="1853"/>
    </row>
    <row r="57" spans="1:13" s="1777" customFormat="1" ht="58.6" customHeight="1">
      <c r="A57" s="738"/>
      <c r="B57" s="102"/>
      <c r="C57" s="1167"/>
      <c r="D57" s="109"/>
      <c r="E57" s="102"/>
      <c r="F57" s="109"/>
      <c r="G57" s="109"/>
      <c r="H57" s="109"/>
      <c r="I57" s="109"/>
      <c r="J57" s="143"/>
      <c r="K57" s="143"/>
      <c r="L57" s="102"/>
      <c r="M57" s="1853"/>
    </row>
    <row r="58" spans="1:13" s="1777" customFormat="1" ht="58.6" customHeight="1">
      <c r="A58" s="738"/>
      <c r="B58" s="102"/>
      <c r="C58" s="1167"/>
      <c r="D58" s="109"/>
      <c r="E58" s="102"/>
      <c r="F58" s="109"/>
      <c r="G58" s="109"/>
      <c r="H58" s="109"/>
      <c r="I58" s="109"/>
      <c r="J58" s="143"/>
      <c r="K58" s="143"/>
      <c r="L58" s="102"/>
      <c r="M58" s="1853"/>
    </row>
    <row r="59" spans="1:13" s="1777" customFormat="1" ht="58.6" customHeight="1">
      <c r="A59" s="738"/>
      <c r="B59" s="102"/>
      <c r="C59" s="1167"/>
      <c r="D59" s="109"/>
      <c r="E59" s="102"/>
      <c r="F59" s="109"/>
      <c r="G59" s="109"/>
      <c r="H59" s="109"/>
      <c r="I59" s="109"/>
      <c r="J59" s="143"/>
      <c r="K59" s="143"/>
      <c r="L59" s="102"/>
      <c r="M59" s="1853"/>
    </row>
    <row r="60" spans="1:13" s="1777" customFormat="1" ht="58.6"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7" priority="1076"/>
  </conditionalFormatting>
  <conditionalFormatting sqref="A4">
    <cfRule type="duplicateValues" dxfId="406" priority="2"/>
  </conditionalFormatting>
  <conditionalFormatting sqref="B4">
    <cfRule type="duplicateValues" dxfId="405" priority="3"/>
    <cfRule type="duplicateValues" dxfId="404" priority="4"/>
    <cfRule type="duplicateValues" dxfId="403"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topRight"/>
      <selection pane="bottomLeft"/>
      <selection pane="bottomRight"/>
    </sheetView>
  </sheetViews>
  <sheetFormatPr defaultColWidth="25.625" defaultRowHeight="58.6" customHeight="1"/>
  <cols>
    <col min="1" max="1" width="8.375" style="359" customWidth="1"/>
    <col min="2" max="2" width="33.75" style="1" customWidth="1"/>
    <col min="3" max="3" width="15.875" style="1138" customWidth="1"/>
    <col min="4" max="4" width="22.25" style="271" customWidth="1"/>
    <col min="5" max="5" width="21.375" style="1" customWidth="1"/>
    <col min="6" max="6" width="22.25" style="271" customWidth="1"/>
    <col min="7" max="7" width="20.75" style="271" customWidth="1"/>
    <col min="8" max="8" width="16.375" style="1" customWidth="1"/>
    <col min="9" max="9" width="29.375" style="1" customWidth="1"/>
    <col min="10" max="10" width="118.1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6" customHeight="1">
      <c r="B1" s="10"/>
      <c r="C1" s="3671"/>
      <c r="D1" s="3671"/>
      <c r="E1" s="3671"/>
      <c r="F1" s="3671"/>
      <c r="G1" s="3671"/>
      <c r="H1" s="3671"/>
      <c r="I1" s="3671"/>
      <c r="J1" s="3671"/>
      <c r="K1" s="3671"/>
      <c r="M1" s="1487"/>
    </row>
    <row r="2" spans="1:14" ht="59.3" customHeight="1">
      <c r="A2" s="3672" t="s">
        <v>4954</v>
      </c>
      <c r="B2" s="3672"/>
      <c r="C2" s="3672"/>
      <c r="D2" s="3672"/>
      <c r="E2" s="3672"/>
      <c r="F2" s="3672"/>
      <c r="G2" s="3672"/>
      <c r="H2" s="3672"/>
      <c r="I2" s="3672"/>
      <c r="J2" s="3672"/>
      <c r="K2" s="3672"/>
      <c r="L2" s="3672"/>
      <c r="M2" s="3672"/>
      <c r="N2" s="287"/>
    </row>
    <row r="3" spans="1:14" s="1725" customFormat="1" ht="52.5" customHeight="1">
      <c r="A3" s="1813"/>
      <c r="B3" s="3749"/>
      <c r="C3" s="3750"/>
      <c r="D3" s="3750"/>
      <c r="E3" s="3750"/>
      <c r="F3" s="3750"/>
      <c r="G3" s="3750"/>
      <c r="H3" s="3750"/>
      <c r="I3" s="3750"/>
      <c r="J3" s="3750"/>
      <c r="K3" s="3750"/>
      <c r="L3" s="3750"/>
      <c r="M3" s="3751"/>
      <c r="N3" s="1724"/>
    </row>
    <row r="4" spans="1:14" ht="30.1" customHeight="1">
      <c r="A4" s="3767"/>
      <c r="B4" s="3767"/>
      <c r="C4" s="1814">
        <f>SUM(C6:C35)</f>
        <v>280180</v>
      </c>
      <c r="D4" s="1815"/>
      <c r="E4" s="1816"/>
      <c r="F4" s="1815"/>
      <c r="G4" s="1815"/>
      <c r="H4" s="1815"/>
      <c r="I4" s="1815"/>
      <c r="J4" s="1816">
        <f ca="1">TODAY()</f>
        <v>45988</v>
      </c>
      <c r="K4" s="143"/>
      <c r="L4" s="1816"/>
      <c r="M4" s="1816"/>
      <c r="N4" s="218"/>
    </row>
    <row r="5" spans="1:14" s="1535" customFormat="1" ht="46.55" customHeight="1">
      <c r="A5" s="1817" t="s">
        <v>48</v>
      </c>
      <c r="B5" s="1818" t="s">
        <v>49</v>
      </c>
      <c r="C5" s="1819" t="s">
        <v>50</v>
      </c>
      <c r="D5" s="1818" t="s">
        <v>51</v>
      </c>
      <c r="E5" s="1818" t="s">
        <v>52</v>
      </c>
      <c r="F5" s="1818" t="s">
        <v>53</v>
      </c>
      <c r="G5" s="1818" t="s">
        <v>262</v>
      </c>
      <c r="H5" s="1818" t="s">
        <v>55</v>
      </c>
      <c r="I5" s="1818" t="s">
        <v>56</v>
      </c>
      <c r="J5" s="1818" t="s">
        <v>57</v>
      </c>
      <c r="K5" s="1818" t="s">
        <v>58</v>
      </c>
      <c r="L5" s="1818" t="s">
        <v>59</v>
      </c>
      <c r="M5" s="1818" t="s">
        <v>60</v>
      </c>
      <c r="N5" s="1820" t="e">
        <f>SUM(#REF!)</f>
        <v>#REF!</v>
      </c>
    </row>
    <row r="6" spans="1:14" s="1467" customFormat="1" ht="71.349999999999994" customHeight="1">
      <c r="A6" s="1542" cm="1">
        <f t="array" ref="A6:A45">_xlfn.SEQUENCE(40,1,1)</f>
        <v>1</v>
      </c>
      <c r="B6" s="1493" t="s">
        <v>4660</v>
      </c>
      <c r="C6" s="1494">
        <v>13000</v>
      </c>
      <c r="D6" s="1766" t="s">
        <v>4955</v>
      </c>
      <c r="E6" s="1493" t="s">
        <v>88</v>
      </c>
      <c r="F6" s="1780" t="s">
        <v>4956</v>
      </c>
      <c r="G6" s="1495" t="s">
        <v>64</v>
      </c>
      <c r="H6" s="1493" t="s">
        <v>65</v>
      </c>
      <c r="I6" s="1493" t="s">
        <v>66</v>
      </c>
      <c r="J6" s="1600" t="s">
        <v>4957</v>
      </c>
      <c r="K6" s="1547"/>
      <c r="L6" s="1493"/>
      <c r="M6" s="1547"/>
      <c r="N6" s="1548"/>
    </row>
    <row r="7" spans="1:14" s="1467" customFormat="1" ht="58.6" customHeight="1">
      <c r="A7" s="1542">
        <v>2</v>
      </c>
      <c r="B7" s="1493" t="s">
        <v>2956</v>
      </c>
      <c r="C7" s="1494">
        <v>3100</v>
      </c>
      <c r="D7" s="1766" t="s">
        <v>4958</v>
      </c>
      <c r="E7" s="1493" t="s">
        <v>24</v>
      </c>
      <c r="F7" s="1780" t="s">
        <v>4959</v>
      </c>
      <c r="G7" s="1495" t="s">
        <v>64</v>
      </c>
      <c r="H7" s="1493" t="s">
        <v>65</v>
      </c>
      <c r="I7" s="1493" t="s">
        <v>66</v>
      </c>
      <c r="J7" s="1600" t="s">
        <v>4960</v>
      </c>
      <c r="K7" s="1547"/>
      <c r="L7" s="1493"/>
      <c r="M7" s="1547"/>
      <c r="N7" s="1548"/>
    </row>
    <row r="8" spans="1:14" s="1467" customFormat="1" ht="85.6" customHeight="1">
      <c r="A8" s="1542">
        <v>3</v>
      </c>
      <c r="B8" s="1493" t="s">
        <v>2962</v>
      </c>
      <c r="C8" s="1494">
        <v>6000</v>
      </c>
      <c r="D8" s="1766" t="s">
        <v>4958</v>
      </c>
      <c r="E8" s="1493" t="s">
        <v>88</v>
      </c>
      <c r="F8" s="1780" t="s">
        <v>4961</v>
      </c>
      <c r="G8" s="1495" t="s">
        <v>64</v>
      </c>
      <c r="H8" s="1493" t="s">
        <v>65</v>
      </c>
      <c r="I8" s="1493" t="s">
        <v>213</v>
      </c>
      <c r="J8" s="1600" t="s">
        <v>4962</v>
      </c>
      <c r="K8" s="1547"/>
      <c r="L8" s="1493"/>
      <c r="M8" s="1547"/>
      <c r="N8" s="1548"/>
    </row>
    <row r="9" spans="1:14" s="1474" customFormat="1" ht="83.25" customHeight="1">
      <c r="A9" s="1493">
        <v>4</v>
      </c>
      <c r="B9" s="1493" t="s">
        <v>114</v>
      </c>
      <c r="C9" s="1494">
        <v>3720</v>
      </c>
      <c r="D9" s="1766" t="s">
        <v>2992</v>
      </c>
      <c r="E9" s="1493" t="s">
        <v>26</v>
      </c>
      <c r="F9" s="1493" t="s">
        <v>4963</v>
      </c>
      <c r="G9" s="1493" t="s">
        <v>64</v>
      </c>
      <c r="H9" s="1493" t="s">
        <v>65</v>
      </c>
      <c r="I9" s="1493" t="s">
        <v>142</v>
      </c>
      <c r="J9" s="1600" t="s">
        <v>4964</v>
      </c>
      <c r="K9" s="1493"/>
      <c r="L9" s="1493"/>
      <c r="M9" s="1493"/>
      <c r="N9" s="1493"/>
    </row>
    <row r="10" spans="1:14" s="1467" customFormat="1" ht="91.55" customHeight="1">
      <c r="A10" s="1542">
        <v>5</v>
      </c>
      <c r="B10" s="1493" t="s">
        <v>2953</v>
      </c>
      <c r="C10" s="1494">
        <v>4000</v>
      </c>
      <c r="D10" s="1766" t="s">
        <v>2992</v>
      </c>
      <c r="E10" s="1493" t="s">
        <v>18</v>
      </c>
      <c r="F10" s="1780" t="s">
        <v>4965</v>
      </c>
      <c r="G10" s="1495" t="s">
        <v>4966</v>
      </c>
      <c r="H10" s="1493" t="s">
        <v>65</v>
      </c>
      <c r="I10" s="1493" t="s">
        <v>78</v>
      </c>
      <c r="J10" s="1496" t="s">
        <v>4967</v>
      </c>
      <c r="K10" s="1547"/>
      <c r="L10" s="1493"/>
      <c r="M10" s="1547"/>
      <c r="N10" s="1548"/>
    </row>
    <row r="11" spans="1:14" s="1785" customFormat="1" ht="58.6" customHeight="1">
      <c r="A11" s="1781">
        <v>6</v>
      </c>
      <c r="B11" s="1782" t="s">
        <v>4968</v>
      </c>
      <c r="C11" s="1783">
        <v>35000</v>
      </c>
      <c r="D11" s="1780" t="s">
        <v>4969</v>
      </c>
      <c r="E11" s="1782" t="s">
        <v>2301</v>
      </c>
      <c r="F11" s="1780" t="s">
        <v>4970</v>
      </c>
      <c r="G11" s="1780" t="s">
        <v>64</v>
      </c>
      <c r="H11" s="1782" t="s">
        <v>65</v>
      </c>
      <c r="I11" s="1780" t="s">
        <v>3405</v>
      </c>
      <c r="J11" s="1496" t="s">
        <v>4971</v>
      </c>
      <c r="K11" s="1784" t="s">
        <v>4972</v>
      </c>
      <c r="L11" s="1782"/>
      <c r="M11" s="1784"/>
      <c r="N11" s="1821"/>
    </row>
    <row r="12" spans="1:14" s="1467" customFormat="1" ht="105.8" customHeight="1">
      <c r="A12" s="1542">
        <v>7</v>
      </c>
      <c r="B12" s="1493" t="s">
        <v>3390</v>
      </c>
      <c r="C12" s="1494">
        <v>10000</v>
      </c>
      <c r="D12" s="1495" t="s">
        <v>4973</v>
      </c>
      <c r="E12" s="1493" t="s">
        <v>4974</v>
      </c>
      <c r="F12" s="1786" t="s">
        <v>4975</v>
      </c>
      <c r="G12" s="1495" t="s">
        <v>4966</v>
      </c>
      <c r="H12" s="1493" t="s">
        <v>65</v>
      </c>
      <c r="I12" s="1493" t="s">
        <v>3392</v>
      </c>
      <c r="J12" s="1600" t="s">
        <v>4976</v>
      </c>
      <c r="K12" s="1547" t="s">
        <v>4977</v>
      </c>
      <c r="L12" s="1493"/>
      <c r="M12" s="1547"/>
      <c r="N12" s="1548"/>
    </row>
    <row r="13" spans="1:14" s="1467" customFormat="1" ht="100.55" customHeight="1">
      <c r="A13" s="1542">
        <v>8</v>
      </c>
      <c r="B13" s="1787" t="s">
        <v>103</v>
      </c>
      <c r="C13" s="1494">
        <v>3000</v>
      </c>
      <c r="D13" s="1787" t="s">
        <v>2992</v>
      </c>
      <c r="E13" s="1787" t="s">
        <v>22</v>
      </c>
      <c r="F13" s="1787" t="s">
        <v>4978</v>
      </c>
      <c r="G13" s="1495" t="s">
        <v>64</v>
      </c>
      <c r="H13" s="1787" t="s">
        <v>65</v>
      </c>
      <c r="I13" s="1787" t="s">
        <v>164</v>
      </c>
      <c r="J13" s="1788" t="s">
        <v>4979</v>
      </c>
      <c r="K13" s="1547"/>
      <c r="L13" s="1493"/>
      <c r="M13" s="1547"/>
      <c r="N13" s="1548"/>
    </row>
    <row r="14" spans="1:14" s="1493" customFormat="1" ht="72.7" customHeight="1">
      <c r="A14" s="1493">
        <v>9</v>
      </c>
      <c r="B14" s="1493" t="s">
        <v>4980</v>
      </c>
      <c r="C14" s="1494">
        <v>7000</v>
      </c>
      <c r="D14" s="1789">
        <v>45116</v>
      </c>
      <c r="E14" s="1493" t="s">
        <v>4981</v>
      </c>
      <c r="F14" s="1493" t="s">
        <v>4982</v>
      </c>
      <c r="G14" s="1493" t="s">
        <v>64</v>
      </c>
      <c r="H14" s="1493" t="s">
        <v>65</v>
      </c>
      <c r="I14" s="1493" t="s">
        <v>3883</v>
      </c>
      <c r="J14" s="1600" t="s">
        <v>4983</v>
      </c>
      <c r="K14" s="1790" t="s">
        <v>4984</v>
      </c>
    </row>
    <row r="15" spans="1:14" s="1467" customFormat="1" ht="116.35" customHeight="1">
      <c r="A15" s="1542">
        <v>10</v>
      </c>
      <c r="B15" s="1493" t="s">
        <v>2962</v>
      </c>
      <c r="C15" s="1494">
        <v>6000</v>
      </c>
      <c r="D15" s="1766" t="s">
        <v>4985</v>
      </c>
      <c r="E15" s="1493" t="s">
        <v>88</v>
      </c>
      <c r="F15" s="1495" t="s">
        <v>4986</v>
      </c>
      <c r="G15" s="1495" t="s">
        <v>64</v>
      </c>
      <c r="H15" s="1493" t="s">
        <v>65</v>
      </c>
      <c r="I15" s="1493" t="s">
        <v>213</v>
      </c>
      <c r="J15" s="1600" t="s">
        <v>4987</v>
      </c>
      <c r="K15" s="1547"/>
      <c r="L15" s="1493"/>
      <c r="M15" s="1547"/>
      <c r="N15" s="1548"/>
    </row>
    <row r="16" spans="1:14" s="1777" customFormat="1" ht="84.1" customHeight="1">
      <c r="A16" s="1493">
        <v>11</v>
      </c>
      <c r="B16" s="1808" t="s">
        <v>158</v>
      </c>
      <c r="C16" s="1766">
        <v>3950</v>
      </c>
      <c r="D16" s="1493" t="s">
        <v>4988</v>
      </c>
      <c r="E16" s="1495" t="s">
        <v>22</v>
      </c>
      <c r="F16" s="1495" t="s">
        <v>4989</v>
      </c>
      <c r="G16" s="1493" t="s">
        <v>4990</v>
      </c>
      <c r="H16" s="1494" t="s">
        <v>65</v>
      </c>
      <c r="I16" s="1766" t="s">
        <v>213</v>
      </c>
      <c r="J16" s="1600" t="s">
        <v>4991</v>
      </c>
      <c r="K16" s="1495"/>
      <c r="L16" s="1495"/>
      <c r="M16" s="1493"/>
      <c r="N16" s="1494"/>
    </row>
    <row r="17" spans="1:14" s="1467" customFormat="1" ht="108" customHeight="1">
      <c r="A17" s="1542">
        <v>12</v>
      </c>
      <c r="B17" s="1493" t="s">
        <v>2956</v>
      </c>
      <c r="C17" s="1494">
        <v>3300</v>
      </c>
      <c r="D17" s="1766" t="s">
        <v>4992</v>
      </c>
      <c r="E17" s="1493" t="s">
        <v>20</v>
      </c>
      <c r="F17" s="1495" t="s">
        <v>4993</v>
      </c>
      <c r="G17" s="1495" t="s">
        <v>64</v>
      </c>
      <c r="H17" s="1493" t="s">
        <v>65</v>
      </c>
      <c r="I17" s="1493" t="s">
        <v>164</v>
      </c>
      <c r="J17" s="1600" t="s">
        <v>4994</v>
      </c>
      <c r="K17" s="1547"/>
      <c r="L17" s="1493"/>
      <c r="M17" s="1547"/>
      <c r="N17" s="1548"/>
    </row>
    <row r="18" spans="1:14" s="1548" customFormat="1" ht="84.1" customHeight="1">
      <c r="A18" s="1542">
        <v>13</v>
      </c>
      <c r="B18" s="1493" t="s">
        <v>129</v>
      </c>
      <c r="C18" s="1494">
        <v>3080</v>
      </c>
      <c r="D18" s="1766" t="s">
        <v>4995</v>
      </c>
      <c r="E18" s="1493" t="s">
        <v>24</v>
      </c>
      <c r="F18" s="1495" t="s">
        <v>4996</v>
      </c>
      <c r="G18" s="1495" t="s">
        <v>64</v>
      </c>
      <c r="H18" s="1493" t="s">
        <v>65</v>
      </c>
      <c r="I18" s="1493" t="s">
        <v>213</v>
      </c>
      <c r="J18" s="1496" t="s">
        <v>4997</v>
      </c>
      <c r="K18" s="1547"/>
      <c r="L18" s="1493"/>
      <c r="M18" s="1547"/>
    </row>
    <row r="19" spans="1:14" s="1467" customFormat="1" ht="138.1" customHeight="1">
      <c r="A19" s="1542">
        <v>14</v>
      </c>
      <c r="B19" s="1495" t="s">
        <v>4998</v>
      </c>
      <c r="C19" s="1494">
        <v>10000</v>
      </c>
      <c r="D19" s="1495" t="s">
        <v>4999</v>
      </c>
      <c r="E19" s="1493" t="s">
        <v>38</v>
      </c>
      <c r="F19" s="1786" t="s">
        <v>5000</v>
      </c>
      <c r="G19" s="1495" t="s">
        <v>64</v>
      </c>
      <c r="H19" s="1493" t="s">
        <v>65</v>
      </c>
      <c r="I19" s="1495" t="s">
        <v>3405</v>
      </c>
      <c r="J19" s="1600" t="s">
        <v>5001</v>
      </c>
      <c r="K19" s="1547" t="s">
        <v>5002</v>
      </c>
      <c r="L19" s="1493"/>
      <c r="M19" s="1547"/>
      <c r="N19" s="1548"/>
    </row>
    <row r="20" spans="1:14" s="1467" customFormat="1" ht="287.35000000000002" customHeight="1">
      <c r="A20" s="1542">
        <v>15</v>
      </c>
      <c r="B20" s="1493" t="s">
        <v>5003</v>
      </c>
      <c r="C20" s="1494">
        <f>7450+1500</f>
        <v>8950</v>
      </c>
      <c r="D20" s="1495" t="s">
        <v>5004</v>
      </c>
      <c r="E20" s="1493" t="s">
        <v>2301</v>
      </c>
      <c r="F20" s="1786" t="s">
        <v>5005</v>
      </c>
      <c r="G20" s="1495" t="s">
        <v>64</v>
      </c>
      <c r="H20" s="1493" t="s">
        <v>65</v>
      </c>
      <c r="I20" s="1495" t="s">
        <v>5006</v>
      </c>
      <c r="J20" s="1600" t="s">
        <v>5007</v>
      </c>
      <c r="K20" s="1547" t="s">
        <v>5008</v>
      </c>
      <c r="L20" s="1493"/>
      <c r="M20" s="1547"/>
      <c r="N20" s="1548"/>
    </row>
    <row r="21" spans="1:14" s="1467" customFormat="1" ht="108" customHeight="1">
      <c r="A21" s="1542">
        <v>16</v>
      </c>
      <c r="B21" s="1493" t="s">
        <v>5009</v>
      </c>
      <c r="C21" s="1494">
        <v>20000</v>
      </c>
      <c r="D21" s="1624">
        <v>45206</v>
      </c>
      <c r="E21" s="1493" t="s">
        <v>4981</v>
      </c>
      <c r="F21" s="1495" t="s">
        <v>5010</v>
      </c>
      <c r="G21" s="1495" t="s">
        <v>5011</v>
      </c>
      <c r="H21" s="1493" t="s">
        <v>65</v>
      </c>
      <c r="I21" s="1493" t="s">
        <v>3883</v>
      </c>
      <c r="J21" s="1600" t="s">
        <v>5012</v>
      </c>
      <c r="K21" s="1809" t="s">
        <v>5013</v>
      </c>
      <c r="L21" s="1493"/>
      <c r="M21" s="1547"/>
      <c r="N21" s="1548"/>
    </row>
    <row r="22" spans="1:14" s="1467" customFormat="1" ht="72.7" customHeight="1">
      <c r="A22" s="1542">
        <v>17</v>
      </c>
      <c r="B22" s="1493" t="s">
        <v>5014</v>
      </c>
      <c r="C22" s="1494">
        <v>12000</v>
      </c>
      <c r="D22" s="1787">
        <v>45121</v>
      </c>
      <c r="E22" s="1493" t="s">
        <v>38</v>
      </c>
      <c r="F22" s="1786" t="s">
        <v>5015</v>
      </c>
      <c r="G22" s="1495" t="s">
        <v>5011</v>
      </c>
      <c r="H22" s="1493" t="s">
        <v>65</v>
      </c>
      <c r="I22" s="1493" t="s">
        <v>3883</v>
      </c>
      <c r="J22" s="1600" t="s">
        <v>5016</v>
      </c>
      <c r="K22" s="1748" t="s">
        <v>5017</v>
      </c>
      <c r="L22" s="1493"/>
      <c r="M22" s="1547"/>
      <c r="N22" s="1548"/>
    </row>
    <row r="23" spans="1:14" s="1548" customFormat="1" ht="103.6" customHeight="1">
      <c r="A23" s="1542">
        <v>18</v>
      </c>
      <c r="B23" s="1493" t="s">
        <v>153</v>
      </c>
      <c r="C23" s="1494">
        <v>11600</v>
      </c>
      <c r="D23" s="1766" t="s">
        <v>5018</v>
      </c>
      <c r="E23" s="1493" t="s">
        <v>24</v>
      </c>
      <c r="F23" s="1493" t="s">
        <v>5019</v>
      </c>
      <c r="G23" s="1495" t="s">
        <v>2986</v>
      </c>
      <c r="H23" s="1493" t="s">
        <v>65</v>
      </c>
      <c r="I23" s="1548" t="s">
        <v>78</v>
      </c>
      <c r="J23" s="1600" t="s">
        <v>5020</v>
      </c>
      <c r="K23" s="1547" t="s">
        <v>166</v>
      </c>
      <c r="L23" s="1493"/>
      <c r="M23" s="1547"/>
    </row>
    <row r="24" spans="1:14" s="1548" customFormat="1" ht="159.80000000000001" customHeight="1">
      <c r="A24" s="1542">
        <v>19</v>
      </c>
      <c r="B24" s="1493" t="s">
        <v>134</v>
      </c>
      <c r="C24" s="1494">
        <v>2950</v>
      </c>
      <c r="D24" s="1766" t="s">
        <v>5021</v>
      </c>
      <c r="E24" s="1493" t="s">
        <v>22</v>
      </c>
      <c r="F24" s="1495" t="s">
        <v>5022</v>
      </c>
      <c r="G24" s="1493" t="s">
        <v>64</v>
      </c>
      <c r="H24" s="1493" t="s">
        <v>65</v>
      </c>
      <c r="I24" s="1493" t="s">
        <v>213</v>
      </c>
      <c r="J24" s="1496" t="s">
        <v>5023</v>
      </c>
      <c r="K24" s="1547"/>
      <c r="L24" s="1493"/>
      <c r="M24" s="1547"/>
    </row>
    <row r="25" spans="1:14" s="1548" customFormat="1" ht="93.1" customHeight="1">
      <c r="A25" s="1542">
        <v>20</v>
      </c>
      <c r="B25" s="1493" t="s">
        <v>125</v>
      </c>
      <c r="C25" s="1494">
        <v>4250</v>
      </c>
      <c r="D25" s="1766" t="s">
        <v>5024</v>
      </c>
      <c r="E25" s="1493" t="s">
        <v>22</v>
      </c>
      <c r="F25" s="1495" t="s">
        <v>5025</v>
      </c>
      <c r="G25" s="1493" t="s">
        <v>64</v>
      </c>
      <c r="H25" s="1493" t="s">
        <v>65</v>
      </c>
      <c r="I25" s="1495" t="s">
        <v>95</v>
      </c>
      <c r="J25" s="1600" t="s">
        <v>5026</v>
      </c>
      <c r="K25" s="1547"/>
      <c r="L25" s="1493"/>
      <c r="M25" s="1547"/>
    </row>
    <row r="26" spans="1:14" s="1548" customFormat="1" ht="149.94999999999999" customHeight="1">
      <c r="A26" s="1542">
        <v>21</v>
      </c>
      <c r="B26" s="1493" t="s">
        <v>5027</v>
      </c>
      <c r="C26" s="1494">
        <v>4425</v>
      </c>
      <c r="D26" s="1812" t="s">
        <v>5028</v>
      </c>
      <c r="E26" s="1493" t="s">
        <v>2301</v>
      </c>
      <c r="F26" s="1493" t="s">
        <v>5029</v>
      </c>
      <c r="G26" s="1493" t="s">
        <v>64</v>
      </c>
      <c r="H26" s="1493" t="s">
        <v>65</v>
      </c>
      <c r="I26" s="1495" t="s">
        <v>5030</v>
      </c>
      <c r="J26" s="1844" t="s">
        <v>5031</v>
      </c>
      <c r="K26" s="1547" t="s">
        <v>5032</v>
      </c>
      <c r="L26" s="1493"/>
      <c r="M26" s="1547"/>
    </row>
    <row r="27" spans="1:14" s="1548" customFormat="1" ht="296.35000000000002" customHeight="1">
      <c r="A27" s="1542">
        <v>22</v>
      </c>
      <c r="B27" s="1790" t="s">
        <v>3514</v>
      </c>
      <c r="C27" s="1494">
        <v>6405</v>
      </c>
      <c r="D27" s="1812" t="s">
        <v>5033</v>
      </c>
      <c r="E27" s="1493" t="s">
        <v>2301</v>
      </c>
      <c r="F27" s="1495" t="s">
        <v>5034</v>
      </c>
      <c r="G27" s="1493" t="s">
        <v>64</v>
      </c>
      <c r="H27" s="1493" t="s">
        <v>65</v>
      </c>
      <c r="I27" s="1493" t="s">
        <v>3552</v>
      </c>
      <c r="J27" s="1600" t="s">
        <v>5035</v>
      </c>
      <c r="K27" s="1600" t="s">
        <v>5036</v>
      </c>
      <c r="L27" s="1493"/>
      <c r="M27" s="1547"/>
    </row>
    <row r="28" spans="1:14" s="1548" customFormat="1" ht="117" customHeight="1">
      <c r="A28" s="1542">
        <v>23</v>
      </c>
      <c r="B28" s="1493" t="s">
        <v>5037</v>
      </c>
      <c r="C28" s="1494">
        <v>35000</v>
      </c>
      <c r="D28" s="1495" t="s">
        <v>5038</v>
      </c>
      <c r="E28" s="1493" t="s">
        <v>2301</v>
      </c>
      <c r="F28" s="1786" t="s">
        <v>5039</v>
      </c>
      <c r="G28" s="1493" t="s">
        <v>267</v>
      </c>
      <c r="H28" s="1493" t="s">
        <v>65</v>
      </c>
      <c r="I28" s="1495" t="s">
        <v>3405</v>
      </c>
      <c r="J28" s="1600" t="s">
        <v>5040</v>
      </c>
      <c r="K28" s="1600" t="s">
        <v>5041</v>
      </c>
      <c r="L28" s="1493"/>
      <c r="M28" s="1547"/>
    </row>
    <row r="29" spans="1:14" s="1785" customFormat="1" ht="191.25" customHeight="1">
      <c r="A29" s="1781">
        <v>24</v>
      </c>
      <c r="B29" s="1782" t="s">
        <v>5042</v>
      </c>
      <c r="C29" s="1783">
        <v>14000</v>
      </c>
      <c r="D29" s="1780" t="s">
        <v>5043</v>
      </c>
      <c r="E29" s="1782" t="s">
        <v>4974</v>
      </c>
      <c r="F29" s="1824" t="s">
        <v>5044</v>
      </c>
      <c r="G29" s="1780" t="s">
        <v>267</v>
      </c>
      <c r="H29" s="1782" t="s">
        <v>65</v>
      </c>
      <c r="I29" s="1780" t="s">
        <v>5045</v>
      </c>
      <c r="J29" s="1496" t="s">
        <v>5046</v>
      </c>
      <c r="K29" s="1784" t="s">
        <v>5047</v>
      </c>
      <c r="L29" s="1782"/>
      <c r="M29" s="1784"/>
      <c r="N29" s="1821"/>
    </row>
    <row r="30" spans="1:14" s="1548" customFormat="1" ht="99.7" customHeight="1">
      <c r="A30" s="1542">
        <v>25</v>
      </c>
      <c r="B30" s="1493" t="s">
        <v>2953</v>
      </c>
      <c r="C30" s="1494">
        <v>4000</v>
      </c>
      <c r="D30" s="1495" t="s">
        <v>5048</v>
      </c>
      <c r="E30" s="1493" t="s">
        <v>22</v>
      </c>
      <c r="F30" s="1748" t="s">
        <v>5049</v>
      </c>
      <c r="G30" s="1495" t="s">
        <v>5050</v>
      </c>
      <c r="H30" s="1493" t="s">
        <v>65</v>
      </c>
      <c r="I30" s="1493" t="s">
        <v>95</v>
      </c>
      <c r="J30" s="1600" t="s">
        <v>5051</v>
      </c>
      <c r="K30" s="1547"/>
      <c r="L30" s="1493"/>
      <c r="M30" s="1547"/>
    </row>
    <row r="31" spans="1:14" s="1548" customFormat="1" ht="129.75" customHeight="1">
      <c r="A31" s="1542">
        <v>26</v>
      </c>
      <c r="B31" s="1493" t="s">
        <v>3658</v>
      </c>
      <c r="C31" s="1494">
        <v>11000</v>
      </c>
      <c r="D31" s="1495" t="s">
        <v>354</v>
      </c>
      <c r="E31" s="1493" t="s">
        <v>88</v>
      </c>
      <c r="F31" s="1495" t="s">
        <v>5052</v>
      </c>
      <c r="G31" s="1495" t="s">
        <v>5053</v>
      </c>
      <c r="H31" s="1493" t="s">
        <v>65</v>
      </c>
      <c r="I31" s="1493" t="s">
        <v>78</v>
      </c>
      <c r="J31" s="1496" t="s">
        <v>5054</v>
      </c>
      <c r="K31" s="1825" t="s">
        <v>5055</v>
      </c>
      <c r="L31" s="1493"/>
      <c r="M31" s="1547"/>
    </row>
    <row r="32" spans="1:14" s="1548" customFormat="1" ht="69.8" customHeight="1">
      <c r="A32" s="1542">
        <v>27</v>
      </c>
      <c r="B32" s="1493" t="s">
        <v>5056</v>
      </c>
      <c r="C32" s="1494">
        <v>10000</v>
      </c>
      <c r="D32" s="1495" t="s">
        <v>5057</v>
      </c>
      <c r="E32" s="1493" t="s">
        <v>349</v>
      </c>
      <c r="F32" s="1786" t="s">
        <v>5058</v>
      </c>
      <c r="G32" s="1495" t="s">
        <v>292</v>
      </c>
      <c r="H32" s="1493" t="s">
        <v>65</v>
      </c>
      <c r="I32" s="1495" t="s">
        <v>219</v>
      </c>
      <c r="J32" s="1600" t="s">
        <v>5059</v>
      </c>
      <c r="K32" s="1547"/>
      <c r="L32" s="1493"/>
      <c r="M32" s="1547"/>
    </row>
    <row r="33" spans="1:14" s="1548" customFormat="1" ht="177.8" customHeight="1">
      <c r="A33" s="1542">
        <v>28</v>
      </c>
      <c r="B33" s="1495" t="s">
        <v>5060</v>
      </c>
      <c r="C33" s="1494">
        <v>10000</v>
      </c>
      <c r="D33" s="1495" t="s">
        <v>5043</v>
      </c>
      <c r="E33" s="1493" t="s">
        <v>38</v>
      </c>
      <c r="F33" s="1786" t="s">
        <v>5061</v>
      </c>
      <c r="G33" s="1495" t="s">
        <v>394</v>
      </c>
      <c r="H33" s="1493" t="s">
        <v>65</v>
      </c>
      <c r="I33" s="1495" t="s">
        <v>5062</v>
      </c>
      <c r="J33" s="1600" t="s">
        <v>5063</v>
      </c>
      <c r="K33" s="1600" t="s">
        <v>5064</v>
      </c>
      <c r="L33" s="1493"/>
      <c r="M33" s="1547"/>
    </row>
    <row r="34" spans="1:14" s="1821" customFormat="1" ht="87.8" customHeight="1">
      <c r="A34" s="1781">
        <v>29</v>
      </c>
      <c r="B34" s="1782" t="s">
        <v>134</v>
      </c>
      <c r="C34" s="1783">
        <v>2950</v>
      </c>
      <c r="D34" s="1780" t="s">
        <v>5065</v>
      </c>
      <c r="E34" s="1782" t="s">
        <v>20</v>
      </c>
      <c r="F34" s="1780" t="s">
        <v>5066</v>
      </c>
      <c r="G34" s="1780" t="s">
        <v>5053</v>
      </c>
      <c r="H34" s="1782" t="s">
        <v>65</v>
      </c>
      <c r="I34" s="1782" t="s">
        <v>164</v>
      </c>
      <c r="J34" s="1784" t="s">
        <v>5067</v>
      </c>
      <c r="K34" s="1784"/>
      <c r="L34" s="1782"/>
      <c r="M34" s="1784"/>
    </row>
    <row r="35" spans="1:14" s="1548" customFormat="1" ht="143.35" customHeight="1">
      <c r="A35" s="1542">
        <v>30</v>
      </c>
      <c r="B35" s="1493" t="s">
        <v>153</v>
      </c>
      <c r="C35" s="1494">
        <v>11500</v>
      </c>
      <c r="D35" s="1495" t="s">
        <v>354</v>
      </c>
      <c r="E35" s="1493" t="s">
        <v>22</v>
      </c>
      <c r="F35" s="1495" t="s">
        <v>5068</v>
      </c>
      <c r="G35" s="1748" t="s">
        <v>267</v>
      </c>
      <c r="H35" s="1493" t="s">
        <v>65</v>
      </c>
      <c r="I35" s="1493" t="s">
        <v>95</v>
      </c>
      <c r="J35" s="1600" t="s">
        <v>5069</v>
      </c>
      <c r="K35" s="1547" t="s">
        <v>166</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6" customHeight="1">
      <c r="A37" s="738">
        <v>32</v>
      </c>
      <c r="B37" s="102"/>
      <c r="C37" s="1167"/>
      <c r="D37" s="109"/>
      <c r="E37" s="102"/>
      <c r="F37" s="109"/>
      <c r="G37" s="109"/>
      <c r="H37" s="102"/>
      <c r="I37" s="102"/>
      <c r="J37" s="143"/>
      <c r="K37" s="143"/>
      <c r="L37" s="102"/>
      <c r="M37" s="143"/>
    </row>
    <row r="38" spans="1:14" s="1796" customFormat="1" ht="58.6" customHeight="1">
      <c r="A38" s="1791">
        <v>33</v>
      </c>
      <c r="B38" s="1792" t="s">
        <v>4838</v>
      </c>
      <c r="C38" s="1793"/>
      <c r="D38" s="1794" t="s">
        <v>5070</v>
      </c>
      <c r="E38" s="1792" t="s">
        <v>5071</v>
      </c>
      <c r="F38" s="1794"/>
      <c r="G38" s="1794" t="s">
        <v>716</v>
      </c>
      <c r="H38" s="1792" t="s">
        <v>65</v>
      </c>
      <c r="I38" s="1792" t="s">
        <v>5072</v>
      </c>
      <c r="J38" s="1795" t="s">
        <v>5073</v>
      </c>
      <c r="K38" s="1795"/>
      <c r="L38" s="1792"/>
      <c r="M38" s="1795"/>
      <c r="N38" s="1822"/>
    </row>
    <row r="39" spans="1:14" s="1806" customFormat="1" ht="58.6" customHeight="1">
      <c r="A39" s="1797">
        <v>34</v>
      </c>
      <c r="B39" s="1798"/>
      <c r="C39" s="1799"/>
      <c r="D39" s="1800">
        <v>45145</v>
      </c>
      <c r="E39" s="1801" t="s">
        <v>38</v>
      </c>
      <c r="F39" s="1802"/>
      <c r="G39" s="1802" t="s">
        <v>716</v>
      </c>
      <c r="H39" s="1801" t="s">
        <v>65</v>
      </c>
      <c r="I39" s="1801" t="s">
        <v>3883</v>
      </c>
      <c r="J39" s="1803" t="s">
        <v>5074</v>
      </c>
      <c r="K39" s="1804" t="s">
        <v>5075</v>
      </c>
      <c r="L39" s="1801"/>
      <c r="M39" s="1805"/>
      <c r="N39" s="1823"/>
    </row>
    <row r="40" spans="1:14" s="1796" customFormat="1" ht="58.6" customHeight="1">
      <c r="A40" s="1791">
        <v>35</v>
      </c>
      <c r="B40" s="1792" t="s">
        <v>181</v>
      </c>
      <c r="C40" s="1793"/>
      <c r="D40" s="1794"/>
      <c r="E40" s="1792"/>
      <c r="F40" s="1794"/>
      <c r="G40" s="1794" t="s">
        <v>716</v>
      </c>
      <c r="H40" s="1792"/>
      <c r="I40" s="1792"/>
      <c r="J40" s="1795"/>
      <c r="K40" s="1795"/>
      <c r="L40" s="1792"/>
      <c r="M40" s="1795"/>
      <c r="N40" s="1822"/>
    </row>
    <row r="41" spans="1:14" ht="58.6" customHeight="1">
      <c r="A41" s="738">
        <v>36</v>
      </c>
      <c r="B41" s="102"/>
      <c r="C41" s="1167"/>
      <c r="D41" s="109"/>
      <c r="E41" s="102"/>
      <c r="F41" s="109"/>
      <c r="G41" s="109"/>
      <c r="H41" s="102"/>
      <c r="I41" s="102"/>
      <c r="J41" s="143"/>
      <c r="K41" s="143"/>
      <c r="L41" s="102"/>
      <c r="M41" s="143"/>
      <c r="N41" s="1777"/>
    </row>
    <row r="42" spans="1:14" ht="58.6" customHeight="1">
      <c r="A42" s="738">
        <v>37</v>
      </c>
      <c r="B42" s="102"/>
      <c r="C42" s="1167"/>
      <c r="D42" s="109"/>
      <c r="E42" s="102"/>
      <c r="F42" s="109"/>
      <c r="G42" s="109"/>
      <c r="H42" s="102"/>
      <c r="I42" s="102"/>
      <c r="J42" s="143"/>
      <c r="K42" s="143"/>
      <c r="L42" s="102"/>
      <c r="M42" s="143"/>
      <c r="N42" s="1777"/>
    </row>
    <row r="43" spans="1:14" ht="58.6" customHeight="1">
      <c r="A43" s="738">
        <v>38</v>
      </c>
      <c r="B43" s="102"/>
      <c r="C43" s="1167"/>
      <c r="D43" s="109"/>
      <c r="E43" s="102"/>
      <c r="F43" s="109"/>
      <c r="G43" s="109"/>
      <c r="H43" s="102"/>
      <c r="I43" s="102"/>
      <c r="J43" s="143"/>
      <c r="K43" s="143"/>
      <c r="L43" s="102"/>
      <c r="M43" s="143"/>
      <c r="N43" s="1777"/>
    </row>
    <row r="44" spans="1:14" ht="58.6" customHeight="1">
      <c r="A44" s="738">
        <v>39</v>
      </c>
      <c r="B44" s="102"/>
      <c r="C44" s="1167"/>
      <c r="D44" s="109"/>
      <c r="E44" s="102"/>
      <c r="F44" s="109"/>
      <c r="G44" s="109"/>
      <c r="H44" s="102"/>
      <c r="I44" s="102"/>
      <c r="J44" s="143"/>
      <c r="K44" s="143"/>
      <c r="L44" s="102"/>
      <c r="M44" s="143"/>
      <c r="N44" s="1777"/>
    </row>
    <row r="45" spans="1:14" ht="58.6" customHeight="1">
      <c r="A45" s="359">
        <v>40</v>
      </c>
    </row>
  </sheetData>
  <autoFilter ref="A5:P39" xr:uid="{00000000-0009-0000-0000-000001000000}"/>
  <mergeCells count="4">
    <mergeCell ref="C1:K1"/>
    <mergeCell ref="A2:M2"/>
    <mergeCell ref="B3:M3"/>
    <mergeCell ref="A4:B4"/>
  </mergeCells>
  <conditionalFormatting sqref="A1:A4">
    <cfRule type="duplicateValues" dxfId="402" priority="5"/>
  </conditionalFormatting>
  <conditionalFormatting sqref="A5">
    <cfRule type="duplicateValues" dxfId="401" priority="4"/>
  </conditionalFormatting>
  <conditionalFormatting sqref="B5">
    <cfRule type="duplicateValues" dxfId="400" priority="1"/>
    <cfRule type="duplicateValues" dxfId="399" priority="2"/>
    <cfRule type="duplicateValues" dxfId="398"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375" style="9" customWidth="1"/>
    <col min="12" max="12" width="17.25" style="1" customWidth="1"/>
    <col min="13" max="13" width="18.75" style="763" customWidth="1"/>
    <col min="14" max="16384" width="32.125" style="3"/>
  </cols>
  <sheetData>
    <row r="1" spans="1:14" ht="58.6" customHeight="1">
      <c r="B1" s="10"/>
      <c r="C1" s="3671"/>
      <c r="D1" s="3671"/>
      <c r="E1" s="3671"/>
      <c r="F1" s="3671"/>
      <c r="G1" s="3671"/>
      <c r="H1" s="3671"/>
      <c r="I1" s="3671"/>
      <c r="J1" s="3671"/>
      <c r="K1" s="3671"/>
      <c r="M1" s="1848"/>
    </row>
    <row r="2" spans="1:14" ht="39.75" customHeight="1">
      <c r="A2" s="3672" t="s">
        <v>5076</v>
      </c>
      <c r="B2" s="3672"/>
      <c r="C2" s="3672"/>
      <c r="D2" s="3672"/>
      <c r="E2" s="3672"/>
      <c r="F2" s="3672"/>
      <c r="G2" s="3672"/>
      <c r="H2" s="3672"/>
      <c r="I2" s="3672"/>
      <c r="J2" s="3672"/>
      <c r="K2" s="3672"/>
      <c r="L2" s="3672"/>
      <c r="M2" s="3672"/>
      <c r="N2" s="287"/>
    </row>
    <row r="3" spans="1:14" s="1725" customFormat="1" ht="45" customHeight="1">
      <c r="A3" s="1723"/>
      <c r="B3" s="3673"/>
      <c r="C3" s="3674"/>
      <c r="D3" s="3674"/>
      <c r="E3" s="3674"/>
      <c r="F3" s="3674"/>
      <c r="G3" s="3674"/>
      <c r="H3" s="3674"/>
      <c r="I3" s="3674"/>
      <c r="J3" s="3674"/>
      <c r="K3" s="3674"/>
      <c r="L3" s="3674"/>
      <c r="M3" s="3675"/>
      <c r="N3" s="1724"/>
    </row>
    <row r="4" spans="1:14" ht="30.1" customHeight="1">
      <c r="A4" s="3676"/>
      <c r="B4" s="3676"/>
      <c r="C4" s="1810">
        <f>SUBTOTAL(9,C6:C39)</f>
        <v>265750</v>
      </c>
      <c r="D4" s="1503"/>
      <c r="E4" s="1504"/>
      <c r="F4" s="1503"/>
      <c r="G4" s="1503"/>
      <c r="H4" s="1503"/>
      <c r="I4" s="1503"/>
      <c r="J4" s="1504">
        <f ca="1">TODAY()</f>
        <v>45988</v>
      </c>
      <c r="L4" s="1504"/>
      <c r="M4" s="1849"/>
      <c r="N4" s="287"/>
    </row>
    <row r="5" spans="1:14" s="1535" customFormat="1" ht="36" customHeight="1">
      <c r="A5" s="361" t="s">
        <v>48</v>
      </c>
      <c r="B5" s="679" t="s">
        <v>49</v>
      </c>
      <c r="C5" s="1811" t="s">
        <v>50</v>
      </c>
      <c r="D5" s="204" t="s">
        <v>51</v>
      </c>
      <c r="E5" s="204" t="s">
        <v>52</v>
      </c>
      <c r="F5" s="204" t="s">
        <v>53</v>
      </c>
      <c r="G5" s="204" t="s">
        <v>54</v>
      </c>
      <c r="H5" s="204" t="s">
        <v>55</v>
      </c>
      <c r="I5" s="204" t="s">
        <v>56</v>
      </c>
      <c r="J5" s="204" t="s">
        <v>57</v>
      </c>
      <c r="K5" s="204" t="s">
        <v>58</v>
      </c>
      <c r="L5" s="204" t="s">
        <v>59</v>
      </c>
      <c r="M5" s="1858" t="s">
        <v>60</v>
      </c>
      <c r="N5" s="1534" t="e">
        <f>SUM(#REF!)</f>
        <v>#REF!</v>
      </c>
    </row>
    <row r="6" spans="1:14" s="1559" customFormat="1" ht="137.25" customHeight="1">
      <c r="A6" s="1553" cm="1">
        <f t="array" ref="A6:A55">_xlfn.SEQUENCE(50,1,1)</f>
        <v>1</v>
      </c>
      <c r="B6" s="1545" t="s">
        <v>3156</v>
      </c>
      <c r="C6" s="1827">
        <v>10000</v>
      </c>
      <c r="D6" s="1543" t="s">
        <v>5077</v>
      </c>
      <c r="E6" s="1545" t="s">
        <v>88</v>
      </c>
      <c r="F6" s="1543" t="s">
        <v>5078</v>
      </c>
      <c r="G6" s="1543" t="s">
        <v>64</v>
      </c>
      <c r="H6" s="1545" t="s">
        <v>65</v>
      </c>
      <c r="I6" s="1545" t="s">
        <v>213</v>
      </c>
      <c r="J6" s="1605" t="s">
        <v>5079</v>
      </c>
      <c r="K6" s="1828"/>
      <c r="L6" s="1545"/>
      <c r="M6" s="1852" t="s">
        <v>4732</v>
      </c>
    </row>
    <row r="7" spans="1:14" s="1548" customFormat="1" ht="71.349999999999994" customHeight="1">
      <c r="A7" s="1667">
        <v>2</v>
      </c>
      <c r="B7" s="1493" t="s">
        <v>5080</v>
      </c>
      <c r="C7" s="1826">
        <f>120+2420+3000</f>
        <v>5540</v>
      </c>
      <c r="D7" s="1495" t="s">
        <v>5081</v>
      </c>
      <c r="E7" s="1493" t="s">
        <v>82</v>
      </c>
      <c r="F7" s="1495" t="s">
        <v>5082</v>
      </c>
      <c r="G7" s="1543" t="s">
        <v>64</v>
      </c>
      <c r="H7" s="1493" t="s">
        <v>65</v>
      </c>
      <c r="I7" s="1493" t="s">
        <v>5083</v>
      </c>
      <c r="J7" s="1600" t="s">
        <v>5084</v>
      </c>
      <c r="K7" s="1771" t="s">
        <v>5085</v>
      </c>
      <c r="L7" s="1493"/>
      <c r="M7" s="1790"/>
    </row>
    <row r="8" spans="1:14" s="1548" customFormat="1" ht="116.35" customHeight="1">
      <c r="A8" s="1542">
        <v>3</v>
      </c>
      <c r="B8" s="1493" t="s">
        <v>103</v>
      </c>
      <c r="C8" s="1870">
        <v>3240</v>
      </c>
      <c r="D8" s="1495" t="s">
        <v>5086</v>
      </c>
      <c r="E8" s="1493" t="s">
        <v>24</v>
      </c>
      <c r="F8" s="1767" t="s">
        <v>5087</v>
      </c>
      <c r="G8" s="1543" t="s">
        <v>64</v>
      </c>
      <c r="H8" s="1493" t="s">
        <v>65</v>
      </c>
      <c r="I8" s="1493" t="s">
        <v>5088</v>
      </c>
      <c r="J8" s="1496" t="s">
        <v>5089</v>
      </c>
      <c r="K8" s="1547"/>
      <c r="L8" s="1493"/>
      <c r="M8" s="1790" t="s">
        <v>4732</v>
      </c>
    </row>
    <row r="9" spans="1:14" s="1548" customFormat="1" ht="165.1">
      <c r="A9" s="1542">
        <v>4</v>
      </c>
      <c r="B9" s="1545" t="s">
        <v>186</v>
      </c>
      <c r="C9" s="1827">
        <v>13000</v>
      </c>
      <c r="D9" s="1543" t="s">
        <v>5090</v>
      </c>
      <c r="E9" s="1545" t="s">
        <v>24</v>
      </c>
      <c r="F9" s="1874" t="s">
        <v>5091</v>
      </c>
      <c r="G9" s="1543" t="s">
        <v>64</v>
      </c>
      <c r="H9" s="1545" t="s">
        <v>65</v>
      </c>
      <c r="I9" s="1545" t="s">
        <v>213</v>
      </c>
      <c r="J9" s="1600" t="s">
        <v>5092</v>
      </c>
      <c r="K9" s="1547" t="s">
        <v>5093</v>
      </c>
      <c r="L9" s="1493"/>
      <c r="M9" s="1790"/>
    </row>
    <row r="10" spans="1:14" s="1548" customFormat="1" ht="128.4">
      <c r="A10" s="1667">
        <v>5</v>
      </c>
      <c r="B10" s="1790" t="s">
        <v>5094</v>
      </c>
      <c r="C10" s="1826">
        <v>11900</v>
      </c>
      <c r="D10" s="1495" t="s">
        <v>5095</v>
      </c>
      <c r="E10" s="1493" t="s">
        <v>38</v>
      </c>
      <c r="F10" s="1495" t="s">
        <v>5096</v>
      </c>
      <c r="G10" s="1495" t="s">
        <v>64</v>
      </c>
      <c r="H10" s="1493" t="s">
        <v>65</v>
      </c>
      <c r="I10" s="1493" t="s">
        <v>2990</v>
      </c>
      <c r="J10" s="1873" t="s">
        <v>5097</v>
      </c>
      <c r="K10" s="1547"/>
      <c r="L10" s="1493"/>
      <c r="M10" s="1790"/>
    </row>
    <row r="11" spans="1:14" s="1548" customFormat="1" ht="63" customHeight="1">
      <c r="A11" s="1542">
        <v>6</v>
      </c>
      <c r="B11" s="1867" t="s">
        <v>3534</v>
      </c>
      <c r="C11" s="1868">
        <v>9000</v>
      </c>
      <c r="D11" s="1851" t="s">
        <v>5098</v>
      </c>
      <c r="E11" s="1869" t="s">
        <v>18</v>
      </c>
      <c r="F11" s="1872" t="s">
        <v>5099</v>
      </c>
      <c r="G11" s="1875" t="s">
        <v>64</v>
      </c>
      <c r="H11" s="1871" t="s">
        <v>65</v>
      </c>
      <c r="I11" s="1630" t="s">
        <v>106</v>
      </c>
      <c r="J11" s="1497" t="s">
        <v>5100</v>
      </c>
      <c r="K11" s="1547"/>
      <c r="L11" s="1493"/>
      <c r="M11" s="1790" t="s">
        <v>4732</v>
      </c>
    </row>
    <row r="12" spans="1:14" s="1548" customFormat="1" ht="63" customHeight="1">
      <c r="A12" s="1542">
        <v>7</v>
      </c>
      <c r="B12" s="1493" t="s">
        <v>198</v>
      </c>
      <c r="C12" s="1870">
        <v>3240</v>
      </c>
      <c r="D12" s="1495" t="s">
        <v>5101</v>
      </c>
      <c r="E12" s="1493" t="s">
        <v>24</v>
      </c>
      <c r="F12" s="1495" t="s">
        <v>5102</v>
      </c>
      <c r="G12" s="1543" t="s">
        <v>64</v>
      </c>
      <c r="H12" s="1493" t="s">
        <v>65</v>
      </c>
      <c r="I12" s="1493" t="s">
        <v>164</v>
      </c>
      <c r="J12" s="1600" t="s">
        <v>5103</v>
      </c>
      <c r="K12" s="1547"/>
      <c r="L12" s="1493"/>
      <c r="M12" s="1790" t="s">
        <v>4732</v>
      </c>
    </row>
    <row r="13" spans="1:14" s="1548" customFormat="1" ht="99.7" customHeight="1">
      <c r="A13" s="1542">
        <v>8</v>
      </c>
      <c r="B13" s="1493" t="s">
        <v>134</v>
      </c>
      <c r="C13" s="1826">
        <v>2950</v>
      </c>
      <c r="D13" s="1495" t="s">
        <v>5104</v>
      </c>
      <c r="E13" s="1493" t="s">
        <v>22</v>
      </c>
      <c r="F13" s="1767" t="s">
        <v>5105</v>
      </c>
      <c r="G13" s="1543" t="s">
        <v>64</v>
      </c>
      <c r="H13" s="1493" t="s">
        <v>65</v>
      </c>
      <c r="I13" s="1493" t="s">
        <v>213</v>
      </c>
      <c r="J13" s="1600" t="s">
        <v>5106</v>
      </c>
      <c r="K13" s="1547"/>
      <c r="L13" s="1493"/>
      <c r="M13" s="1790" t="s">
        <v>4732</v>
      </c>
    </row>
    <row r="14" spans="1:14" s="1548" customFormat="1" ht="81" customHeight="1">
      <c r="A14" s="1542">
        <v>9</v>
      </c>
      <c r="B14" s="1493" t="s">
        <v>114</v>
      </c>
      <c r="C14" s="1826">
        <v>3700</v>
      </c>
      <c r="D14" s="1495" t="s">
        <v>5107</v>
      </c>
      <c r="E14" s="1493" t="s">
        <v>18</v>
      </c>
      <c r="F14" s="1495" t="s">
        <v>5108</v>
      </c>
      <c r="G14" s="1543" t="s">
        <v>64</v>
      </c>
      <c r="H14" s="1493" t="s">
        <v>65</v>
      </c>
      <c r="I14" s="1495" t="s">
        <v>5109</v>
      </c>
      <c r="J14" s="1600" t="s">
        <v>5110</v>
      </c>
      <c r="K14" s="1547" t="s">
        <v>5111</v>
      </c>
      <c r="L14" s="1493"/>
      <c r="M14" s="1790" t="s">
        <v>4732</v>
      </c>
    </row>
    <row r="15" spans="1:14" s="1548" customFormat="1" ht="108.7" customHeight="1">
      <c r="A15" s="1542">
        <v>10</v>
      </c>
      <c r="B15" s="1493" t="s">
        <v>258</v>
      </c>
      <c r="C15" s="1826">
        <v>4200</v>
      </c>
      <c r="D15" s="1495" t="s">
        <v>5112</v>
      </c>
      <c r="E15" s="1493" t="s">
        <v>88</v>
      </c>
      <c r="F15" s="1495" t="s">
        <v>5113</v>
      </c>
      <c r="G15" s="1543" t="s">
        <v>64</v>
      </c>
      <c r="H15" s="1493" t="s">
        <v>65</v>
      </c>
      <c r="I15" s="1493" t="s">
        <v>5114</v>
      </c>
      <c r="J15" s="1600" t="s">
        <v>5115</v>
      </c>
      <c r="K15" s="1547"/>
      <c r="L15" s="1493"/>
      <c r="M15" s="1790" t="s">
        <v>4732</v>
      </c>
    </row>
    <row r="16" spans="1:14" s="1548" customFormat="1" ht="255.1" customHeight="1">
      <c r="A16" s="1542">
        <v>11</v>
      </c>
      <c r="B16" s="1493" t="s">
        <v>5116</v>
      </c>
      <c r="C16" s="1826">
        <v>5950</v>
      </c>
      <c r="D16" s="1495" t="s">
        <v>5117</v>
      </c>
      <c r="E16" s="1493" t="s">
        <v>120</v>
      </c>
      <c r="F16" s="1495" t="s">
        <v>5118</v>
      </c>
      <c r="G16" s="1543" t="s">
        <v>64</v>
      </c>
      <c r="H16" s="1493" t="s">
        <v>65</v>
      </c>
      <c r="I16" s="1495" t="s">
        <v>5119</v>
      </c>
      <c r="J16" s="1600" t="s">
        <v>5120</v>
      </c>
      <c r="K16" s="1547"/>
      <c r="L16" s="1493"/>
      <c r="M16" s="1790"/>
    </row>
    <row r="17" spans="1:13" s="1548" customFormat="1" ht="96.8" customHeight="1">
      <c r="A17" s="1542">
        <v>12</v>
      </c>
      <c r="B17" s="1493" t="s">
        <v>158</v>
      </c>
      <c r="C17" s="1826">
        <v>4000</v>
      </c>
      <c r="D17" s="1495" t="s">
        <v>5121</v>
      </c>
      <c r="E17" s="1493" t="s">
        <v>22</v>
      </c>
      <c r="F17" s="1495" t="s">
        <v>5122</v>
      </c>
      <c r="G17" s="1543" t="s">
        <v>64</v>
      </c>
      <c r="H17" s="1493" t="s">
        <v>65</v>
      </c>
      <c r="I17" s="1495" t="s">
        <v>4619</v>
      </c>
      <c r="J17" s="1600" t="s">
        <v>5123</v>
      </c>
      <c r="K17" s="1547"/>
      <c r="L17" s="1493"/>
      <c r="M17" s="1790" t="s">
        <v>4732</v>
      </c>
    </row>
    <row r="18" spans="1:13" s="1548" customFormat="1" ht="65.25" customHeight="1">
      <c r="A18" s="1542">
        <v>13</v>
      </c>
      <c r="B18" s="1493" t="s">
        <v>2956</v>
      </c>
      <c r="C18" s="1826">
        <v>3300</v>
      </c>
      <c r="D18" s="1495" t="s">
        <v>5124</v>
      </c>
      <c r="E18" s="1493" t="s">
        <v>22</v>
      </c>
      <c r="F18" s="1495" t="s">
        <v>5125</v>
      </c>
      <c r="G18" s="1543" t="s">
        <v>64</v>
      </c>
      <c r="H18" s="1493" t="s">
        <v>65</v>
      </c>
      <c r="I18" s="1493" t="s">
        <v>213</v>
      </c>
      <c r="J18" s="1600" t="s">
        <v>5126</v>
      </c>
      <c r="K18" s="1547" t="s">
        <v>5127</v>
      </c>
      <c r="L18" s="1493"/>
      <c r="M18" s="1790" t="s">
        <v>4732</v>
      </c>
    </row>
    <row r="19" spans="1:13" s="1548" customFormat="1" ht="104.3" customHeight="1">
      <c r="A19" s="1542">
        <v>14</v>
      </c>
      <c r="B19" s="1493" t="s">
        <v>3895</v>
      </c>
      <c r="C19" s="1826">
        <v>3960</v>
      </c>
      <c r="D19" s="1495" t="s">
        <v>5128</v>
      </c>
      <c r="E19" s="1493" t="s">
        <v>26</v>
      </c>
      <c r="F19" s="1495" t="s">
        <v>5129</v>
      </c>
      <c r="G19" s="1543" t="s">
        <v>64</v>
      </c>
      <c r="H19" s="1493" t="s">
        <v>65</v>
      </c>
      <c r="I19" s="1493" t="s">
        <v>78</v>
      </c>
      <c r="J19" s="1600" t="s">
        <v>5130</v>
      </c>
      <c r="K19" s="1547"/>
      <c r="L19" s="1493"/>
      <c r="M19" s="1790" t="s">
        <v>4732</v>
      </c>
    </row>
    <row r="20" spans="1:13" s="1548" customFormat="1" ht="73.55" customHeight="1">
      <c r="A20" s="1542">
        <v>15</v>
      </c>
      <c r="B20" s="1493" t="s">
        <v>97</v>
      </c>
      <c r="C20" s="1826">
        <v>4700</v>
      </c>
      <c r="D20" s="1495" t="s">
        <v>5131</v>
      </c>
      <c r="E20" s="1493" t="s">
        <v>20</v>
      </c>
      <c r="F20" s="1495"/>
      <c r="G20" s="1543" t="s">
        <v>64</v>
      </c>
      <c r="H20" s="1493" t="s">
        <v>65</v>
      </c>
      <c r="I20" s="1493" t="s">
        <v>213</v>
      </c>
      <c r="J20" s="1600" t="s">
        <v>5132</v>
      </c>
      <c r="K20" s="1547"/>
      <c r="L20" s="1493"/>
      <c r="M20" s="1790" t="s">
        <v>4732</v>
      </c>
    </row>
    <row r="21" spans="1:13" s="1548" customFormat="1" ht="75.099999999999994" customHeight="1">
      <c r="A21" s="1542">
        <v>16</v>
      </c>
      <c r="B21" s="1493" t="s">
        <v>5133</v>
      </c>
      <c r="C21" s="1826">
        <f>22000+5000</f>
        <v>27000</v>
      </c>
      <c r="D21" s="1495" t="s">
        <v>5134</v>
      </c>
      <c r="E21" s="1493" t="s">
        <v>38</v>
      </c>
      <c r="F21" s="1495" t="s">
        <v>5135</v>
      </c>
      <c r="G21" s="1543" t="s">
        <v>64</v>
      </c>
      <c r="H21" s="1493" t="s">
        <v>65</v>
      </c>
      <c r="I21" s="1495" t="s">
        <v>5136</v>
      </c>
      <c r="J21" s="1600" t="s">
        <v>5137</v>
      </c>
      <c r="K21" s="1600" t="s">
        <v>5138</v>
      </c>
      <c r="L21" s="1493"/>
      <c r="M21" s="1790"/>
    </row>
    <row r="22" spans="1:13" s="1548" customFormat="1" ht="88.5" customHeight="1">
      <c r="A22" s="1542">
        <v>17</v>
      </c>
      <c r="B22" s="1493" t="s">
        <v>2962</v>
      </c>
      <c r="C22" s="1826">
        <v>6000</v>
      </c>
      <c r="D22" s="1495" t="s">
        <v>5139</v>
      </c>
      <c r="E22" s="1493" t="s">
        <v>18</v>
      </c>
      <c r="F22" s="1495" t="s">
        <v>5140</v>
      </c>
      <c r="G22" s="1495" t="s">
        <v>64</v>
      </c>
      <c r="H22" s="1493" t="s">
        <v>65</v>
      </c>
      <c r="I22" s="1493" t="s">
        <v>213</v>
      </c>
      <c r="J22" s="1600" t="s">
        <v>5141</v>
      </c>
      <c r="K22" s="1547"/>
      <c r="L22" s="1493"/>
      <c r="M22" s="1790"/>
    </row>
    <row r="23" spans="1:13" s="1548" customFormat="1" ht="67.599999999999994" customHeight="1">
      <c r="A23" s="1542">
        <v>18</v>
      </c>
      <c r="B23" s="1493" t="s">
        <v>3432</v>
      </c>
      <c r="C23" s="1826">
        <v>3300</v>
      </c>
      <c r="D23" s="1495" t="s">
        <v>5142</v>
      </c>
      <c r="E23" s="1493" t="s">
        <v>24</v>
      </c>
      <c r="F23" s="1495" t="s">
        <v>5143</v>
      </c>
      <c r="G23" s="1495" t="s">
        <v>64</v>
      </c>
      <c r="H23" s="1493" t="s">
        <v>65</v>
      </c>
      <c r="I23" s="1493" t="s">
        <v>142</v>
      </c>
      <c r="J23" s="1496" t="s">
        <v>5144</v>
      </c>
      <c r="K23" s="1547"/>
      <c r="L23" s="1493"/>
      <c r="M23" s="1790" t="s">
        <v>4732</v>
      </c>
    </row>
    <row r="24" spans="1:13" s="1548" customFormat="1" ht="62.35" customHeight="1">
      <c r="A24" s="1542">
        <v>19</v>
      </c>
      <c r="B24" s="1493" t="s">
        <v>4168</v>
      </c>
      <c r="C24" s="1826">
        <v>3300</v>
      </c>
      <c r="D24" s="1495" t="s">
        <v>5145</v>
      </c>
      <c r="E24" s="1493" t="s">
        <v>20</v>
      </c>
      <c r="F24" s="1495" t="s">
        <v>5146</v>
      </c>
      <c r="G24" s="1495" t="s">
        <v>64</v>
      </c>
      <c r="H24" s="1493" t="s">
        <v>65</v>
      </c>
      <c r="I24" s="1495" t="s">
        <v>213</v>
      </c>
      <c r="J24" s="1600" t="s">
        <v>5147</v>
      </c>
      <c r="K24" s="1547"/>
      <c r="L24" s="1493"/>
      <c r="M24" s="1790" t="s">
        <v>4732</v>
      </c>
    </row>
    <row r="25" spans="1:13" s="1548" customFormat="1" ht="58.6" customHeight="1">
      <c r="A25" s="1542">
        <v>20</v>
      </c>
      <c r="B25" s="1493" t="s">
        <v>5148</v>
      </c>
      <c r="C25" s="1826">
        <v>10500</v>
      </c>
      <c r="D25" s="1495" t="s">
        <v>5149</v>
      </c>
      <c r="E25" s="1493" t="s">
        <v>38</v>
      </c>
      <c r="F25" s="1495" t="s">
        <v>5150</v>
      </c>
      <c r="G25" s="1495" t="s">
        <v>64</v>
      </c>
      <c r="H25" s="1493" t="s">
        <v>65</v>
      </c>
      <c r="I25" s="1493" t="s">
        <v>3989</v>
      </c>
      <c r="J25" s="1600" t="s">
        <v>5151</v>
      </c>
      <c r="K25" s="1547"/>
      <c r="L25" s="1493"/>
      <c r="M25" s="1790"/>
    </row>
    <row r="26" spans="1:13" s="1548" customFormat="1" ht="125.35" customHeight="1">
      <c r="A26" s="1542">
        <v>21</v>
      </c>
      <c r="B26" s="1493" t="s">
        <v>134</v>
      </c>
      <c r="C26" s="1826">
        <v>2950</v>
      </c>
      <c r="D26" s="1495" t="s">
        <v>5152</v>
      </c>
      <c r="E26" s="1493" t="s">
        <v>22</v>
      </c>
      <c r="F26" s="1495" t="s">
        <v>792</v>
      </c>
      <c r="G26" s="1495" t="s">
        <v>64</v>
      </c>
      <c r="H26" s="1493" t="s">
        <v>65</v>
      </c>
      <c r="I26" s="1495" t="s">
        <v>66</v>
      </c>
      <c r="J26" s="1600" t="s">
        <v>5153</v>
      </c>
      <c r="K26" s="1600"/>
      <c r="L26" s="1493"/>
      <c r="M26" s="1790" t="s">
        <v>4732</v>
      </c>
    </row>
    <row r="27" spans="1:13" s="1548" customFormat="1" ht="58.6" customHeight="1">
      <c r="A27" s="1542">
        <v>22</v>
      </c>
      <c r="B27" s="1493" t="s">
        <v>125</v>
      </c>
      <c r="C27" s="1826">
        <v>4240</v>
      </c>
      <c r="D27" s="1495" t="s">
        <v>5152</v>
      </c>
      <c r="E27" s="1493" t="s">
        <v>22</v>
      </c>
      <c r="F27" s="1495"/>
      <c r="G27" s="1495" t="s">
        <v>64</v>
      </c>
      <c r="H27" s="1493" t="s">
        <v>65</v>
      </c>
      <c r="I27" s="1495" t="s">
        <v>66</v>
      </c>
      <c r="J27" s="1600" t="s">
        <v>5154</v>
      </c>
      <c r="K27" s="1600"/>
      <c r="L27" s="1493"/>
      <c r="M27" s="1790" t="s">
        <v>4732</v>
      </c>
    </row>
    <row r="28" spans="1:13" s="1548" customFormat="1" ht="84.75" customHeight="1">
      <c r="A28" s="1542">
        <v>23</v>
      </c>
      <c r="B28" s="1493" t="s">
        <v>2947</v>
      </c>
      <c r="C28" s="1826">
        <v>2300</v>
      </c>
      <c r="D28" s="1495" t="s">
        <v>5155</v>
      </c>
      <c r="E28" s="1493" t="s">
        <v>22</v>
      </c>
      <c r="F28" s="1495"/>
      <c r="G28" s="1495" t="s">
        <v>64</v>
      </c>
      <c r="H28" s="1493" t="s">
        <v>65</v>
      </c>
      <c r="I28" s="1493" t="s">
        <v>66</v>
      </c>
      <c r="J28" s="1600" t="s">
        <v>5156</v>
      </c>
      <c r="K28" s="1859"/>
      <c r="L28" s="1493"/>
      <c r="M28" s="1790" t="s">
        <v>4732</v>
      </c>
    </row>
    <row r="29" spans="1:13" s="1548" customFormat="1" ht="58.6" customHeight="1">
      <c r="A29" s="1542">
        <v>24</v>
      </c>
      <c r="B29" s="1493" t="s">
        <v>5157</v>
      </c>
      <c r="C29" s="1826">
        <v>35000</v>
      </c>
      <c r="D29" s="1495" t="s">
        <v>5158</v>
      </c>
      <c r="E29" s="1493" t="s">
        <v>39</v>
      </c>
      <c r="F29" s="1495" t="s">
        <v>5159</v>
      </c>
      <c r="G29" s="1495" t="s">
        <v>64</v>
      </c>
      <c r="H29" s="1493" t="s">
        <v>65</v>
      </c>
      <c r="I29" s="1495" t="s">
        <v>5160</v>
      </c>
      <c r="J29" s="1600" t="s">
        <v>5161</v>
      </c>
      <c r="K29" s="1600" t="s">
        <v>5162</v>
      </c>
      <c r="L29" s="1493"/>
      <c r="M29" s="1790"/>
    </row>
    <row r="30" spans="1:13" s="1548" customFormat="1" ht="86.3" customHeight="1">
      <c r="A30" s="1542">
        <v>25</v>
      </c>
      <c r="B30" s="1493" t="s">
        <v>186</v>
      </c>
      <c r="C30" s="1826">
        <v>13500</v>
      </c>
      <c r="D30" s="1495" t="s">
        <v>5163</v>
      </c>
      <c r="E30" s="1493" t="s">
        <v>18</v>
      </c>
      <c r="F30" s="1495" t="s">
        <v>5164</v>
      </c>
      <c r="G30" s="1495" t="s">
        <v>64</v>
      </c>
      <c r="H30" s="1493" t="s">
        <v>65</v>
      </c>
      <c r="I30" s="1493" t="s">
        <v>164</v>
      </c>
      <c r="J30" s="1600" t="s">
        <v>5165</v>
      </c>
      <c r="K30" s="1547"/>
      <c r="L30" s="1493"/>
      <c r="M30" s="1790" t="s">
        <v>4732</v>
      </c>
    </row>
    <row r="31" spans="1:13" s="1883" customFormat="1" ht="140.30000000000001" customHeight="1">
      <c r="A31" s="1850">
        <v>26</v>
      </c>
      <c r="B31" s="1630" t="s">
        <v>1584</v>
      </c>
      <c r="C31" s="1868">
        <v>14000</v>
      </c>
      <c r="D31" s="1851" t="s">
        <v>5166</v>
      </c>
      <c r="E31" s="1630" t="s">
        <v>18</v>
      </c>
      <c r="F31" s="1495" t="s">
        <v>5167</v>
      </c>
      <c r="G31" s="1495" t="s">
        <v>64</v>
      </c>
      <c r="H31" s="1630" t="s">
        <v>65</v>
      </c>
      <c r="I31" s="1630" t="s">
        <v>213</v>
      </c>
      <c r="J31" s="1628" t="s">
        <v>5168</v>
      </c>
      <c r="K31" s="1881"/>
      <c r="L31" s="1630"/>
      <c r="M31" s="1882" t="s">
        <v>4732</v>
      </c>
    </row>
    <row r="32" spans="1:13" s="1548" customFormat="1" ht="69.8" customHeight="1">
      <c r="A32" s="1542">
        <v>27</v>
      </c>
      <c r="B32" s="1493" t="s">
        <v>103</v>
      </c>
      <c r="C32" s="1826">
        <v>3240</v>
      </c>
      <c r="D32" s="1495" t="s">
        <v>5169</v>
      </c>
      <c r="E32" s="1493" t="s">
        <v>24</v>
      </c>
      <c r="F32" s="1495" t="s">
        <v>5170</v>
      </c>
      <c r="G32" s="1495" t="s">
        <v>64</v>
      </c>
      <c r="H32" s="1493" t="s">
        <v>65</v>
      </c>
      <c r="I32" s="1493" t="s">
        <v>106</v>
      </c>
      <c r="J32" s="1600" t="s">
        <v>5171</v>
      </c>
      <c r="K32" s="1600" t="s">
        <v>5172</v>
      </c>
      <c r="L32" s="1493"/>
      <c r="M32" s="1790" t="s">
        <v>4732</v>
      </c>
    </row>
    <row r="33" spans="1:13" s="1559" customFormat="1" ht="102.75" customHeight="1">
      <c r="A33" s="1553">
        <v>28</v>
      </c>
      <c r="B33" s="1545" t="s">
        <v>252</v>
      </c>
      <c r="C33" s="1827">
        <v>4000</v>
      </c>
      <c r="D33" s="1543" t="s">
        <v>5173</v>
      </c>
      <c r="E33" s="1545" t="s">
        <v>20</v>
      </c>
      <c r="F33" s="1495" t="s">
        <v>5174</v>
      </c>
      <c r="G33" s="1495" t="s">
        <v>64</v>
      </c>
      <c r="H33" s="1545" t="s">
        <v>65</v>
      </c>
      <c r="I33" s="1545" t="s">
        <v>78</v>
      </c>
      <c r="J33" s="1605" t="s">
        <v>5175</v>
      </c>
      <c r="K33" s="1605" t="s">
        <v>5172</v>
      </c>
      <c r="L33" s="1545"/>
      <c r="M33" s="1852" t="s">
        <v>4732</v>
      </c>
    </row>
    <row r="34" spans="1:13" s="1548" customFormat="1" ht="73.55" customHeight="1">
      <c r="A34" s="1542">
        <v>29</v>
      </c>
      <c r="B34" s="1493" t="s">
        <v>198</v>
      </c>
      <c r="C34" s="1826">
        <v>3240</v>
      </c>
      <c r="D34" s="1495" t="s">
        <v>5176</v>
      </c>
      <c r="E34" s="1493" t="s">
        <v>24</v>
      </c>
      <c r="F34" s="1495" t="s">
        <v>5177</v>
      </c>
      <c r="G34" s="1495" t="s">
        <v>64</v>
      </c>
      <c r="H34" s="1493" t="s">
        <v>65</v>
      </c>
      <c r="I34" s="1493" t="s">
        <v>434</v>
      </c>
      <c r="J34" s="1600" t="s">
        <v>5178</v>
      </c>
      <c r="K34" s="1547"/>
      <c r="L34" s="1493"/>
      <c r="M34" s="1790" t="s">
        <v>4732</v>
      </c>
    </row>
    <row r="35" spans="1:13" s="1548" customFormat="1" ht="117.7" customHeight="1">
      <c r="A35" s="1542">
        <v>30</v>
      </c>
      <c r="B35" s="1493" t="s">
        <v>5179</v>
      </c>
      <c r="C35" s="1826">
        <f>2000+15700</f>
        <v>17700</v>
      </c>
      <c r="D35" s="1495" t="s">
        <v>5180</v>
      </c>
      <c r="E35" s="1493" t="s">
        <v>120</v>
      </c>
      <c r="F35" s="1543" t="s">
        <v>5181</v>
      </c>
      <c r="G35" s="1495" t="s">
        <v>64</v>
      </c>
      <c r="H35" s="1493" t="s">
        <v>65</v>
      </c>
      <c r="I35" s="1493" t="s">
        <v>5182</v>
      </c>
      <c r="J35" s="1600" t="s">
        <v>5183</v>
      </c>
      <c r="K35" s="1547"/>
      <c r="L35" s="1493"/>
      <c r="M35" s="1493"/>
    </row>
    <row r="36" spans="1:13" s="1548" customFormat="1" ht="128.25" customHeight="1">
      <c r="A36" s="1542">
        <v>31</v>
      </c>
      <c r="B36" s="1495" t="s">
        <v>5184</v>
      </c>
      <c r="C36" s="1826">
        <v>11800</v>
      </c>
      <c r="D36" s="1495" t="s">
        <v>5185</v>
      </c>
      <c r="E36" s="1769" t="s">
        <v>38</v>
      </c>
      <c r="F36" s="1495" t="s">
        <v>5186</v>
      </c>
      <c r="G36" s="1884" t="s">
        <v>5187</v>
      </c>
      <c r="H36" s="1493" t="s">
        <v>65</v>
      </c>
      <c r="I36" s="1493" t="s">
        <v>5188</v>
      </c>
      <c r="J36" s="1600" t="s">
        <v>5189</v>
      </c>
      <c r="K36" s="1547" t="s">
        <v>5190</v>
      </c>
      <c r="L36" s="1493" t="s">
        <v>5191</v>
      </c>
      <c r="M36" s="1493"/>
    </row>
    <row r="37" spans="1:13" s="1548" customFormat="1" ht="63.7" customHeight="1">
      <c r="A37" s="1542">
        <v>32</v>
      </c>
      <c r="B37" s="1493" t="s">
        <v>114</v>
      </c>
      <c r="C37" s="1826">
        <v>3700</v>
      </c>
      <c r="D37" s="1495" t="s">
        <v>5192</v>
      </c>
      <c r="E37" s="1493" t="s">
        <v>18</v>
      </c>
      <c r="F37" s="1851" t="s">
        <v>5193</v>
      </c>
      <c r="G37" s="1884" t="s">
        <v>5187</v>
      </c>
      <c r="H37" s="1493" t="s">
        <v>65</v>
      </c>
      <c r="I37" s="1493" t="s">
        <v>5194</v>
      </c>
      <c r="J37" s="1496" t="s">
        <v>5195</v>
      </c>
      <c r="K37" s="1547"/>
      <c r="L37" s="1493"/>
      <c r="M37" s="1790" t="s">
        <v>4732</v>
      </c>
    </row>
    <row r="38" spans="1:13" s="1883" customFormat="1" ht="137.25" customHeight="1">
      <c r="A38" s="1850">
        <v>33</v>
      </c>
      <c r="B38" s="1630" t="s">
        <v>4195</v>
      </c>
      <c r="C38" s="1868">
        <v>7300</v>
      </c>
      <c r="D38" s="1851" t="s">
        <v>5196</v>
      </c>
      <c r="E38" s="1630" t="s">
        <v>24</v>
      </c>
      <c r="F38" s="1851" t="s">
        <v>5197</v>
      </c>
      <c r="G38" s="1884" t="s">
        <v>5187</v>
      </c>
      <c r="H38" s="1630" t="s">
        <v>65</v>
      </c>
      <c r="I38" s="1630" t="s">
        <v>213</v>
      </c>
      <c r="J38" s="1628" t="s">
        <v>5198</v>
      </c>
      <c r="K38" s="1881"/>
      <c r="L38" s="1630"/>
      <c r="M38" s="1882" t="s">
        <v>4732</v>
      </c>
    </row>
    <row r="39" spans="1:13" s="1883" customFormat="1" ht="71.349999999999994" customHeight="1">
      <c r="A39" s="1850">
        <v>34</v>
      </c>
      <c r="B39" s="1630" t="s">
        <v>158</v>
      </c>
      <c r="C39" s="1868">
        <v>4000</v>
      </c>
      <c r="D39" s="1851" t="s">
        <v>5199</v>
      </c>
      <c r="E39" s="1630" t="s">
        <v>20</v>
      </c>
      <c r="F39" s="1851" t="s">
        <v>5200</v>
      </c>
      <c r="G39" s="1884" t="s">
        <v>5187</v>
      </c>
      <c r="H39" s="1630" t="s">
        <v>65</v>
      </c>
      <c r="I39" s="1630" t="s">
        <v>213</v>
      </c>
      <c r="J39" s="1628" t="s">
        <v>5201</v>
      </c>
      <c r="K39" s="1881"/>
      <c r="L39" s="1630"/>
      <c r="M39" s="1882" t="s">
        <v>4732</v>
      </c>
    </row>
    <row r="40" spans="1:13" ht="58.6" customHeight="1">
      <c r="A40" s="359">
        <v>35</v>
      </c>
    </row>
    <row r="41" spans="1:13" s="1880" customFormat="1" ht="75.099999999999994"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6" customHeight="1">
      <c r="A43" s="738">
        <v>38</v>
      </c>
      <c r="B43" s="102"/>
      <c r="C43" s="1207"/>
      <c r="D43" s="109"/>
      <c r="E43" s="102"/>
      <c r="F43" s="109"/>
      <c r="G43" s="109"/>
      <c r="H43" s="102"/>
      <c r="I43" s="102"/>
      <c r="J43" s="143"/>
      <c r="K43" s="143"/>
      <c r="L43" s="102"/>
      <c r="M43" s="1853"/>
    </row>
    <row r="44" spans="1:13" s="1777" customFormat="1" ht="58.6" customHeight="1">
      <c r="A44" s="738">
        <v>39</v>
      </c>
      <c r="B44" s="102"/>
      <c r="C44" s="1207"/>
      <c r="D44" s="109"/>
      <c r="E44" s="102"/>
      <c r="F44" s="109"/>
      <c r="G44" s="109"/>
      <c r="H44" s="102"/>
      <c r="I44" s="102"/>
      <c r="J44" s="143"/>
      <c r="K44" s="143"/>
      <c r="L44" s="102"/>
      <c r="M44" s="1853"/>
    </row>
    <row r="45" spans="1:13" s="1777" customFormat="1" ht="58.6" customHeight="1">
      <c r="A45" s="738">
        <v>40</v>
      </c>
      <c r="B45" s="102"/>
      <c r="C45" s="1207"/>
      <c r="D45" s="109"/>
      <c r="E45" s="102"/>
      <c r="F45" s="109"/>
      <c r="G45" s="109"/>
      <c r="H45" s="102"/>
      <c r="I45" s="102"/>
      <c r="J45" s="143"/>
      <c r="K45" s="143"/>
      <c r="L45" s="102"/>
      <c r="M45" s="1853"/>
    </row>
    <row r="46" spans="1:13" s="1777" customFormat="1" ht="58.6" customHeight="1">
      <c r="A46" s="738">
        <v>41</v>
      </c>
      <c r="B46" s="102"/>
      <c r="C46" s="1207"/>
      <c r="D46" s="109"/>
      <c r="E46" s="102"/>
      <c r="F46" s="109"/>
      <c r="G46" s="109"/>
      <c r="H46" s="102"/>
      <c r="I46" s="102"/>
      <c r="J46" s="143"/>
      <c r="K46" s="143"/>
      <c r="L46" s="102"/>
      <c r="M46" s="1853"/>
    </row>
    <row r="47" spans="1:13" s="1777" customFormat="1" ht="58.6" customHeight="1">
      <c r="A47" s="738">
        <v>42</v>
      </c>
      <c r="B47" s="102"/>
      <c r="C47" s="1207"/>
      <c r="D47" s="109"/>
      <c r="E47" s="102"/>
      <c r="F47" s="109"/>
      <c r="G47" s="109"/>
      <c r="H47" s="102"/>
      <c r="I47" s="102"/>
      <c r="J47" s="143"/>
      <c r="K47" s="143"/>
      <c r="L47" s="102"/>
      <c r="M47" s="1853"/>
    </row>
    <row r="48" spans="1:13" s="1777" customFormat="1" ht="58.6" customHeight="1">
      <c r="A48" s="738">
        <v>43</v>
      </c>
      <c r="B48" s="102"/>
      <c r="C48" s="1207"/>
      <c r="D48" s="109"/>
      <c r="E48" s="102"/>
      <c r="F48" s="109"/>
      <c r="G48" s="109"/>
      <c r="H48" s="102"/>
      <c r="I48" s="102"/>
      <c r="J48" s="143"/>
      <c r="K48" s="143"/>
      <c r="L48" s="102"/>
      <c r="M48" s="1853"/>
    </row>
    <row r="49" spans="1:13" s="1777" customFormat="1" ht="58.6" customHeight="1">
      <c r="A49" s="738">
        <v>44</v>
      </c>
      <c r="B49" s="102"/>
      <c r="C49" s="1207"/>
      <c r="D49" s="109"/>
      <c r="E49" s="102"/>
      <c r="F49" s="109"/>
      <c r="G49" s="109"/>
      <c r="H49" s="102"/>
      <c r="I49" s="102"/>
      <c r="J49" s="143"/>
      <c r="K49" s="143"/>
      <c r="L49" s="102"/>
      <c r="M49" s="1853"/>
    </row>
    <row r="50" spans="1:13" s="1777" customFormat="1" ht="58.6" customHeight="1">
      <c r="A50" s="738">
        <v>45</v>
      </c>
      <c r="B50" s="102"/>
      <c r="C50" s="1207"/>
      <c r="D50" s="109"/>
      <c r="E50" s="102"/>
      <c r="F50" s="109"/>
      <c r="G50" s="109"/>
      <c r="H50" s="102"/>
      <c r="I50" s="102"/>
      <c r="J50" s="143"/>
      <c r="K50" s="143"/>
      <c r="L50" s="102"/>
      <c r="M50" s="1853"/>
    </row>
    <row r="51" spans="1:13" s="1777" customFormat="1" ht="58.6" customHeight="1">
      <c r="A51" s="738">
        <v>46</v>
      </c>
      <c r="B51" s="102"/>
      <c r="C51" s="1207"/>
      <c r="D51" s="109"/>
      <c r="E51" s="102"/>
      <c r="F51" s="109"/>
      <c r="G51" s="109"/>
      <c r="H51" s="102"/>
      <c r="I51" s="102"/>
      <c r="J51" s="143"/>
      <c r="K51" s="143"/>
      <c r="L51" s="102"/>
      <c r="M51" s="1853"/>
    </row>
    <row r="52" spans="1:13" s="1777" customFormat="1" ht="58.6" customHeight="1">
      <c r="A52" s="738">
        <v>47</v>
      </c>
      <c r="B52" s="102"/>
      <c r="C52" s="1207"/>
      <c r="D52" s="109"/>
      <c r="E52" s="102"/>
      <c r="F52" s="109"/>
      <c r="G52" s="109"/>
      <c r="H52" s="102"/>
      <c r="I52" s="102"/>
      <c r="J52" s="143"/>
      <c r="K52" s="143"/>
      <c r="L52" s="102"/>
      <c r="M52" s="1853"/>
    </row>
    <row r="53" spans="1:13" s="1777" customFormat="1" ht="58.6" customHeight="1">
      <c r="A53" s="738">
        <v>48</v>
      </c>
      <c r="B53" s="102"/>
      <c r="C53" s="1207"/>
      <c r="D53" s="109"/>
      <c r="E53" s="102"/>
      <c r="F53" s="109"/>
      <c r="G53" s="109"/>
      <c r="H53" s="102"/>
      <c r="I53" s="102"/>
      <c r="J53" s="143"/>
      <c r="K53" s="143"/>
      <c r="L53" s="102"/>
      <c r="M53" s="1853"/>
    </row>
    <row r="54" spans="1:13" s="1777" customFormat="1" ht="58.6" customHeight="1">
      <c r="A54" s="738">
        <v>49</v>
      </c>
      <c r="B54" s="102"/>
      <c r="C54" s="1207"/>
      <c r="D54" s="109"/>
      <c r="E54" s="102"/>
      <c r="F54" s="109"/>
      <c r="G54" s="109"/>
      <c r="H54" s="102"/>
      <c r="I54" s="102"/>
      <c r="J54" s="143"/>
      <c r="K54" s="143"/>
      <c r="L54" s="102"/>
      <c r="M54" s="1853"/>
    </row>
    <row r="55" spans="1:13" s="1777" customFormat="1" ht="58.6" customHeight="1">
      <c r="A55" s="738">
        <v>50</v>
      </c>
      <c r="B55" s="102"/>
      <c r="C55" s="1207"/>
      <c r="D55" s="109"/>
      <c r="E55" s="102"/>
      <c r="F55" s="109"/>
      <c r="G55" s="109"/>
      <c r="H55" s="102"/>
      <c r="I55" s="102"/>
      <c r="J55" s="143"/>
      <c r="K55" s="143"/>
      <c r="L55" s="102"/>
      <c r="M55" s="1853"/>
    </row>
    <row r="56" spans="1:13" s="1777" customFormat="1" ht="58.6" customHeight="1">
      <c r="A56" s="738"/>
      <c r="B56" s="102"/>
      <c r="C56" s="1207"/>
      <c r="D56" s="109"/>
      <c r="E56" s="102"/>
      <c r="F56" s="109"/>
      <c r="G56" s="109"/>
      <c r="H56" s="102"/>
      <c r="I56" s="102"/>
      <c r="J56" s="143"/>
      <c r="K56" s="143"/>
      <c r="L56" s="102"/>
      <c r="M56" s="1853"/>
    </row>
    <row r="57" spans="1:13" s="1777" customFormat="1" ht="58.6" customHeight="1">
      <c r="A57" s="738"/>
      <c r="B57" s="102"/>
      <c r="C57" s="1207"/>
      <c r="D57" s="109"/>
      <c r="E57" s="102"/>
      <c r="F57" s="109"/>
      <c r="G57" s="109"/>
      <c r="H57" s="102"/>
      <c r="I57" s="102"/>
      <c r="J57" s="143"/>
      <c r="K57" s="143"/>
      <c r="L57" s="102"/>
      <c r="M57" s="1853"/>
    </row>
    <row r="58" spans="1:13" s="1777" customFormat="1" ht="58.6" customHeight="1">
      <c r="A58" s="738"/>
      <c r="B58" s="102"/>
      <c r="C58" s="1207"/>
      <c r="D58" s="109"/>
      <c r="E58" s="102"/>
      <c r="F58" s="109"/>
      <c r="G58" s="109"/>
      <c r="H58" s="102"/>
      <c r="I58" s="102"/>
      <c r="J58" s="143"/>
      <c r="K58" s="143"/>
      <c r="L58" s="102"/>
      <c r="M58" s="1853"/>
    </row>
    <row r="59" spans="1:13" s="1777" customFormat="1" ht="58.6" customHeight="1">
      <c r="A59" s="738"/>
      <c r="B59" s="102"/>
      <c r="C59" s="1207"/>
      <c r="D59" s="109"/>
      <c r="E59" s="102"/>
      <c r="F59" s="109"/>
      <c r="G59" s="109"/>
      <c r="H59" s="102"/>
      <c r="I59" s="102"/>
      <c r="J59" s="143"/>
      <c r="K59" s="143"/>
      <c r="L59" s="102"/>
      <c r="M59" s="1853"/>
    </row>
    <row r="60" spans="1:13" s="1777" customFormat="1" ht="58.6" customHeight="1">
      <c r="A60" s="738"/>
      <c r="B60" s="102"/>
      <c r="C60" s="1207"/>
      <c r="D60" s="109"/>
      <c r="E60" s="102"/>
      <c r="F60" s="109"/>
      <c r="G60" s="109"/>
      <c r="H60" s="102"/>
      <c r="I60" s="102"/>
      <c r="J60" s="143"/>
      <c r="K60" s="143"/>
      <c r="L60" s="102"/>
      <c r="M60" s="1853"/>
    </row>
    <row r="61" spans="1:13" s="1823" customFormat="1" ht="45" customHeight="1">
      <c r="A61" s="1797"/>
      <c r="B61" s="1801" t="s">
        <v>5202</v>
      </c>
      <c r="C61" s="1830">
        <v>9400</v>
      </c>
      <c r="D61" s="1802"/>
      <c r="E61" s="1801"/>
      <c r="F61" s="1802"/>
      <c r="G61" s="1802" t="s">
        <v>257</v>
      </c>
      <c r="H61" s="1801"/>
      <c r="I61" s="1801"/>
      <c r="J61" s="1805"/>
      <c r="K61" s="1805"/>
      <c r="L61" s="1801"/>
      <c r="M61" s="1798"/>
    </row>
    <row r="62" spans="1:13" s="1823" customFormat="1" ht="50.95" customHeight="1">
      <c r="A62" s="1797"/>
      <c r="B62" s="1801" t="s">
        <v>5203</v>
      </c>
      <c r="C62" s="1830">
        <v>7500</v>
      </c>
      <c r="D62" s="1802" t="s">
        <v>5124</v>
      </c>
      <c r="E62" s="1801" t="s">
        <v>192</v>
      </c>
      <c r="F62" s="1802"/>
      <c r="G62" s="1866" t="s">
        <v>257</v>
      </c>
      <c r="H62" s="1801"/>
      <c r="I62" s="1801"/>
      <c r="J62" s="1803"/>
      <c r="K62" s="1805"/>
      <c r="L62" s="1801"/>
      <c r="M62" s="1798" t="s">
        <v>4732</v>
      </c>
    </row>
    <row r="63" spans="1:13" s="1823" customFormat="1" ht="45" customHeight="1">
      <c r="A63" s="1797"/>
      <c r="B63" s="1801" t="s">
        <v>61</v>
      </c>
      <c r="C63" s="1830">
        <v>3700</v>
      </c>
      <c r="D63" s="1802" t="s">
        <v>5204</v>
      </c>
      <c r="E63" s="1801" t="s">
        <v>18</v>
      </c>
      <c r="F63" s="1802"/>
      <c r="G63" s="1866" t="s">
        <v>257</v>
      </c>
      <c r="H63" s="1801" t="s">
        <v>65</v>
      </c>
      <c r="I63" s="1801" t="s">
        <v>240</v>
      </c>
      <c r="J63" s="1803"/>
      <c r="K63" s="1805"/>
      <c r="L63" s="1801"/>
      <c r="M63" s="1798" t="s">
        <v>4732</v>
      </c>
    </row>
    <row r="64" spans="1:13" s="1823" customFormat="1" ht="45" customHeight="1">
      <c r="A64" s="1797"/>
      <c r="B64" s="1801" t="s">
        <v>181</v>
      </c>
      <c r="C64" s="1830">
        <v>15500</v>
      </c>
      <c r="D64" s="1802" t="s">
        <v>5205</v>
      </c>
      <c r="E64" s="1801" t="s">
        <v>88</v>
      </c>
      <c r="F64" s="1802"/>
      <c r="G64" s="1866" t="s">
        <v>257</v>
      </c>
      <c r="H64" s="1801" t="s">
        <v>65</v>
      </c>
      <c r="I64" s="1801" t="s">
        <v>90</v>
      </c>
      <c r="J64" s="1803"/>
      <c r="K64" s="1805"/>
      <c r="L64" s="1801"/>
      <c r="M64" s="1798" t="s">
        <v>4732</v>
      </c>
    </row>
    <row r="65" spans="2:9" s="1823" customFormat="1" ht="45" customHeight="1">
      <c r="B65" s="1801" t="s">
        <v>75</v>
      </c>
      <c r="C65" s="1830">
        <v>4200</v>
      </c>
      <c r="D65" s="1802" t="s">
        <v>5206</v>
      </c>
      <c r="E65" s="1801" t="s">
        <v>24</v>
      </c>
      <c r="F65" s="1802"/>
      <c r="G65" s="1866" t="s">
        <v>257</v>
      </c>
      <c r="H65" s="1801" t="s">
        <v>65</v>
      </c>
      <c r="I65" s="1802" t="s">
        <v>4619</v>
      </c>
    </row>
    <row r="66" spans="2:9" s="1823" customFormat="1" ht="45" customHeight="1">
      <c r="B66" s="1801" t="s">
        <v>177</v>
      </c>
      <c r="C66" s="1830">
        <v>3900</v>
      </c>
      <c r="D66" s="1802" t="s">
        <v>5206</v>
      </c>
      <c r="E66" s="1801" t="s">
        <v>24</v>
      </c>
      <c r="F66" s="1802"/>
      <c r="G66" s="1866" t="s">
        <v>257</v>
      </c>
      <c r="H66" s="1801" t="s">
        <v>65</v>
      </c>
      <c r="I66" s="1801" t="s">
        <v>78</v>
      </c>
    </row>
  </sheetData>
  <autoFilter ref="A5:P64" xr:uid="{00000000-0009-0000-0000-000001000000}"/>
  <mergeCells count="4">
    <mergeCell ref="C1:K1"/>
    <mergeCell ref="A2:M2"/>
    <mergeCell ref="B3:M3"/>
    <mergeCell ref="A4:B4"/>
  </mergeCells>
  <conditionalFormatting sqref="A1:A4">
    <cfRule type="duplicateValues" dxfId="397" priority="5"/>
  </conditionalFormatting>
  <conditionalFormatting sqref="A5">
    <cfRule type="duplicateValues" dxfId="396" priority="4"/>
  </conditionalFormatting>
  <conditionalFormatting sqref="B5">
    <cfRule type="duplicateValues" dxfId="395" priority="1"/>
    <cfRule type="duplicateValues" dxfId="394" priority="2"/>
    <cfRule type="duplicateValues" dxfId="393"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3"/>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topRight" activeCell="D1" sqref="D1"/>
      <selection pane="bottomLeft" activeCell="A4" sqref="A4"/>
      <selection pane="bottomRight" activeCell="D1" sqref="D1"/>
    </sheetView>
  </sheetViews>
  <sheetFormatPr defaultColWidth="32.125" defaultRowHeight="58.6"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375" style="271" customWidth="1"/>
    <col min="11" max="11" width="108.125" style="9" customWidth="1"/>
    <col min="12" max="12" width="25.625" style="2217" customWidth="1"/>
    <col min="13" max="13" width="65.37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375" style="3"/>
    <col min="25" max="27" width="32.125" style="1" bestFit="1" customWidth="1"/>
    <col min="28" max="16384" width="32.125" style="3"/>
  </cols>
  <sheetData>
    <row r="1" spans="1:27" ht="50.3" customHeight="1">
      <c r="A1" s="3777" t="s">
        <v>5207</v>
      </c>
      <c r="B1" s="3777"/>
      <c r="C1" s="3777"/>
      <c r="D1" s="3777"/>
      <c r="E1" s="3777"/>
      <c r="F1" s="3777"/>
      <c r="G1" s="3777"/>
      <c r="H1" s="3777"/>
      <c r="I1" s="3777"/>
      <c r="J1" s="3777"/>
      <c r="K1" s="3777"/>
      <c r="L1" s="3777"/>
      <c r="M1" s="3777"/>
      <c r="N1" s="3777"/>
      <c r="O1" s="3777"/>
      <c r="P1" s="3777"/>
      <c r="Q1" s="3777"/>
      <c r="R1" s="2670"/>
    </row>
    <row r="2" spans="1:27" ht="77.95" customHeight="1">
      <c r="A2" s="3778" t="s">
        <v>5208</v>
      </c>
      <c r="B2" s="3778"/>
      <c r="C2" s="3778"/>
      <c r="D2" s="2215">
        <f>SUBTOTAL(9,D3:D322)</f>
        <v>13800</v>
      </c>
      <c r="E2" s="1932"/>
      <c r="F2" s="2092"/>
      <c r="G2" s="2269" t="s">
        <v>5209</v>
      </c>
      <c r="H2" s="1932"/>
      <c r="I2" s="1932"/>
      <c r="J2" s="2765"/>
      <c r="K2" s="2762">
        <f ca="1">TODAY()</f>
        <v>45988</v>
      </c>
      <c r="L2" s="2272">
        <f>SUBTOTAL(9,L4:L505)</f>
        <v>381342</v>
      </c>
      <c r="M2" s="2339" t="s">
        <v>5210</v>
      </c>
      <c r="N2" s="2782"/>
      <c r="O2" s="2099" t="s">
        <v>5211</v>
      </c>
      <c r="P2" s="2754" t="s">
        <v>0</v>
      </c>
      <c r="Q2" s="2754"/>
      <c r="R2" s="3774" t="s">
        <v>5212</v>
      </c>
      <c r="S2" s="3774"/>
      <c r="T2" s="3775"/>
      <c r="U2" s="3775"/>
    </row>
    <row r="3" spans="1:27" s="2709" customFormat="1" ht="58.6" customHeight="1">
      <c r="A3" s="2703">
        <v>6</v>
      </c>
      <c r="B3" s="2704" t="s">
        <v>5213</v>
      </c>
      <c r="C3" s="2707" t="s">
        <v>5214</v>
      </c>
      <c r="D3" s="2706" t="s">
        <v>5215</v>
      </c>
      <c r="E3" s="2707" t="s">
        <v>3430</v>
      </c>
      <c r="F3" s="2705" t="s">
        <v>52</v>
      </c>
      <c r="G3" s="2707" t="s">
        <v>3431</v>
      </c>
      <c r="H3" s="2707" t="s">
        <v>5216</v>
      </c>
      <c r="I3" s="2707" t="s">
        <v>55</v>
      </c>
      <c r="J3" s="2707" t="s">
        <v>56</v>
      </c>
      <c r="K3" s="2707" t="s">
        <v>5217</v>
      </c>
      <c r="L3" s="2711" t="s">
        <v>5218</v>
      </c>
      <c r="M3" s="2710" t="s">
        <v>5219</v>
      </c>
      <c r="N3" s="2755" t="s">
        <v>5220</v>
      </c>
      <c r="O3" s="2704" t="s">
        <v>58</v>
      </c>
      <c r="P3" s="2704" t="s">
        <v>5221</v>
      </c>
      <c r="Q3" s="2705" t="s">
        <v>5222</v>
      </c>
      <c r="R3" s="2707" t="s">
        <v>5223</v>
      </c>
      <c r="S3" s="2707" t="s">
        <v>5224</v>
      </c>
      <c r="T3" s="2715" t="s">
        <v>5225</v>
      </c>
      <c r="U3" s="2672" t="s">
        <v>5226</v>
      </c>
      <c r="Y3" s="2708"/>
      <c r="Z3" s="2708"/>
      <c r="AA3" s="2708"/>
    </row>
    <row r="4" spans="1:27" s="2643" customFormat="1" ht="75.099999999999994" customHeight="1">
      <c r="A4" s="3768">
        <v>1</v>
      </c>
      <c r="B4" s="1568" t="str">
        <f t="shared" ref="B4:B21" si="0">TEXT(LEFT(K4,10),"0000000000")</f>
        <v>2000002936</v>
      </c>
      <c r="C4" s="1902" t="s">
        <v>3361</v>
      </c>
      <c r="D4" s="2624">
        <v>8320</v>
      </c>
      <c r="E4" s="1921" t="s">
        <v>5227</v>
      </c>
      <c r="F4" s="1902" t="s">
        <v>14</v>
      </c>
      <c r="G4" s="1909" t="s">
        <v>5228</v>
      </c>
      <c r="H4" s="1921"/>
      <c r="I4" s="1921" t="s">
        <v>65</v>
      </c>
      <c r="J4" s="1921" t="s">
        <v>66</v>
      </c>
      <c r="K4" s="1911" t="s">
        <v>5229</v>
      </c>
      <c r="L4" s="2583">
        <v>4970</v>
      </c>
      <c r="M4" s="2196" t="s">
        <v>5230</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59.95" customHeight="1">
      <c r="A5" s="3769"/>
      <c r="B5" s="1568" t="str">
        <f t="shared" si="0"/>
        <v>2000002953</v>
      </c>
      <c r="C5" s="1493" t="s">
        <v>3361</v>
      </c>
      <c r="D5" s="1826"/>
      <c r="E5" s="1495"/>
      <c r="F5" s="1493" t="s">
        <v>14</v>
      </c>
      <c r="G5" s="1495"/>
      <c r="H5" s="1495"/>
      <c r="I5" s="1495" t="s">
        <v>65</v>
      </c>
      <c r="J5" s="1495" t="s">
        <v>66</v>
      </c>
      <c r="K5" s="1600" t="s">
        <v>5231</v>
      </c>
      <c r="L5" s="2357">
        <v>3350</v>
      </c>
      <c r="M5" s="2196" t="s">
        <v>5230</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8" customHeight="1">
      <c r="A6" s="2582">
        <v>2</v>
      </c>
      <c r="B6" s="1900" t="str">
        <f>TEXT(LEFT(K6,10),"0000000000")</f>
        <v>2000002958</v>
      </c>
      <c r="C6" s="2263" t="s">
        <v>97</v>
      </c>
      <c r="D6" s="2456">
        <v>4600</v>
      </c>
      <c r="E6" s="1921" t="s">
        <v>5232</v>
      </c>
      <c r="F6" s="1902" t="s">
        <v>18</v>
      </c>
      <c r="G6" s="1909" t="s">
        <v>5233</v>
      </c>
      <c r="H6" s="1921"/>
      <c r="I6" s="2187" t="s">
        <v>65</v>
      </c>
      <c r="J6" s="1921" t="s">
        <v>117</v>
      </c>
      <c r="K6" s="1911" t="s">
        <v>5234</v>
      </c>
      <c r="L6" s="2583">
        <v>4600</v>
      </c>
      <c r="M6" s="2196" t="s">
        <v>5230</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99999999999994" customHeight="1">
      <c r="A7" s="2436">
        <v>3</v>
      </c>
      <c r="B7" s="1568" t="str">
        <f t="shared" si="0"/>
        <v>2000002952</v>
      </c>
      <c r="C7" s="1902" t="s">
        <v>3499</v>
      </c>
      <c r="D7" s="2624">
        <v>4000</v>
      </c>
      <c r="E7" s="1921" t="s">
        <v>5235</v>
      </c>
      <c r="F7" s="1902" t="s">
        <v>20</v>
      </c>
      <c r="G7" s="1921" t="s">
        <v>5236</v>
      </c>
      <c r="H7" s="1921"/>
      <c r="I7" s="2187" t="s">
        <v>65</v>
      </c>
      <c r="J7" s="1921" t="s">
        <v>164</v>
      </c>
      <c r="K7" s="1911" t="s">
        <v>5237</v>
      </c>
      <c r="L7" s="2583">
        <v>4000</v>
      </c>
      <c r="M7" s="2196" t="s">
        <v>5238</v>
      </c>
      <c r="N7" s="1495"/>
      <c r="O7" s="1775"/>
      <c r="P7" s="2429">
        <v>1</v>
      </c>
      <c r="Q7" s="2150"/>
      <c r="R7" s="1921">
        <v>2000002952</v>
      </c>
      <c r="S7" s="2720" t="e">
        <f>VLOOKUP(R7,#REF!,2,0)</f>
        <v>#REF!</v>
      </c>
      <c r="T7" s="2720" t="e">
        <f>VLOOKUP(R7,#REF!,3,0)</f>
        <v>#REF!</v>
      </c>
      <c r="U7" s="2721" t="e">
        <f>S7-T7</f>
        <v>#REF!</v>
      </c>
      <c r="Y7" s="2659"/>
      <c r="Z7" s="2659"/>
      <c r="AA7" s="2659"/>
    </row>
    <row r="8" spans="1:27" s="2643" customFormat="1" ht="57.1" customHeight="1">
      <c r="A8" s="3770">
        <v>4</v>
      </c>
      <c r="B8" s="1900" t="str">
        <f t="shared" si="0"/>
        <v>2000002958</v>
      </c>
      <c r="C8" s="2198" t="s">
        <v>5239</v>
      </c>
      <c r="D8" s="2585">
        <v>3900</v>
      </c>
      <c r="E8" s="2187" t="s">
        <v>5240</v>
      </c>
      <c r="F8" s="2263" t="s">
        <v>22</v>
      </c>
      <c r="G8" s="1921" t="s">
        <v>5241</v>
      </c>
      <c r="H8" s="1921"/>
      <c r="I8" s="2187" t="s">
        <v>65</v>
      </c>
      <c r="J8" s="1921" t="s">
        <v>117</v>
      </c>
      <c r="K8" s="1911" t="s">
        <v>5242</v>
      </c>
      <c r="L8" s="2583">
        <v>400</v>
      </c>
      <c r="M8" s="2196" t="s">
        <v>5230</v>
      </c>
      <c r="N8" s="1495"/>
      <c r="O8" s="1862" t="s">
        <v>5243</v>
      </c>
      <c r="P8" s="2429">
        <v>1</v>
      </c>
      <c r="Q8" s="2150"/>
      <c r="R8" s="1921">
        <v>2000002958</v>
      </c>
      <c r="S8" s="2720" t="e">
        <f>VLOOKUP(R8,#REF!,2,0)</f>
        <v>#REF!</v>
      </c>
      <c r="T8" s="2720" t="e">
        <f>VLOOKUP(R8,#REF!,3,0)</f>
        <v>#REF!</v>
      </c>
      <c r="U8" s="2721" t="e">
        <f>S8-T8</f>
        <v>#REF!</v>
      </c>
      <c r="Y8" s="2659"/>
      <c r="Z8" s="2659"/>
      <c r="AA8" s="2659"/>
    </row>
    <row r="9" spans="1:27" s="2643" customFormat="1" ht="58.6" customHeight="1">
      <c r="A9" s="3770"/>
      <c r="B9" s="1900" t="str">
        <f t="shared" si="0"/>
        <v>2200002001</v>
      </c>
      <c r="C9" s="1545" t="s">
        <v>5239</v>
      </c>
      <c r="D9" s="1494"/>
      <c r="E9" s="1543"/>
      <c r="F9" s="1545" t="s">
        <v>22</v>
      </c>
      <c r="G9" s="1495"/>
      <c r="H9" s="1495"/>
      <c r="I9" s="1543" t="s">
        <v>65</v>
      </c>
      <c r="J9" s="1495" t="s">
        <v>117</v>
      </c>
      <c r="K9" s="1600" t="s">
        <v>5244</v>
      </c>
      <c r="L9" s="2357">
        <v>1964</v>
      </c>
      <c r="M9" s="1851" t="s">
        <v>5245</v>
      </c>
      <c r="N9" s="1851"/>
      <c r="O9" s="1862"/>
      <c r="P9" s="2429">
        <v>1</v>
      </c>
      <c r="Q9" s="2150"/>
      <c r="R9" s="1921"/>
      <c r="S9" s="2724"/>
      <c r="T9" s="2725"/>
      <c r="U9" s="2726"/>
      <c r="Y9" s="2659"/>
      <c r="Z9" s="2659"/>
      <c r="AA9" s="2659"/>
    </row>
    <row r="10" spans="1:27" s="2643" customFormat="1" ht="58.6" customHeight="1">
      <c r="A10" s="3770"/>
      <c r="B10" s="1900" t="str">
        <f t="shared" si="0"/>
        <v>2200001995</v>
      </c>
      <c r="C10" s="1545" t="s">
        <v>5239</v>
      </c>
      <c r="D10" s="1494"/>
      <c r="E10" s="1543"/>
      <c r="F10" s="1545" t="s">
        <v>22</v>
      </c>
      <c r="G10" s="1467"/>
      <c r="H10" s="1495"/>
      <c r="I10" s="1495" t="s">
        <v>65</v>
      </c>
      <c r="J10" s="1495" t="s">
        <v>117</v>
      </c>
      <c r="K10" s="1600" t="s">
        <v>5246</v>
      </c>
      <c r="L10" s="2342">
        <v>250</v>
      </c>
      <c r="M10" s="2160" t="s">
        <v>5247</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6" customHeight="1">
      <c r="A11" s="3769"/>
      <c r="B11" s="1900" t="str">
        <f t="shared" si="0"/>
        <v>2200002002</v>
      </c>
      <c r="C11" s="1545" t="s">
        <v>5239</v>
      </c>
      <c r="D11" s="1494"/>
      <c r="E11" s="1543"/>
      <c r="F11" s="1545" t="s">
        <v>22</v>
      </c>
      <c r="G11" s="1495"/>
      <c r="H11" s="1495"/>
      <c r="I11" s="1495" t="s">
        <v>65</v>
      </c>
      <c r="J11" s="1495" t="s">
        <v>142</v>
      </c>
      <c r="K11" s="1600" t="s">
        <v>5248</v>
      </c>
      <c r="L11" s="2357">
        <v>1300</v>
      </c>
      <c r="M11" s="1851" t="s">
        <v>5245</v>
      </c>
      <c r="N11" s="1851"/>
      <c r="O11" s="1862"/>
      <c r="P11" s="2429">
        <v>1</v>
      </c>
      <c r="Q11" s="2150"/>
      <c r="R11" s="1921"/>
      <c r="S11" s="2724"/>
      <c r="T11" s="2725"/>
      <c r="U11" s="2726"/>
      <c r="Y11" s="2659"/>
      <c r="Z11" s="2659"/>
      <c r="AA11" s="2659"/>
    </row>
    <row r="12" spans="1:27" s="2643" customFormat="1" ht="58.6" customHeight="1">
      <c r="A12" s="3768">
        <v>5</v>
      </c>
      <c r="B12" s="1943" t="str">
        <f t="shared" si="0"/>
        <v>2200001997</v>
      </c>
      <c r="C12" s="1921" t="s">
        <v>5249</v>
      </c>
      <c r="D12" s="2607">
        <v>4300</v>
      </c>
      <c r="E12" s="2419" t="s">
        <v>5250</v>
      </c>
      <c r="F12" s="2263" t="s">
        <v>20</v>
      </c>
      <c r="G12" s="1921" t="s">
        <v>5251</v>
      </c>
      <c r="H12" s="1921"/>
      <c r="I12" s="2187" t="s">
        <v>65</v>
      </c>
      <c r="J12" s="1921" t="s">
        <v>1179</v>
      </c>
      <c r="K12" s="1845" t="s">
        <v>5252</v>
      </c>
      <c r="L12" s="2583">
        <v>2600</v>
      </c>
      <c r="M12" s="1851" t="s">
        <v>5245</v>
      </c>
      <c r="N12" s="1851"/>
      <c r="O12" s="1775"/>
      <c r="P12" s="2429">
        <v>1</v>
      </c>
      <c r="Q12" s="2150"/>
      <c r="R12" s="1921"/>
      <c r="S12" s="2724"/>
      <c r="T12" s="2725"/>
      <c r="U12" s="2726"/>
      <c r="Y12" s="2659"/>
      <c r="Z12" s="2659"/>
      <c r="AA12" s="2659"/>
    </row>
    <row r="13" spans="1:27" s="2643" customFormat="1" ht="58.6" customHeight="1">
      <c r="A13" s="3770"/>
      <c r="B13" s="1943" t="str">
        <f t="shared" si="0"/>
        <v>2200001998</v>
      </c>
      <c r="C13" s="1493" t="s">
        <v>3595</v>
      </c>
      <c r="D13" s="1494"/>
      <c r="E13" s="1900"/>
      <c r="F13" s="1545" t="s">
        <v>20</v>
      </c>
      <c r="G13" s="1495"/>
      <c r="H13" s="1921"/>
      <c r="I13" s="1543" t="s">
        <v>65</v>
      </c>
      <c r="J13" s="1495" t="s">
        <v>1179</v>
      </c>
      <c r="K13" s="1600" t="s">
        <v>5253</v>
      </c>
      <c r="L13" s="2583">
        <v>673</v>
      </c>
      <c r="M13" s="1851" t="s">
        <v>5245</v>
      </c>
      <c r="N13" s="1851"/>
      <c r="O13" s="1775"/>
      <c r="P13" s="2429">
        <v>1</v>
      </c>
      <c r="Q13" s="2150"/>
      <c r="R13" s="1921"/>
      <c r="S13" s="2724"/>
      <c r="T13" s="2725"/>
      <c r="U13" s="2726"/>
      <c r="Y13" s="2659"/>
      <c r="Z13" s="2659"/>
      <c r="AA13" s="2659"/>
    </row>
    <row r="14" spans="1:27" s="2643" customFormat="1" ht="54.7" customHeight="1">
      <c r="A14" s="3770"/>
      <c r="B14" s="1568" t="str">
        <f t="shared" si="0"/>
        <v>2200001982</v>
      </c>
      <c r="C14" s="1493" t="s">
        <v>3595</v>
      </c>
      <c r="D14" s="1494"/>
      <c r="E14" s="1900"/>
      <c r="F14" s="1545" t="s">
        <v>20</v>
      </c>
      <c r="G14" s="1495"/>
      <c r="H14" s="1495"/>
      <c r="I14" s="1495" t="s">
        <v>65</v>
      </c>
      <c r="J14" s="1495" t="s">
        <v>1179</v>
      </c>
      <c r="K14" s="1600" t="s">
        <v>5254</v>
      </c>
      <c r="L14" s="2357">
        <v>329</v>
      </c>
      <c r="M14" s="1748" t="s">
        <v>5255</v>
      </c>
      <c r="N14" s="1495"/>
      <c r="O14" s="1843"/>
      <c r="P14" s="1790">
        <v>1</v>
      </c>
      <c r="Q14" s="1548"/>
      <c r="R14" s="1548"/>
      <c r="S14" s="1548"/>
      <c r="T14" s="1548"/>
      <c r="U14" s="1548"/>
      <c r="V14" s="1548"/>
      <c r="W14" s="1467"/>
      <c r="X14" s="1467"/>
      <c r="Y14" s="1467"/>
      <c r="Z14" s="1467"/>
      <c r="AA14" s="1467"/>
    </row>
    <row r="15" spans="1:27" s="2643" customFormat="1" ht="60.8" customHeight="1">
      <c r="A15" s="3769"/>
      <c r="B15" s="1943" t="str">
        <f>TEXT(LEFT(K15,10),"0000000000")</f>
        <v>2200001999</v>
      </c>
      <c r="C15" s="1493" t="s">
        <v>3595</v>
      </c>
      <c r="D15" s="1494"/>
      <c r="E15" s="1900"/>
      <c r="F15" s="1545" t="s">
        <v>20</v>
      </c>
      <c r="G15" s="1495"/>
      <c r="H15" s="1495"/>
      <c r="I15" s="1495" t="s">
        <v>65</v>
      </c>
      <c r="J15" s="1495" t="s">
        <v>1179</v>
      </c>
      <c r="K15" s="1600" t="s">
        <v>5256</v>
      </c>
      <c r="L15" s="2583">
        <v>663</v>
      </c>
      <c r="M15" s="1851" t="s">
        <v>5245</v>
      </c>
      <c r="N15" s="1851"/>
      <c r="O15" s="1775"/>
      <c r="P15" s="2429">
        <v>1</v>
      </c>
      <c r="Q15" s="2150"/>
      <c r="R15" s="1921"/>
      <c r="S15" s="2724"/>
      <c r="T15" s="2725"/>
      <c r="U15" s="2726"/>
      <c r="Y15" s="2659"/>
      <c r="Z15" s="2659"/>
      <c r="AA15" s="2659"/>
    </row>
    <row r="16" spans="1:27" s="2643" customFormat="1" ht="66.099999999999994" customHeight="1">
      <c r="A16" s="2723">
        <v>6</v>
      </c>
      <c r="B16" s="1900" t="str">
        <f>TEXT(LEFT(K16,10),"0000000000")</f>
        <v>2000002972</v>
      </c>
      <c r="C16" s="2263" t="s">
        <v>125</v>
      </c>
      <c r="D16" s="2201">
        <v>4250</v>
      </c>
      <c r="E16" s="2187" t="s">
        <v>5257</v>
      </c>
      <c r="F16" s="2263" t="s">
        <v>22</v>
      </c>
      <c r="G16" s="1921" t="s">
        <v>5258</v>
      </c>
      <c r="H16" s="1921"/>
      <c r="I16" s="1921" t="s">
        <v>65</v>
      </c>
      <c r="J16" s="1921" t="s">
        <v>164</v>
      </c>
      <c r="K16" s="1845" t="s">
        <v>5259</v>
      </c>
      <c r="L16" s="2583">
        <v>4250</v>
      </c>
      <c r="M16" s="2196" t="s">
        <v>5230</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6" customHeight="1">
      <c r="A17" s="3776">
        <v>7</v>
      </c>
      <c r="B17" s="1900" t="str">
        <f t="shared" si="0"/>
        <v>2200001996</v>
      </c>
      <c r="C17" s="2263" t="s">
        <v>114</v>
      </c>
      <c r="D17" s="2456">
        <v>3720</v>
      </c>
      <c r="E17" s="2187" t="s">
        <v>5260</v>
      </c>
      <c r="F17" s="2263" t="s">
        <v>22</v>
      </c>
      <c r="G17" s="1921" t="s">
        <v>5261</v>
      </c>
      <c r="H17" s="1921"/>
      <c r="I17" s="1921" t="s">
        <v>65</v>
      </c>
      <c r="J17" s="1921" t="s">
        <v>142</v>
      </c>
      <c r="K17" s="1845" t="s">
        <v>5262</v>
      </c>
      <c r="L17" s="2727">
        <v>475</v>
      </c>
      <c r="M17" s="2160" t="s">
        <v>5247</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35" customHeight="1">
      <c r="A18" s="3776"/>
      <c r="B18" s="1900" t="str">
        <f t="shared" si="0"/>
        <v>2200002002</v>
      </c>
      <c r="C18" s="1545" t="s">
        <v>114</v>
      </c>
      <c r="D18" s="2456"/>
      <c r="E18" s="2187"/>
      <c r="F18" s="1545" t="s">
        <v>22</v>
      </c>
      <c r="G18" s="2187"/>
      <c r="H18" s="2187"/>
      <c r="I18" s="1495" t="s">
        <v>65</v>
      </c>
      <c r="J18" s="1495" t="s">
        <v>142</v>
      </c>
      <c r="K18" s="1600" t="s">
        <v>5263</v>
      </c>
      <c r="L18" s="2357">
        <v>200</v>
      </c>
      <c r="M18" s="1872" t="s">
        <v>5245</v>
      </c>
      <c r="N18" s="1495"/>
      <c r="O18" s="2040"/>
      <c r="P18" s="1790">
        <v>1</v>
      </c>
      <c r="Q18" s="1545"/>
      <c r="R18" s="1543"/>
      <c r="S18" s="2720"/>
      <c r="T18" s="2720"/>
      <c r="U18" s="2721"/>
      <c r="Y18" s="1474"/>
      <c r="Z18" s="1474"/>
      <c r="AA18" s="1474"/>
    </row>
    <row r="19" spans="1:27" s="1467" customFormat="1" ht="58.6" customHeight="1">
      <c r="A19" s="3776"/>
      <c r="B19" s="1900" t="str">
        <f t="shared" si="0"/>
        <v>2000002971</v>
      </c>
      <c r="C19" s="1545" t="s">
        <v>114</v>
      </c>
      <c r="D19" s="2456"/>
      <c r="E19" s="2187"/>
      <c r="F19" s="1545" t="s">
        <v>22</v>
      </c>
      <c r="G19" s="2187"/>
      <c r="H19" s="2187"/>
      <c r="I19" s="1495" t="s">
        <v>65</v>
      </c>
      <c r="J19" s="1495" t="s">
        <v>164</v>
      </c>
      <c r="K19" s="1600" t="s">
        <v>5264</v>
      </c>
      <c r="L19" s="2357">
        <v>114</v>
      </c>
      <c r="M19" s="1872" t="s">
        <v>5265</v>
      </c>
      <c r="N19" s="1495"/>
      <c r="O19" s="2040"/>
      <c r="P19" s="1790">
        <v>1</v>
      </c>
      <c r="Q19" s="1545"/>
      <c r="R19" s="1543"/>
      <c r="S19" s="2720"/>
      <c r="T19" s="2720"/>
      <c r="U19" s="2721"/>
      <c r="Y19" s="1474"/>
      <c r="Z19" s="1474"/>
      <c r="AA19" s="1474"/>
    </row>
    <row r="20" spans="1:27" s="1467" customFormat="1" ht="58.6" customHeight="1">
      <c r="A20" s="3776"/>
      <c r="B20" s="1900" t="str">
        <f t="shared" si="0"/>
        <v>2000002966</v>
      </c>
      <c r="C20" s="1545" t="s">
        <v>114</v>
      </c>
      <c r="D20" s="2456"/>
      <c r="E20" s="2187"/>
      <c r="F20" s="1545" t="s">
        <v>22</v>
      </c>
      <c r="G20" s="2187"/>
      <c r="H20" s="2187"/>
      <c r="I20" s="1495" t="s">
        <v>65</v>
      </c>
      <c r="J20" s="1495" t="s">
        <v>164</v>
      </c>
      <c r="K20" s="1600" t="s">
        <v>5266</v>
      </c>
      <c r="L20" s="2357">
        <v>210</v>
      </c>
      <c r="M20" s="1872" t="s">
        <v>5265</v>
      </c>
      <c r="N20" s="1495"/>
      <c r="O20" s="2040"/>
      <c r="P20" s="1790">
        <v>1</v>
      </c>
      <c r="Q20" s="1545"/>
      <c r="R20" s="1543"/>
      <c r="S20" s="2720"/>
      <c r="T20" s="2720"/>
      <c r="U20" s="2721"/>
      <c r="Y20" s="1474"/>
      <c r="Z20" s="1474"/>
      <c r="AA20" s="1474"/>
    </row>
    <row r="21" spans="1:27" s="1467" customFormat="1" ht="72" customHeight="1">
      <c r="A21" s="3776"/>
      <c r="B21" s="1900" t="str">
        <f t="shared" si="0"/>
        <v>2000002885</v>
      </c>
      <c r="C21" s="1545" t="s">
        <v>114</v>
      </c>
      <c r="D21" s="2456"/>
      <c r="E21" s="2187"/>
      <c r="F21" s="1545" t="s">
        <v>22</v>
      </c>
      <c r="G21" s="2187"/>
      <c r="H21" s="2187"/>
      <c r="I21" s="1495" t="s">
        <v>65</v>
      </c>
      <c r="J21" s="1495" t="s">
        <v>164</v>
      </c>
      <c r="K21" s="1600" t="s">
        <v>5267</v>
      </c>
      <c r="L21" s="2357">
        <v>300</v>
      </c>
      <c r="M21" s="2496" t="s">
        <v>5268</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76"/>
      <c r="B22" s="1568" t="str">
        <f t="shared" ref="B22" si="1">TEXT(LEFT(K22,10),"0000000000")</f>
        <v>2000002972</v>
      </c>
      <c r="C22" s="1493" t="s">
        <v>114</v>
      </c>
      <c r="D22" s="2607"/>
      <c r="E22" s="1921"/>
      <c r="F22" s="1493" t="s">
        <v>22</v>
      </c>
      <c r="G22" s="1921"/>
      <c r="H22" s="1495"/>
      <c r="I22" s="1495" t="s">
        <v>65</v>
      </c>
      <c r="J22" s="1495" t="s">
        <v>164</v>
      </c>
      <c r="K22" s="1600" t="s">
        <v>5269</v>
      </c>
      <c r="L22" s="2357">
        <v>1700</v>
      </c>
      <c r="M22" s="2196" t="s">
        <v>5238</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6" customHeight="1">
      <c r="A23" s="3776"/>
      <c r="B23" s="1946" t="str">
        <f t="shared" ref="B23:B24" si="2">TEXT(LEFT(K23,10),"0000000000")</f>
        <v>2000002898</v>
      </c>
      <c r="C23" s="1869" t="s">
        <v>114</v>
      </c>
      <c r="D23" s="2743"/>
      <c r="E23" s="1875"/>
      <c r="F23" s="1869" t="s">
        <v>22</v>
      </c>
      <c r="G23" s="1875"/>
      <c r="H23" s="1875"/>
      <c r="I23" s="1851" t="s">
        <v>65</v>
      </c>
      <c r="J23" s="1851" t="s">
        <v>5270</v>
      </c>
      <c r="K23" s="1497" t="s">
        <v>5271</v>
      </c>
      <c r="L23" s="2361">
        <v>367</v>
      </c>
      <c r="M23" s="1872" t="s">
        <v>5272</v>
      </c>
      <c r="N23" s="1495"/>
      <c r="O23" s="2728"/>
      <c r="P23" s="1790">
        <v>1</v>
      </c>
      <c r="Q23" s="1559"/>
      <c r="R23" s="1543"/>
      <c r="S23" s="2729"/>
      <c r="T23" s="2729"/>
      <c r="U23" s="2730"/>
      <c r="V23" s="1559"/>
      <c r="W23" s="1747"/>
      <c r="X23" s="1559"/>
      <c r="Y23" s="1545"/>
      <c r="Z23" s="1545"/>
      <c r="AA23" s="1545"/>
    </row>
    <row r="24" spans="1:27" s="1467" customFormat="1" ht="58.6" customHeight="1">
      <c r="A24" s="3768"/>
      <c r="B24" s="1900" t="str">
        <f t="shared" si="2"/>
        <v>2000002900</v>
      </c>
      <c r="C24" s="2761" t="s">
        <v>114</v>
      </c>
      <c r="D24" s="1494"/>
      <c r="E24" s="1495"/>
      <c r="F24" s="1493" t="s">
        <v>22</v>
      </c>
      <c r="G24" s="1495"/>
      <c r="H24" s="1900"/>
      <c r="I24" s="1495" t="s">
        <v>65</v>
      </c>
      <c r="J24" s="1495" t="s">
        <v>5270</v>
      </c>
      <c r="K24" s="1600" t="s">
        <v>5273</v>
      </c>
      <c r="L24" s="2357">
        <v>421</v>
      </c>
      <c r="M24" s="1495" t="s">
        <v>5272</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252</v>
      </c>
      <c r="D25" s="2585">
        <v>3950</v>
      </c>
      <c r="E25" s="2118" t="s">
        <v>5274</v>
      </c>
      <c r="F25" s="2391" t="s">
        <v>20</v>
      </c>
      <c r="G25" s="2118" t="s">
        <v>5275</v>
      </c>
      <c r="H25" s="1921"/>
      <c r="I25" s="1921" t="s">
        <v>65</v>
      </c>
      <c r="J25" s="1921" t="s">
        <v>1000</v>
      </c>
      <c r="K25" s="1845" t="s">
        <v>5276</v>
      </c>
      <c r="L25" s="2583">
        <v>4000</v>
      </c>
      <c r="M25" s="2196" t="s">
        <v>5238</v>
      </c>
      <c r="N25" s="1495" t="s">
        <v>5277</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1" customHeight="1">
      <c r="A26" s="3768">
        <v>9</v>
      </c>
      <c r="B26" s="2055" t="str">
        <f>TEXT(LEFT(K26,10),"0000000000")</f>
        <v>2000002934</v>
      </c>
      <c r="C26" s="2429" t="s">
        <v>5278</v>
      </c>
      <c r="D26" s="2744">
        <v>4350</v>
      </c>
      <c r="E26" s="1909" t="s">
        <v>5279</v>
      </c>
      <c r="F26" s="2429" t="s">
        <v>20</v>
      </c>
      <c r="G26" s="1909" t="s">
        <v>5280</v>
      </c>
      <c r="H26" s="1909"/>
      <c r="I26" s="1909" t="s">
        <v>65</v>
      </c>
      <c r="J26" s="1909" t="s">
        <v>294</v>
      </c>
      <c r="K26" s="1862" t="s">
        <v>5281</v>
      </c>
      <c r="L26" s="2583">
        <v>3750</v>
      </c>
      <c r="M26" s="2196" t="s">
        <v>5230</v>
      </c>
      <c r="N26" s="1495" t="s">
        <v>5282</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3" customHeight="1">
      <c r="A27" s="3769"/>
      <c r="B27" s="2055" t="str">
        <f>TEXT(LEFT(K27,10),"0000000000")</f>
        <v>2000002954</v>
      </c>
      <c r="C27" s="1790" t="s">
        <v>5278</v>
      </c>
      <c r="D27" s="1870"/>
      <c r="E27" s="1748"/>
      <c r="F27" s="1790" t="s">
        <v>20</v>
      </c>
      <c r="G27" s="1748"/>
      <c r="H27" s="1748"/>
      <c r="I27" s="1748" t="s">
        <v>65</v>
      </c>
      <c r="J27" s="1748" t="s">
        <v>294</v>
      </c>
      <c r="K27" s="1843" t="s">
        <v>5283</v>
      </c>
      <c r="L27" s="2357">
        <v>600</v>
      </c>
      <c r="M27" s="2196" t="s">
        <v>5230</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59.95" customHeight="1">
      <c r="A28" s="3770">
        <v>10</v>
      </c>
      <c r="B28" s="1568" t="str">
        <f t="shared" ref="B28:B36" si="3">TEXT(LEFT(K28,10),"0000000000")</f>
        <v>2000002998</v>
      </c>
      <c r="C28" s="1902" t="s">
        <v>3668</v>
      </c>
      <c r="D28" s="2624">
        <v>23000</v>
      </c>
      <c r="E28" s="1921" t="s">
        <v>5284</v>
      </c>
      <c r="F28" s="1902" t="s">
        <v>14</v>
      </c>
      <c r="G28" s="1921" t="s">
        <v>5285</v>
      </c>
      <c r="H28" s="1921"/>
      <c r="I28" s="1921" t="s">
        <v>65</v>
      </c>
      <c r="J28" s="1921" t="s">
        <v>164</v>
      </c>
      <c r="K28" s="1911" t="s">
        <v>5286</v>
      </c>
      <c r="L28" s="2746">
        <v>703</v>
      </c>
      <c r="M28" s="2196" t="s">
        <v>5238</v>
      </c>
      <c r="N28" s="1543" t="s">
        <v>5287</v>
      </c>
      <c r="O28" s="1775"/>
      <c r="P28" s="2429">
        <v>1</v>
      </c>
      <c r="Q28" s="2150"/>
      <c r="R28" s="1921" t="s">
        <v>5288</v>
      </c>
      <c r="S28" s="2724" t="e">
        <f>VLOOKUP(R28,#REF!,2,0)</f>
        <v>#REF!</v>
      </c>
      <c r="T28" s="2724" t="e">
        <f>VLOOKUP(R28,#REF!,3,0)</f>
        <v>#REF!</v>
      </c>
      <c r="U28" s="2721" t="e">
        <f t="shared" ref="U28:U29" si="4">S28-T28</f>
        <v>#REF!</v>
      </c>
      <c r="V28" s="2643"/>
      <c r="W28" s="2643"/>
      <c r="X28" s="2643"/>
      <c r="Y28" s="2659"/>
      <c r="Z28" s="2659"/>
      <c r="AA28" s="2659"/>
    </row>
    <row r="29" spans="1:27" s="1467" customFormat="1" ht="59.95" customHeight="1">
      <c r="A29" s="3770"/>
      <c r="B29" s="1568" t="str">
        <f t="shared" si="3"/>
        <v>2000002972</v>
      </c>
      <c r="C29" s="1493" t="s">
        <v>3668</v>
      </c>
      <c r="D29" s="1826"/>
      <c r="E29" s="1748" t="s">
        <v>5289</v>
      </c>
      <c r="F29" s="1493" t="s">
        <v>14</v>
      </c>
      <c r="G29" s="1921"/>
      <c r="H29" s="1921"/>
      <c r="I29" s="1495" t="s">
        <v>65</v>
      </c>
      <c r="J29" s="1495" t="s">
        <v>164</v>
      </c>
      <c r="K29" s="1600" t="s">
        <v>5290</v>
      </c>
      <c r="L29" s="2357">
        <v>2130</v>
      </c>
      <c r="M29" s="2196" t="s">
        <v>5238</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70"/>
      <c r="B30" s="1568" t="str">
        <f t="shared" si="3"/>
        <v>2200002004</v>
      </c>
      <c r="C30" s="1493" t="s">
        <v>3668</v>
      </c>
      <c r="D30" s="1826"/>
      <c r="E30" s="1748"/>
      <c r="F30" s="1493" t="s">
        <v>14</v>
      </c>
      <c r="G30" s="1921"/>
      <c r="H30" s="1921"/>
      <c r="I30" s="1495" t="s">
        <v>65</v>
      </c>
      <c r="J30" s="1495" t="s">
        <v>164</v>
      </c>
      <c r="K30" s="1605" t="s">
        <v>5291</v>
      </c>
      <c r="L30" s="2747">
        <v>921</v>
      </c>
      <c r="M30" s="2196" t="s">
        <v>5238</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6" customHeight="1">
      <c r="A31" s="3770"/>
      <c r="B31" s="1568" t="str">
        <f t="shared" si="3"/>
        <v>2200002005</v>
      </c>
      <c r="C31" s="1493" t="s">
        <v>3668</v>
      </c>
      <c r="D31" s="1826"/>
      <c r="E31" s="1748"/>
      <c r="F31" s="1493" t="s">
        <v>14</v>
      </c>
      <c r="G31" s="1921"/>
      <c r="H31" s="1921"/>
      <c r="I31" s="1495" t="s">
        <v>65</v>
      </c>
      <c r="J31" s="1495" t="s">
        <v>164</v>
      </c>
      <c r="K31" s="1605" t="s">
        <v>5292</v>
      </c>
      <c r="L31" s="2747">
        <v>494</v>
      </c>
      <c r="M31" s="2748" t="s">
        <v>5293</v>
      </c>
      <c r="N31" s="1495"/>
      <c r="O31" s="1859"/>
      <c r="P31" s="1790">
        <v>1</v>
      </c>
      <c r="Q31" s="1548"/>
      <c r="R31" s="1495"/>
      <c r="S31" s="2720"/>
      <c r="T31" s="2720"/>
      <c r="U31" s="2721"/>
      <c r="Y31" s="1474"/>
      <c r="Z31" s="1474"/>
      <c r="AA31" s="1474"/>
    </row>
    <row r="32" spans="1:27" s="1467" customFormat="1" ht="50.3" customHeight="1">
      <c r="A32" s="3770"/>
      <c r="B32" s="1568" t="str">
        <f t="shared" si="3"/>
        <v>2000002969</v>
      </c>
      <c r="C32" s="1493" t="s">
        <v>3668</v>
      </c>
      <c r="D32" s="1494"/>
      <c r="E32" s="1495"/>
      <c r="F32" s="1493" t="s">
        <v>14</v>
      </c>
      <c r="G32" s="1495"/>
      <c r="H32" s="1495"/>
      <c r="I32" s="1543" t="s">
        <v>65</v>
      </c>
      <c r="J32" s="1543" t="s">
        <v>106</v>
      </c>
      <c r="K32" s="1605" t="s">
        <v>5294</v>
      </c>
      <c r="L32" s="2747">
        <v>7003</v>
      </c>
      <c r="M32" s="2748" t="s">
        <v>5255</v>
      </c>
      <c r="N32" s="1495"/>
      <c r="O32" s="1859"/>
      <c r="P32" s="1790">
        <v>1</v>
      </c>
      <c r="Q32" s="1548"/>
      <c r="R32" s="1495"/>
      <c r="S32" s="1495"/>
      <c r="T32" s="1495"/>
      <c r="U32" s="1909"/>
      <c r="V32" s="1548"/>
      <c r="W32" s="1548"/>
      <c r="X32" s="1548"/>
      <c r="Y32" s="1493"/>
      <c r="Z32" s="1493"/>
      <c r="AA32" s="1493"/>
    </row>
    <row r="33" spans="1:27" s="1467" customFormat="1" ht="57.75" customHeight="1">
      <c r="A33" s="3770"/>
      <c r="B33" s="1568" t="str">
        <f t="shared" si="3"/>
        <v>2000002937</v>
      </c>
      <c r="C33" s="1493" t="s">
        <v>3668</v>
      </c>
      <c r="D33" s="1494"/>
      <c r="E33" s="1495"/>
      <c r="F33" s="1493" t="s">
        <v>14</v>
      </c>
      <c r="G33" s="1495" t="s">
        <v>263</v>
      </c>
      <c r="H33" s="1495"/>
      <c r="I33" s="1543" t="s">
        <v>65</v>
      </c>
      <c r="J33" s="1495" t="s">
        <v>106</v>
      </c>
      <c r="K33" s="1600" t="s">
        <v>5295</v>
      </c>
      <c r="L33" s="2357">
        <v>3186</v>
      </c>
      <c r="M33" s="2196" t="s">
        <v>5238</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70"/>
      <c r="B34" s="1568" t="str">
        <f>TEXT(LEFT(K34,10),"0000000000")</f>
        <v>2000002994</v>
      </c>
      <c r="C34" s="1493" t="s">
        <v>3668</v>
      </c>
      <c r="D34" s="1494"/>
      <c r="E34" s="1495"/>
      <c r="F34" s="1493" t="s">
        <v>14</v>
      </c>
      <c r="G34" s="1543"/>
      <c r="H34" s="1543"/>
      <c r="I34" s="1495" t="s">
        <v>65</v>
      </c>
      <c r="J34" s="1495" t="s">
        <v>106</v>
      </c>
      <c r="K34" s="1600" t="s">
        <v>5296</v>
      </c>
      <c r="L34" s="2357">
        <v>6200</v>
      </c>
      <c r="M34" s="2196" t="s">
        <v>5238</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3" customHeight="1">
      <c r="A35" s="3770"/>
      <c r="B35" s="1568" t="str">
        <f t="shared" si="3"/>
        <v>2000003006</v>
      </c>
      <c r="C35" s="1493" t="s">
        <v>3668</v>
      </c>
      <c r="D35" s="1494"/>
      <c r="E35" s="1495"/>
      <c r="F35" s="1493" t="s">
        <v>14</v>
      </c>
      <c r="G35" s="1543"/>
      <c r="H35" s="1543"/>
      <c r="I35" s="1495" t="s">
        <v>65</v>
      </c>
      <c r="J35" s="1495" t="s">
        <v>106</v>
      </c>
      <c r="K35" s="1600" t="s">
        <v>5297</v>
      </c>
      <c r="L35" s="2357">
        <v>2000</v>
      </c>
      <c r="M35" s="2196" t="s">
        <v>5238</v>
      </c>
      <c r="N35" s="1543"/>
      <c r="O35" s="2544"/>
      <c r="P35" s="1790">
        <v>1</v>
      </c>
      <c r="Q35" s="1559"/>
      <c r="R35" s="1543"/>
      <c r="S35" s="2720"/>
      <c r="T35" s="2720"/>
      <c r="U35" s="2721"/>
      <c r="V35" s="1559"/>
      <c r="W35" s="1747"/>
      <c r="X35" s="1559"/>
      <c r="Y35" s="1545"/>
      <c r="Z35" s="1545"/>
      <c r="AA35" s="1545"/>
    </row>
    <row r="36" spans="1:27" s="1467" customFormat="1" ht="84.75" customHeight="1">
      <c r="A36" s="3769"/>
      <c r="B36" s="1568" t="str">
        <f t="shared" si="3"/>
        <v>2000002951</v>
      </c>
      <c r="C36" s="1493" t="s">
        <v>3668</v>
      </c>
      <c r="D36" s="1494"/>
      <c r="E36" s="1495"/>
      <c r="F36" s="1493" t="s">
        <v>14</v>
      </c>
      <c r="G36" s="1543"/>
      <c r="H36" s="1543"/>
      <c r="I36" s="1495" t="s">
        <v>65</v>
      </c>
      <c r="J36" s="1495" t="s">
        <v>106</v>
      </c>
      <c r="K36" s="1600" t="s">
        <v>5298</v>
      </c>
      <c r="L36" s="2357">
        <v>396</v>
      </c>
      <c r="M36" s="2196" t="s">
        <v>5299</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76">
        <v>11</v>
      </c>
      <c r="B37" s="1568" t="str">
        <f t="shared" ref="B37:B46" si="6">TEXT(LEFT(K37,10),"0000000000")</f>
        <v>2200001992</v>
      </c>
      <c r="C37" s="1902" t="s">
        <v>3996</v>
      </c>
      <c r="D37" s="2201">
        <v>12700</v>
      </c>
      <c r="E37" s="1921" t="s">
        <v>5300</v>
      </c>
      <c r="F37" s="1902" t="s">
        <v>18</v>
      </c>
      <c r="G37" s="1921" t="s">
        <v>5301</v>
      </c>
      <c r="H37" s="1921"/>
      <c r="I37" s="1921" t="s">
        <v>65</v>
      </c>
      <c r="J37" s="1921" t="s">
        <v>1179</v>
      </c>
      <c r="K37" s="1845" t="s">
        <v>5302</v>
      </c>
      <c r="L37" s="2727">
        <v>2242</v>
      </c>
      <c r="M37" s="2200" t="s">
        <v>5247</v>
      </c>
      <c r="N37" s="1495" t="s">
        <v>5303</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76"/>
      <c r="B38" s="1568" t="str">
        <f t="shared" si="6"/>
        <v>2200001997</v>
      </c>
      <c r="C38" s="1493" t="s">
        <v>3996</v>
      </c>
      <c r="D38" s="2203"/>
      <c r="E38" s="1748" t="s">
        <v>5304</v>
      </c>
      <c r="F38" s="1493" t="s">
        <v>18</v>
      </c>
      <c r="G38" s="1495"/>
      <c r="H38" s="1495"/>
      <c r="I38" s="1495" t="s">
        <v>65</v>
      </c>
      <c r="J38" s="1495" t="s">
        <v>1179</v>
      </c>
      <c r="K38" s="1600" t="s">
        <v>5305</v>
      </c>
      <c r="L38" s="2357">
        <v>638</v>
      </c>
      <c r="M38" s="1851" t="s">
        <v>5245</v>
      </c>
      <c r="N38" s="1851"/>
      <c r="O38" s="1790"/>
      <c r="P38" s="1790">
        <v>1</v>
      </c>
      <c r="Q38" s="1493"/>
      <c r="R38" s="1495"/>
      <c r="S38" s="2720"/>
      <c r="T38" s="2720"/>
      <c r="U38" s="2721"/>
      <c r="Y38" s="1474"/>
      <c r="Z38" s="1474"/>
      <c r="AA38" s="1474"/>
    </row>
    <row r="39" spans="1:27" s="1467" customFormat="1" ht="54" customHeight="1">
      <c r="A39" s="3776"/>
      <c r="B39" s="1568" t="str">
        <f t="shared" si="6"/>
        <v>2200001994</v>
      </c>
      <c r="C39" s="1493" t="s">
        <v>3996</v>
      </c>
      <c r="D39" s="2203"/>
      <c r="E39" s="1495"/>
      <c r="F39" s="1493" t="s">
        <v>18</v>
      </c>
      <c r="G39" s="1495"/>
      <c r="H39" s="1495"/>
      <c r="I39" s="1495" t="s">
        <v>65</v>
      </c>
      <c r="J39" s="1495" t="s">
        <v>1179</v>
      </c>
      <c r="K39" s="1600" t="s">
        <v>5306</v>
      </c>
      <c r="L39" s="2342">
        <v>69</v>
      </c>
      <c r="M39" s="2160" t="s">
        <v>5247</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76"/>
      <c r="B40" s="1568" t="str">
        <f t="shared" si="6"/>
        <v>2200001981</v>
      </c>
      <c r="C40" s="1493" t="s">
        <v>3996</v>
      </c>
      <c r="D40" s="2203"/>
      <c r="E40" s="1495"/>
      <c r="F40" s="1493" t="s">
        <v>18</v>
      </c>
      <c r="G40" s="1495"/>
      <c r="H40" s="1495"/>
      <c r="I40" s="1495" t="s">
        <v>65</v>
      </c>
      <c r="J40" s="1495" t="s">
        <v>1179</v>
      </c>
      <c r="K40" s="1600" t="s">
        <v>5307</v>
      </c>
      <c r="L40" s="2342">
        <v>700</v>
      </c>
      <c r="M40" s="1495" t="s">
        <v>5308</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76"/>
      <c r="B41" s="1568" t="str">
        <f t="shared" si="6"/>
        <v>2000003018</v>
      </c>
      <c r="C41" s="1493" t="s">
        <v>3996</v>
      </c>
      <c r="D41" s="1494"/>
      <c r="E41" s="1495"/>
      <c r="F41" s="1493" t="s">
        <v>18</v>
      </c>
      <c r="G41" s="1495"/>
      <c r="H41" s="1495"/>
      <c r="I41" s="1495" t="s">
        <v>65</v>
      </c>
      <c r="J41" s="1495" t="s">
        <v>1179</v>
      </c>
      <c r="K41" s="1600" t="s">
        <v>5309</v>
      </c>
      <c r="L41" s="2357">
        <v>5000</v>
      </c>
      <c r="M41" s="2196" t="s">
        <v>5238</v>
      </c>
      <c r="N41" s="1495"/>
      <c r="O41" s="1859"/>
      <c r="P41" s="1790">
        <v>1</v>
      </c>
      <c r="Q41" s="1548"/>
      <c r="R41" s="1495" t="s">
        <v>5288</v>
      </c>
      <c r="S41" s="2720" t="e">
        <f>VLOOKUP(R41,#REF!,2,0)</f>
        <v>#REF!</v>
      </c>
      <c r="T41" s="2720" t="e">
        <f>VLOOKUP(R41,#REF!,3,0)</f>
        <v>#REF!</v>
      </c>
      <c r="U41" s="2721" t="e">
        <f>S41-T41</f>
        <v>#REF!</v>
      </c>
      <c r="V41" s="1548"/>
      <c r="W41" s="1548"/>
      <c r="X41" s="1548"/>
      <c r="Y41" s="1493"/>
      <c r="Z41" s="1493"/>
      <c r="AA41" s="1493"/>
    </row>
    <row r="42" spans="1:27" s="1467" customFormat="1" ht="54" customHeight="1">
      <c r="A42" s="3776"/>
      <c r="B42" s="1568" t="str">
        <f t="shared" si="6"/>
        <v>2000002982</v>
      </c>
      <c r="C42" s="1493" t="s">
        <v>3996</v>
      </c>
      <c r="D42" s="2613"/>
      <c r="E42" s="1543"/>
      <c r="F42" s="1493" t="s">
        <v>18</v>
      </c>
      <c r="G42" s="1543"/>
      <c r="H42" s="1543"/>
      <c r="I42" s="1543" t="s">
        <v>65</v>
      </c>
      <c r="J42" s="1495" t="s">
        <v>1179</v>
      </c>
      <c r="K42" s="2693" t="s">
        <v>5310</v>
      </c>
      <c r="L42" s="2610">
        <v>4000</v>
      </c>
      <c r="M42" s="2196" t="s">
        <v>5230</v>
      </c>
      <c r="N42" s="1495"/>
      <c r="O42" s="1859"/>
      <c r="P42" s="1790">
        <v>1</v>
      </c>
      <c r="Q42" s="1548"/>
      <c r="R42" s="1495" t="s">
        <v>5288</v>
      </c>
      <c r="S42" s="2720" t="e">
        <f>VLOOKUP(R42,#REF!,2,0)</f>
        <v>#REF!</v>
      </c>
      <c r="T42" s="2720" t="e">
        <f>VLOOKUP(R42,#REF!,3,0)</f>
        <v>#REF!</v>
      </c>
      <c r="U42" s="2721" t="e">
        <f>S42-T42</f>
        <v>#REF!</v>
      </c>
      <c r="V42" s="1548"/>
    </row>
    <row r="43" spans="1:27" s="1467" customFormat="1" ht="57.1" customHeight="1">
      <c r="A43" s="3768">
        <v>12</v>
      </c>
      <c r="B43" s="1568" t="str">
        <f t="shared" si="6"/>
        <v>2200002008</v>
      </c>
      <c r="C43" s="1902" t="s">
        <v>3738</v>
      </c>
      <c r="D43" s="2607">
        <v>4370</v>
      </c>
      <c r="E43" s="1921" t="s">
        <v>5311</v>
      </c>
      <c r="F43" s="1902" t="s">
        <v>20</v>
      </c>
      <c r="G43" s="2187" t="s">
        <v>5312</v>
      </c>
      <c r="H43" s="2187"/>
      <c r="I43" s="1921" t="s">
        <v>65</v>
      </c>
      <c r="J43" s="1921" t="s">
        <v>142</v>
      </c>
      <c r="K43" s="1845" t="s">
        <v>5313</v>
      </c>
      <c r="L43" s="2583">
        <v>3757</v>
      </c>
      <c r="M43" s="2196" t="s">
        <v>5314</v>
      </c>
      <c r="N43" s="1543" t="s">
        <v>5282</v>
      </c>
      <c r="O43" s="2544"/>
      <c r="P43" s="1790">
        <v>1</v>
      </c>
      <c r="Q43" s="1559"/>
      <c r="R43" s="1543"/>
      <c r="S43" s="2720"/>
      <c r="T43" s="2720"/>
      <c r="U43" s="2745"/>
      <c r="Y43" s="1474"/>
      <c r="Z43" s="1474"/>
      <c r="AA43" s="1474"/>
    </row>
    <row r="44" spans="1:27" s="1467" customFormat="1" ht="57.1" customHeight="1">
      <c r="A44" s="3769"/>
      <c r="B44" s="1568" t="str">
        <f t="shared" si="6"/>
        <v>2200002009</v>
      </c>
      <c r="C44" s="1493" t="s">
        <v>3738</v>
      </c>
      <c r="D44" s="1494"/>
      <c r="E44" s="1495"/>
      <c r="F44" s="1493" t="s">
        <v>20</v>
      </c>
      <c r="G44" s="1543"/>
      <c r="H44" s="1543"/>
      <c r="I44" s="1495" t="s">
        <v>65</v>
      </c>
      <c r="J44" s="1495" t="s">
        <v>117</v>
      </c>
      <c r="K44" s="1600" t="s">
        <v>5315</v>
      </c>
      <c r="L44" s="2357">
        <v>613</v>
      </c>
      <c r="M44" s="2196" t="s">
        <v>5316</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4824</v>
      </c>
      <c r="D45" s="2585">
        <v>5800</v>
      </c>
      <c r="E45" s="2118" t="s">
        <v>5317</v>
      </c>
      <c r="F45" s="2401" t="s">
        <v>18</v>
      </c>
      <c r="G45" s="1921" t="s">
        <v>5318</v>
      </c>
      <c r="H45" s="2279"/>
      <c r="I45" s="1921" t="s">
        <v>65</v>
      </c>
      <c r="J45" s="2187" t="s">
        <v>106</v>
      </c>
      <c r="K45" s="1845" t="s">
        <v>5319</v>
      </c>
      <c r="L45" s="2583">
        <v>5800</v>
      </c>
      <c r="M45" s="2196" t="s">
        <v>5230</v>
      </c>
      <c r="N45" s="1543" t="s">
        <v>5320</v>
      </c>
      <c r="O45" s="2565"/>
      <c r="P45" s="2626">
        <v>1</v>
      </c>
      <c r="Q45" s="2127"/>
      <c r="R45" s="1921"/>
      <c r="S45" s="2724"/>
      <c r="T45" s="2724"/>
      <c r="U45" s="2721"/>
      <c r="V45" s="2643"/>
      <c r="W45" s="2643"/>
      <c r="X45" s="2643"/>
      <c r="Y45" s="2643"/>
      <c r="Z45" s="2643"/>
      <c r="AA45" s="2643"/>
    </row>
    <row r="46" spans="1:27" s="1467" customFormat="1" ht="66.099999999999994" customHeight="1">
      <c r="A46" s="2582">
        <v>14</v>
      </c>
      <c r="B46" s="1568" t="str">
        <f t="shared" si="6"/>
        <v>2000002955</v>
      </c>
      <c r="C46" s="1902" t="s">
        <v>3947</v>
      </c>
      <c r="D46" s="2585">
        <v>4300</v>
      </c>
      <c r="E46" s="2118" t="s">
        <v>5321</v>
      </c>
      <c r="F46" s="2391" t="s">
        <v>22</v>
      </c>
      <c r="G46" s="2118" t="s">
        <v>5322</v>
      </c>
      <c r="H46" s="1921"/>
      <c r="I46" s="1921" t="s">
        <v>65</v>
      </c>
      <c r="J46" s="1921" t="s">
        <v>164</v>
      </c>
      <c r="K46" s="1845" t="s">
        <v>5323</v>
      </c>
      <c r="L46" s="2583">
        <v>4340</v>
      </c>
      <c r="M46" s="2196" t="s">
        <v>5238</v>
      </c>
      <c r="N46" s="1543" t="s">
        <v>5324</v>
      </c>
      <c r="O46" s="2565"/>
      <c r="P46" s="2626">
        <v>2</v>
      </c>
      <c r="Q46" s="2127"/>
      <c r="R46" s="1921"/>
      <c r="S46" s="2724"/>
      <c r="T46" s="2724"/>
      <c r="U46" s="2721"/>
      <c r="V46" s="2643"/>
      <c r="W46" s="2643"/>
      <c r="X46" s="2643"/>
      <c r="Y46" s="2643"/>
      <c r="Z46" s="2643"/>
      <c r="AA46" s="2643"/>
    </row>
    <row r="47" spans="1:27" s="1467" customFormat="1" ht="75.75" customHeight="1">
      <c r="A47" s="3768">
        <v>15</v>
      </c>
      <c r="B47" s="1568" t="str">
        <f t="shared" ref="B47" si="7">TEXT(LEFT(K47,10),"0000000000")</f>
        <v>2000002956</v>
      </c>
      <c r="C47" s="1902" t="s">
        <v>3499</v>
      </c>
      <c r="D47" s="2607">
        <v>4000</v>
      </c>
      <c r="E47" s="1921" t="s">
        <v>5325</v>
      </c>
      <c r="F47" s="1902" t="s">
        <v>20</v>
      </c>
      <c r="G47" s="1921" t="s">
        <v>5326</v>
      </c>
      <c r="H47" s="1921"/>
      <c r="I47" s="1921" t="s">
        <v>65</v>
      </c>
      <c r="J47" s="1921" t="s">
        <v>164</v>
      </c>
      <c r="K47" s="1845" t="s">
        <v>5327</v>
      </c>
      <c r="L47" s="2583">
        <v>3000</v>
      </c>
      <c r="M47" s="2196" t="s">
        <v>5230</v>
      </c>
      <c r="N47" s="1493" t="s">
        <v>5320</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1" customHeight="1">
      <c r="A48" s="3769"/>
      <c r="B48" s="1568" t="str">
        <f t="shared" ref="B48:B56" si="8">TEXT(LEFT(K48,10),"0000000000")</f>
        <v>2000003016</v>
      </c>
      <c r="C48" s="1493" t="s">
        <v>3499</v>
      </c>
      <c r="D48" s="1494"/>
      <c r="E48" s="1495"/>
      <c r="F48" s="1493" t="s">
        <v>20</v>
      </c>
      <c r="G48" s="1495"/>
      <c r="H48" s="1495"/>
      <c r="I48" s="1495" t="s">
        <v>65</v>
      </c>
      <c r="J48" s="1495" t="s">
        <v>164</v>
      </c>
      <c r="K48" s="1600" t="s">
        <v>5328</v>
      </c>
      <c r="L48" s="2357">
        <v>1000</v>
      </c>
      <c r="M48" s="2196" t="s">
        <v>5329</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099999999999994" customHeight="1">
      <c r="A49" s="3771">
        <v>16</v>
      </c>
      <c r="B49" s="1568" t="str">
        <f t="shared" si="8"/>
        <v>2000002968</v>
      </c>
      <c r="C49" s="1902" t="s">
        <v>5239</v>
      </c>
      <c r="D49" s="2607">
        <v>3950</v>
      </c>
      <c r="E49" s="1921" t="s">
        <v>5330</v>
      </c>
      <c r="F49" s="1902" t="s">
        <v>22</v>
      </c>
      <c r="G49" s="1909" t="s">
        <v>5331</v>
      </c>
      <c r="H49" s="1921"/>
      <c r="I49" s="1921" t="s">
        <v>65</v>
      </c>
      <c r="J49" s="1921" t="s">
        <v>117</v>
      </c>
      <c r="K49" s="1845" t="s">
        <v>5332</v>
      </c>
      <c r="L49" s="2583">
        <v>500</v>
      </c>
      <c r="M49" s="1790" t="s">
        <v>5255</v>
      </c>
      <c r="N49" s="1493" t="s">
        <v>5277</v>
      </c>
      <c r="O49" s="1859"/>
      <c r="P49" s="1790">
        <v>2</v>
      </c>
      <c r="Q49" s="1548"/>
      <c r="R49" s="1495"/>
      <c r="S49" s="1495"/>
      <c r="T49" s="1495"/>
      <c r="U49" s="1909"/>
      <c r="V49" s="1548"/>
      <c r="W49" s="1548"/>
      <c r="X49" s="1548"/>
      <c r="Y49" s="1493"/>
      <c r="Z49" s="1493"/>
      <c r="AA49" s="1493"/>
    </row>
    <row r="50" spans="1:27" s="1467" customFormat="1" ht="57.1" customHeight="1">
      <c r="A50" s="3772"/>
      <c r="B50" s="1568" t="str">
        <f t="shared" si="8"/>
        <v>2000003003</v>
      </c>
      <c r="C50" s="1493" t="s">
        <v>5239</v>
      </c>
      <c r="D50" s="1494"/>
      <c r="E50" s="1748"/>
      <c r="F50" s="1493" t="s">
        <v>22</v>
      </c>
      <c r="G50" s="1495"/>
      <c r="H50" s="1495"/>
      <c r="I50" s="1495" t="s">
        <v>65</v>
      </c>
      <c r="J50" s="1495" t="s">
        <v>117</v>
      </c>
      <c r="K50" s="1547" t="s">
        <v>5333</v>
      </c>
      <c r="L50" s="2357">
        <v>500</v>
      </c>
      <c r="M50" s="1790" t="s">
        <v>5255</v>
      </c>
      <c r="N50" s="1493"/>
      <c r="O50" s="1859"/>
      <c r="P50" s="1790">
        <v>2</v>
      </c>
      <c r="Q50" s="1548"/>
      <c r="R50" s="1495"/>
      <c r="S50" s="1495"/>
      <c r="T50" s="1495"/>
      <c r="U50" s="1909"/>
      <c r="V50" s="1548"/>
      <c r="W50" s="1548"/>
      <c r="X50" s="1548"/>
      <c r="Y50" s="1493"/>
      <c r="Z50" s="1493"/>
      <c r="AA50" s="1493"/>
    </row>
    <row r="51" spans="1:27" s="1467" customFormat="1" ht="78.8" customHeight="1">
      <c r="A51" s="3773"/>
      <c r="B51" s="1568" t="str">
        <f t="shared" si="8"/>
        <v>2000003006</v>
      </c>
      <c r="C51" s="1493" t="s">
        <v>5239</v>
      </c>
      <c r="D51" s="1494"/>
      <c r="E51" s="1495"/>
      <c r="F51" s="1493" t="s">
        <v>22</v>
      </c>
      <c r="G51" s="1495"/>
      <c r="H51" s="1495"/>
      <c r="I51" s="1495" t="s">
        <v>65</v>
      </c>
      <c r="J51" s="1495" t="s">
        <v>240</v>
      </c>
      <c r="K51" s="1600" t="s">
        <v>5334</v>
      </c>
      <c r="L51" s="2357">
        <v>3000</v>
      </c>
      <c r="M51" s="2196" t="s">
        <v>5230</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099999999999994" customHeight="1">
      <c r="A52" s="3768">
        <v>17</v>
      </c>
      <c r="B52" s="1568" t="str">
        <f>TEXT(LEFT(K52,10),"0000000000")</f>
        <v>2000003008</v>
      </c>
      <c r="C52" s="1902" t="s">
        <v>5335</v>
      </c>
      <c r="D52" s="2607">
        <v>4350</v>
      </c>
      <c r="E52" s="1921" t="s">
        <v>5336</v>
      </c>
      <c r="F52" s="1902" t="s">
        <v>20</v>
      </c>
      <c r="G52" s="1921" t="s">
        <v>5337</v>
      </c>
      <c r="H52" s="1921"/>
      <c r="I52" s="1921" t="s">
        <v>65</v>
      </c>
      <c r="J52" s="1921" t="s">
        <v>240</v>
      </c>
      <c r="K52" s="1845" t="s">
        <v>5338</v>
      </c>
      <c r="L52" s="2583">
        <v>1650</v>
      </c>
      <c r="M52" s="2196" t="s">
        <v>5230</v>
      </c>
      <c r="N52" s="1493" t="s">
        <v>5282</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1" customHeight="1">
      <c r="A53" s="3770"/>
      <c r="B53" s="1568">
        <v>2200002022</v>
      </c>
      <c r="C53" s="1493" t="s">
        <v>5335</v>
      </c>
      <c r="D53" s="1494"/>
      <c r="E53" s="1495"/>
      <c r="F53" s="1493" t="s">
        <v>20</v>
      </c>
      <c r="G53" s="1495"/>
      <c r="H53" s="1495"/>
      <c r="I53" s="1495" t="s">
        <v>65</v>
      </c>
      <c r="J53" s="1495" t="s">
        <v>142</v>
      </c>
      <c r="K53" s="1600" t="s">
        <v>5339</v>
      </c>
      <c r="L53" s="2357">
        <v>200</v>
      </c>
      <c r="M53" s="2196" t="s">
        <v>5230</v>
      </c>
      <c r="N53" s="1493"/>
      <c r="O53" s="1859"/>
      <c r="P53" s="1790">
        <v>2</v>
      </c>
      <c r="Q53" s="1548"/>
      <c r="R53" s="1495"/>
      <c r="S53" s="2720"/>
      <c r="T53" s="2720"/>
      <c r="U53" s="2745"/>
      <c r="V53" s="1548"/>
      <c r="W53" s="1548"/>
      <c r="X53" s="1548"/>
      <c r="Y53" s="1493"/>
      <c r="Z53" s="1493"/>
      <c r="AA53" s="1493"/>
    </row>
    <row r="54" spans="1:27" s="2643" customFormat="1" ht="84.1" customHeight="1">
      <c r="A54" s="3769"/>
      <c r="B54" s="1568" t="str">
        <f t="shared" si="8"/>
        <v>2000003001</v>
      </c>
      <c r="C54" s="1493" t="s">
        <v>5335</v>
      </c>
      <c r="D54" s="1494"/>
      <c r="E54" s="1495" t="s">
        <v>5340</v>
      </c>
      <c r="F54" s="1493" t="s">
        <v>20</v>
      </c>
      <c r="G54" s="1495"/>
      <c r="H54" s="1495"/>
      <c r="I54" s="1495" t="s">
        <v>65</v>
      </c>
      <c r="J54" s="1495" t="s">
        <v>142</v>
      </c>
      <c r="K54" s="1600" t="s">
        <v>5341</v>
      </c>
      <c r="L54" s="2357">
        <v>2500</v>
      </c>
      <c r="M54" s="1790" t="s">
        <v>5255</v>
      </c>
      <c r="N54" s="1493"/>
      <c r="O54" s="1859"/>
      <c r="P54" s="1790">
        <v>2</v>
      </c>
      <c r="Q54" s="1548"/>
      <c r="R54" s="1495"/>
      <c r="S54" s="1495"/>
      <c r="T54" s="1495"/>
      <c r="U54" s="1909"/>
      <c r="V54" s="1548"/>
      <c r="W54" s="1548"/>
      <c r="X54" s="1548"/>
      <c r="Y54" s="1493"/>
      <c r="Z54" s="1493"/>
      <c r="AA54" s="1493"/>
    </row>
    <row r="55" spans="1:27" s="2643" customFormat="1" ht="57.1" customHeight="1">
      <c r="A55" s="3768">
        <v>18</v>
      </c>
      <c r="B55" s="1568" t="str">
        <f t="shared" si="8"/>
        <v>2200002007</v>
      </c>
      <c r="C55" s="1493" t="s">
        <v>3494</v>
      </c>
      <c r="D55" s="2607">
        <v>8800</v>
      </c>
      <c r="E55" s="1921" t="s">
        <v>5342</v>
      </c>
      <c r="F55" s="1902" t="s">
        <v>16</v>
      </c>
      <c r="G55" s="2187" t="s">
        <v>5343</v>
      </c>
      <c r="H55" s="2187"/>
      <c r="I55" s="1921" t="s">
        <v>65</v>
      </c>
      <c r="J55" s="1921" t="s">
        <v>1179</v>
      </c>
      <c r="K55" s="1845" t="s">
        <v>5344</v>
      </c>
      <c r="L55" s="2583">
        <v>2517</v>
      </c>
      <c r="M55" s="2196" t="s">
        <v>5316</v>
      </c>
      <c r="N55" s="1543" t="s">
        <v>5320</v>
      </c>
      <c r="O55" s="2565"/>
      <c r="P55" s="2429">
        <v>2</v>
      </c>
      <c r="Q55" s="2127"/>
      <c r="R55" s="2187"/>
      <c r="S55" s="2724"/>
      <c r="T55" s="2724"/>
      <c r="U55" s="2721"/>
      <c r="Y55" s="2659"/>
      <c r="Z55" s="2659"/>
      <c r="AA55" s="2659"/>
    </row>
    <row r="56" spans="1:27" s="1467" customFormat="1" ht="57.1" customHeight="1">
      <c r="A56" s="3770"/>
      <c r="B56" s="1568" t="str">
        <f t="shared" si="8"/>
        <v>2200002010</v>
      </c>
      <c r="C56" s="1493" t="s">
        <v>3494</v>
      </c>
      <c r="D56" s="1494"/>
      <c r="E56" s="1495"/>
      <c r="F56" s="1493" t="s">
        <v>16</v>
      </c>
      <c r="G56" s="1543"/>
      <c r="H56" s="1543"/>
      <c r="I56" s="1495" t="s">
        <v>65</v>
      </c>
      <c r="J56" s="1495" t="s">
        <v>1179</v>
      </c>
      <c r="K56" s="1600" t="s">
        <v>5345</v>
      </c>
      <c r="L56" s="2357">
        <v>515</v>
      </c>
      <c r="M56" s="2196" t="s">
        <v>5316</v>
      </c>
      <c r="N56" s="1543"/>
      <c r="O56" s="2544"/>
      <c r="P56" s="1790">
        <v>2</v>
      </c>
      <c r="Q56" s="1559"/>
      <c r="R56" s="1543"/>
      <c r="S56" s="2720"/>
      <c r="T56" s="2720"/>
      <c r="U56" s="2721"/>
      <c r="Y56" s="1474"/>
      <c r="Z56" s="1474"/>
      <c r="AA56" s="1474"/>
    </row>
    <row r="57" spans="1:27" s="1467" customFormat="1" ht="58.6" customHeight="1">
      <c r="A57" s="3770"/>
      <c r="B57" s="1568" t="str">
        <f t="shared" ref="B57" si="9">TEXT(LEFT(K57,10),"0000000000")</f>
        <v>2000002919</v>
      </c>
      <c r="C57" s="1493" t="s">
        <v>3494</v>
      </c>
      <c r="D57" s="1494"/>
      <c r="E57" s="1495"/>
      <c r="F57" s="1493" t="s">
        <v>16</v>
      </c>
      <c r="G57" s="1495"/>
      <c r="H57" s="1495"/>
      <c r="I57" s="1495" t="s">
        <v>65</v>
      </c>
      <c r="J57" s="1495" t="s">
        <v>1179</v>
      </c>
      <c r="K57" s="1547" t="s">
        <v>5346</v>
      </c>
      <c r="L57" s="2357">
        <v>2000</v>
      </c>
      <c r="M57" s="2196" t="s">
        <v>5230</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6" customHeight="1">
      <c r="A58" s="3770"/>
      <c r="B58" s="1543" t="str">
        <f>TEXT(LEFT(K58,10),"0000000000")</f>
        <v>2000002930</v>
      </c>
      <c r="C58" s="1493" t="s">
        <v>3494</v>
      </c>
      <c r="D58" s="2756"/>
      <c r="E58" s="1559"/>
      <c r="F58" s="1493" t="s">
        <v>16</v>
      </c>
      <c r="G58" s="1559"/>
      <c r="H58" s="1559"/>
      <c r="I58" s="1495" t="s">
        <v>65</v>
      </c>
      <c r="J58" s="1495" t="s">
        <v>1179</v>
      </c>
      <c r="K58" s="1559" t="s">
        <v>5347</v>
      </c>
      <c r="L58" s="2747">
        <v>500</v>
      </c>
      <c r="M58" s="2196" t="s">
        <v>5230</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6" customHeight="1">
      <c r="A59" s="3770"/>
      <c r="B59" s="1543" t="str">
        <f>TEXT(LEFT(K59,10),"0000000000")</f>
        <v>2000002977</v>
      </c>
      <c r="C59" s="1493" t="s">
        <v>3494</v>
      </c>
      <c r="D59" s="2756"/>
      <c r="E59" s="1559"/>
      <c r="F59" s="1493" t="s">
        <v>16</v>
      </c>
      <c r="G59" s="1559"/>
      <c r="H59" s="1559"/>
      <c r="I59" s="1495" t="s">
        <v>65</v>
      </c>
      <c r="J59" s="1495" t="s">
        <v>1179</v>
      </c>
      <c r="K59" s="1559" t="s">
        <v>5348</v>
      </c>
      <c r="L59" s="2747">
        <v>3000</v>
      </c>
      <c r="M59" s="2196" t="s">
        <v>5230</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6" customHeight="1">
      <c r="A60" s="3769"/>
      <c r="B60" s="1568" t="str">
        <f>TEXT(LEFT(K60,10),"0000000000")</f>
        <v>2000003000</v>
      </c>
      <c r="C60" s="1493" t="s">
        <v>3494</v>
      </c>
      <c r="D60" s="1494"/>
      <c r="E60" s="1495"/>
      <c r="F60" s="1493" t="s">
        <v>16</v>
      </c>
      <c r="G60" s="1495"/>
      <c r="H60" s="1495"/>
      <c r="I60" s="1495" t="s">
        <v>65</v>
      </c>
      <c r="J60" s="1495" t="s">
        <v>1179</v>
      </c>
      <c r="K60" s="1547" t="s">
        <v>5349</v>
      </c>
      <c r="L60" s="2357">
        <v>350</v>
      </c>
      <c r="M60" s="1748" t="s">
        <v>5255</v>
      </c>
      <c r="N60" s="1495"/>
      <c r="O60" s="1859"/>
      <c r="P60" s="1790">
        <v>2</v>
      </c>
      <c r="Q60" s="1548"/>
      <c r="R60" s="1493"/>
      <c r="S60" s="1493"/>
      <c r="T60" s="1493"/>
      <c r="U60" s="2429"/>
    </row>
    <row r="61" spans="1:27" s="2643" customFormat="1" ht="58.6" customHeight="1">
      <c r="A61" s="3768">
        <v>19</v>
      </c>
      <c r="B61" s="1900" t="str">
        <f t="shared" ref="B61:B90" si="10">TEXT(LEFT(K61,10),"0000000000")</f>
        <v>2000003026</v>
      </c>
      <c r="C61" s="1493" t="s">
        <v>4455</v>
      </c>
      <c r="D61" s="2607">
        <v>24000</v>
      </c>
      <c r="E61" s="1921" t="s">
        <v>5350</v>
      </c>
      <c r="F61" s="1902" t="s">
        <v>14</v>
      </c>
      <c r="G61" s="1921" t="s">
        <v>5351</v>
      </c>
      <c r="H61" s="1921" t="s">
        <v>5352</v>
      </c>
      <c r="I61" s="1921" t="s">
        <v>65</v>
      </c>
      <c r="J61" s="1921" t="s">
        <v>164</v>
      </c>
      <c r="K61" s="1845" t="s">
        <v>5353</v>
      </c>
      <c r="L61" s="2583">
        <v>3000</v>
      </c>
      <c r="M61" s="2196" t="s">
        <v>5238</v>
      </c>
      <c r="N61" s="1493" t="s">
        <v>5287</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0.95" customHeight="1">
      <c r="A62" s="3770"/>
      <c r="B62" s="1900" t="str">
        <f t="shared" si="10"/>
        <v>2000003027</v>
      </c>
      <c r="C62" s="1493" t="s">
        <v>4455</v>
      </c>
      <c r="D62" s="1494"/>
      <c r="E62" s="1495"/>
      <c r="F62" s="1493" t="s">
        <v>14</v>
      </c>
      <c r="G62" s="1495"/>
      <c r="H62" s="1495"/>
      <c r="I62" s="1495" t="s">
        <v>65</v>
      </c>
      <c r="J62" s="1495" t="s">
        <v>164</v>
      </c>
      <c r="K62" s="1600" t="s">
        <v>5354</v>
      </c>
      <c r="L62" s="2357">
        <v>1000</v>
      </c>
      <c r="M62" s="2196" t="s">
        <v>5238</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6" customHeight="1">
      <c r="A63" s="3770"/>
      <c r="B63" s="1900" t="str">
        <f t="shared" si="10"/>
        <v>2000003016</v>
      </c>
      <c r="C63" s="1493" t="s">
        <v>4455</v>
      </c>
      <c r="D63" s="1494"/>
      <c r="E63" s="1495"/>
      <c r="F63" s="1493" t="s">
        <v>14</v>
      </c>
      <c r="G63" s="1495"/>
      <c r="H63" s="1495"/>
      <c r="I63" s="1495" t="s">
        <v>65</v>
      </c>
      <c r="J63" s="1495" t="s">
        <v>164</v>
      </c>
      <c r="K63" s="1600" t="s">
        <v>5355</v>
      </c>
      <c r="L63" s="2357">
        <v>2000</v>
      </c>
      <c r="M63" s="2196" t="s">
        <v>5238</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70"/>
      <c r="B64" s="1568" t="str">
        <f t="shared" si="10"/>
        <v>2000002997</v>
      </c>
      <c r="C64" s="1493" t="s">
        <v>4455</v>
      </c>
      <c r="D64" s="1826"/>
      <c r="E64" s="1495"/>
      <c r="F64" s="1493" t="s">
        <v>14</v>
      </c>
      <c r="G64" s="1495"/>
      <c r="H64" s="1495"/>
      <c r="I64" s="1495" t="s">
        <v>65</v>
      </c>
      <c r="J64" s="1495" t="s">
        <v>164</v>
      </c>
      <c r="K64" s="1600" t="s">
        <v>5356</v>
      </c>
      <c r="L64" s="2357">
        <v>500</v>
      </c>
      <c r="M64" s="1748" t="s">
        <v>5255</v>
      </c>
      <c r="N64" s="1495"/>
      <c r="O64" s="1859"/>
      <c r="P64" s="1790">
        <v>2</v>
      </c>
      <c r="Q64" s="1548"/>
      <c r="R64" s="1493"/>
      <c r="S64" s="2628"/>
      <c r="T64" s="2628"/>
      <c r="U64" s="2629"/>
      <c r="Y64" s="1474"/>
      <c r="Z64" s="1474"/>
      <c r="AA64" s="1474"/>
    </row>
    <row r="65" spans="1:27" s="1467" customFormat="1" ht="75.75" customHeight="1">
      <c r="A65" s="3770"/>
      <c r="B65" s="1543" t="str">
        <f t="shared" si="10"/>
        <v>2000003015</v>
      </c>
      <c r="C65" s="1493" t="s">
        <v>4455</v>
      </c>
      <c r="D65" s="1494"/>
      <c r="E65" s="1495"/>
      <c r="F65" s="1493" t="s">
        <v>14</v>
      </c>
      <c r="G65" s="1921"/>
      <c r="H65" s="1921"/>
      <c r="I65" s="1495" t="s">
        <v>65</v>
      </c>
      <c r="J65" s="1495" t="s">
        <v>164</v>
      </c>
      <c r="K65" s="1600" t="s">
        <v>5357</v>
      </c>
      <c r="L65" s="2357">
        <v>6000</v>
      </c>
      <c r="M65" s="2196" t="s">
        <v>5238</v>
      </c>
      <c r="N65" s="1493"/>
      <c r="O65" s="1859"/>
      <c r="P65" s="1790">
        <v>2</v>
      </c>
      <c r="Q65" s="1548"/>
      <c r="R65" s="1495"/>
      <c r="S65" s="1495"/>
      <c r="T65" s="1495"/>
      <c r="U65" s="1909"/>
      <c r="V65" s="1548"/>
      <c r="W65" s="1548"/>
      <c r="X65" s="1548"/>
      <c r="Y65" s="1493"/>
      <c r="Z65" s="1493"/>
      <c r="AA65" s="1493"/>
    </row>
    <row r="66" spans="1:27" s="1467" customFormat="1" ht="48.75" customHeight="1">
      <c r="A66" s="3770"/>
      <c r="B66" s="1900" t="str">
        <f t="shared" si="10"/>
        <v>2000002978</v>
      </c>
      <c r="C66" s="1493" t="s">
        <v>4455</v>
      </c>
      <c r="D66" s="2757"/>
      <c r="E66" s="1548"/>
      <c r="F66" s="1493" t="s">
        <v>14</v>
      </c>
      <c r="G66" s="1548"/>
      <c r="H66" s="1548"/>
      <c r="I66" s="1495" t="s">
        <v>65</v>
      </c>
      <c r="J66" s="1543" t="s">
        <v>106</v>
      </c>
      <c r="K66" s="1548" t="s">
        <v>5358</v>
      </c>
      <c r="L66" s="2747">
        <v>500</v>
      </c>
      <c r="M66" s="1790" t="s">
        <v>5255</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6" customHeight="1">
      <c r="A67" s="3770"/>
      <c r="B67" s="1900" t="str">
        <f t="shared" si="10"/>
        <v>2000002938</v>
      </c>
      <c r="C67" s="1493" t="s">
        <v>4455</v>
      </c>
      <c r="D67" s="1494"/>
      <c r="E67" s="1495"/>
      <c r="F67" s="1493" t="s">
        <v>14</v>
      </c>
      <c r="G67" s="1495"/>
      <c r="H67" s="1495"/>
      <c r="I67" s="1495" t="s">
        <v>65</v>
      </c>
      <c r="J67" s="1495" t="s">
        <v>106</v>
      </c>
      <c r="K67" s="1600" t="s">
        <v>5359</v>
      </c>
      <c r="L67" s="2357">
        <v>4200</v>
      </c>
      <c r="M67" s="2196" t="s">
        <v>5238</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6" customHeight="1">
      <c r="A68" s="3770"/>
      <c r="B68" s="1900" t="str">
        <f t="shared" si="10"/>
        <v>2000002990</v>
      </c>
      <c r="C68" s="1493" t="s">
        <v>4455</v>
      </c>
      <c r="D68" s="1494"/>
      <c r="E68" s="1495"/>
      <c r="F68" s="1493" t="s">
        <v>14</v>
      </c>
      <c r="G68" s="1495"/>
      <c r="H68" s="1495"/>
      <c r="I68" s="1495" t="s">
        <v>65</v>
      </c>
      <c r="J68" s="1495" t="s">
        <v>106</v>
      </c>
      <c r="K68" s="1547" t="s">
        <v>5360</v>
      </c>
      <c r="L68" s="2357">
        <v>3000</v>
      </c>
      <c r="M68" s="1748" t="s">
        <v>5255</v>
      </c>
      <c r="N68" s="1495"/>
      <c r="O68" s="1859" t="s">
        <v>5361</v>
      </c>
      <c r="P68" s="1790">
        <v>2</v>
      </c>
      <c r="Q68" s="1548"/>
      <c r="R68" s="1495"/>
      <c r="S68" s="1495"/>
      <c r="T68" s="1495"/>
      <c r="U68" s="1909"/>
      <c r="V68" s="1548"/>
      <c r="W68" s="1548"/>
      <c r="X68" s="1548"/>
      <c r="Y68" s="1493"/>
      <c r="Z68" s="1493"/>
      <c r="AA68" s="1493"/>
    </row>
    <row r="69" spans="1:27" s="1467" customFormat="1" ht="72.7" customHeight="1">
      <c r="A69" s="3770"/>
      <c r="B69" s="1900" t="str">
        <f t="shared" si="10"/>
        <v>2000002965</v>
      </c>
      <c r="C69" s="1493" t="s">
        <v>4455</v>
      </c>
      <c r="D69" s="1494"/>
      <c r="E69" s="1543"/>
      <c r="F69" s="1493" t="s">
        <v>14</v>
      </c>
      <c r="G69" s="1495"/>
      <c r="H69" s="1495"/>
      <c r="I69" s="1495" t="s">
        <v>65</v>
      </c>
      <c r="J69" s="1495" t="s">
        <v>106</v>
      </c>
      <c r="K69" s="1600" t="s">
        <v>5362</v>
      </c>
      <c r="L69" s="2758">
        <v>3500</v>
      </c>
      <c r="M69" s="1790" t="s">
        <v>5363</v>
      </c>
      <c r="N69" s="1493"/>
      <c r="O69" s="1859"/>
      <c r="P69" s="1790">
        <v>2</v>
      </c>
      <c r="Q69" s="1548"/>
      <c r="R69" s="1493"/>
      <c r="S69" s="1493"/>
      <c r="T69" s="1493"/>
      <c r="U69" s="2429"/>
      <c r="V69" s="1548"/>
    </row>
    <row r="70" spans="1:27" s="1467" customFormat="1" ht="46.55" customHeight="1">
      <c r="A70" s="3771">
        <v>20</v>
      </c>
      <c r="B70" s="1543" t="str">
        <f>TEXT(LEFT(K70,10),"0000000000")</f>
        <v>2400001198</v>
      </c>
      <c r="C70" s="1902" t="s">
        <v>5364</v>
      </c>
      <c r="D70" s="1494">
        <v>35000</v>
      </c>
      <c r="E70" s="1495" t="s">
        <v>5365</v>
      </c>
      <c r="F70" s="1493" t="s">
        <v>3460</v>
      </c>
      <c r="G70" s="1495" t="s">
        <v>5366</v>
      </c>
      <c r="H70" s="1495"/>
      <c r="I70" s="1495" t="s">
        <v>65</v>
      </c>
      <c r="J70" s="1495" t="s">
        <v>4581</v>
      </c>
      <c r="K70" s="1547" t="s">
        <v>5367</v>
      </c>
      <c r="L70" s="2357">
        <v>10550</v>
      </c>
      <c r="M70" s="2196" t="s">
        <v>5368</v>
      </c>
      <c r="N70" s="1495"/>
      <c r="O70" s="1859" t="s">
        <v>5369</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 customHeight="1">
      <c r="A71" s="3772"/>
      <c r="B71" s="1543" t="str">
        <f t="shared" ref="B71:B85" si="12">TEXT(LEFT(K71,10),"0000000000")</f>
        <v>2400001197</v>
      </c>
      <c r="C71" s="1493" t="s">
        <v>5364</v>
      </c>
      <c r="D71" s="1494"/>
      <c r="E71" s="1495"/>
      <c r="F71" s="1493" t="s">
        <v>3460</v>
      </c>
      <c r="G71" s="1495"/>
      <c r="H71" s="1495"/>
      <c r="I71" s="1495" t="s">
        <v>65</v>
      </c>
      <c r="J71" s="1495" t="s">
        <v>4581</v>
      </c>
      <c r="K71" s="1547" t="s">
        <v>5370</v>
      </c>
      <c r="L71" s="2357">
        <v>24450</v>
      </c>
      <c r="M71" s="1748" t="s">
        <v>5371</v>
      </c>
      <c r="N71" s="1495"/>
      <c r="O71" s="1859"/>
      <c r="P71" s="1790">
        <v>2</v>
      </c>
      <c r="Q71" s="1548"/>
      <c r="R71" s="1495"/>
      <c r="S71" s="1495"/>
      <c r="T71" s="1495"/>
      <c r="U71" s="1909"/>
      <c r="V71" s="1548"/>
      <c r="W71" s="1548"/>
      <c r="X71" s="1548"/>
      <c r="Y71" s="1493"/>
      <c r="Z71" s="1493"/>
      <c r="AA71" s="1493"/>
    </row>
    <row r="72" spans="1:27" s="1467" customFormat="1" ht="72.7" customHeight="1">
      <c r="A72" s="3773"/>
      <c r="B72" s="1543" t="str">
        <f t="shared" si="12"/>
        <v>2400001205</v>
      </c>
      <c r="C72" s="1545" t="s">
        <v>5364</v>
      </c>
      <c r="D72" s="1494"/>
      <c r="E72" s="1495"/>
      <c r="F72" s="1493" t="s">
        <v>3460</v>
      </c>
      <c r="G72" s="1495"/>
      <c r="H72" s="1495"/>
      <c r="I72" s="1495" t="s">
        <v>65</v>
      </c>
      <c r="J72" s="1495" t="s">
        <v>4581</v>
      </c>
      <c r="K72" s="1547" t="s">
        <v>5372</v>
      </c>
      <c r="L72" s="2357">
        <v>25</v>
      </c>
      <c r="M72" s="1748" t="s">
        <v>5255</v>
      </c>
      <c r="N72" s="1495"/>
      <c r="O72" s="1859" t="s">
        <v>5373</v>
      </c>
      <c r="P72" s="1790">
        <v>2</v>
      </c>
      <c r="Q72" s="1548"/>
      <c r="R72" s="1495"/>
      <c r="S72" s="1495"/>
      <c r="T72" s="1495"/>
      <c r="U72" s="1909"/>
      <c r="V72" s="1548"/>
      <c r="W72" s="1548"/>
      <c r="X72" s="1548"/>
      <c r="Y72" s="1493"/>
      <c r="Z72" s="1493"/>
      <c r="AA72" s="1493"/>
    </row>
    <row r="73" spans="1:27" s="1467" customFormat="1" ht="48.75" customHeight="1">
      <c r="A73" s="3768">
        <v>21</v>
      </c>
      <c r="B73" s="1937" t="str">
        <f t="shared" si="12"/>
        <v>2200002008</v>
      </c>
      <c r="C73" s="1902" t="s">
        <v>3754</v>
      </c>
      <c r="D73" s="2767">
        <v>4450</v>
      </c>
      <c r="E73" s="1921" t="s">
        <v>5374</v>
      </c>
      <c r="F73" s="1902" t="s">
        <v>22</v>
      </c>
      <c r="G73" s="2184" t="s">
        <v>5375</v>
      </c>
      <c r="H73" s="2187"/>
      <c r="I73" s="1921" t="s">
        <v>65</v>
      </c>
      <c r="J73" s="1921" t="s">
        <v>142</v>
      </c>
      <c r="K73" s="1845" t="s">
        <v>5313</v>
      </c>
      <c r="L73" s="2583">
        <v>1100</v>
      </c>
      <c r="M73" s="2196" t="s">
        <v>5314</v>
      </c>
      <c r="N73" s="1543" t="s">
        <v>5324</v>
      </c>
      <c r="O73" s="2544"/>
      <c r="P73" s="1790">
        <v>2</v>
      </c>
      <c r="Q73" s="1559"/>
      <c r="R73" s="1543"/>
      <c r="S73" s="2720"/>
      <c r="T73" s="2720"/>
      <c r="U73" s="2745"/>
      <c r="Y73" s="1474"/>
      <c r="Z73" s="1474"/>
      <c r="AA73" s="1474"/>
    </row>
    <row r="74" spans="1:27" s="1467" customFormat="1" ht="64.55" customHeight="1">
      <c r="A74" s="3769"/>
      <c r="B74" s="1568" t="str">
        <f t="shared" si="12"/>
        <v>2000003008</v>
      </c>
      <c r="C74" s="1630" t="s">
        <v>3754</v>
      </c>
      <c r="D74" s="1494"/>
      <c r="E74" s="1495"/>
      <c r="F74" s="1493" t="s">
        <v>22</v>
      </c>
      <c r="G74" s="1495"/>
      <c r="H74" s="1495"/>
      <c r="I74" s="1495" t="s">
        <v>65</v>
      </c>
      <c r="J74" s="1495" t="s">
        <v>240</v>
      </c>
      <c r="K74" s="1600" t="s">
        <v>5376</v>
      </c>
      <c r="L74" s="2357">
        <v>3350</v>
      </c>
      <c r="M74" s="2196" t="s">
        <v>5238</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5" customHeight="1">
      <c r="A75" s="3771">
        <v>22</v>
      </c>
      <c r="B75" s="1568" t="str">
        <f>TEXT(LEFT(K75,10),"0000000000")</f>
        <v>2200001955</v>
      </c>
      <c r="C75" s="1921" t="s">
        <v>5377</v>
      </c>
      <c r="D75" s="2624">
        <v>13300</v>
      </c>
      <c r="E75" s="1921" t="s">
        <v>5378</v>
      </c>
      <c r="F75" s="1902" t="s">
        <v>14</v>
      </c>
      <c r="G75" s="1921" t="s">
        <v>5379</v>
      </c>
      <c r="H75" s="1921"/>
      <c r="I75" s="1921" t="s">
        <v>65</v>
      </c>
      <c r="J75" s="1921" t="s">
        <v>1000</v>
      </c>
      <c r="K75" s="1845" t="s">
        <v>5380</v>
      </c>
      <c r="L75" s="2583">
        <v>2000</v>
      </c>
      <c r="M75" s="1909" t="s">
        <v>5381</v>
      </c>
      <c r="N75" s="1543" t="s">
        <v>5324</v>
      </c>
      <c r="O75" s="1862"/>
      <c r="P75" s="2429">
        <v>2</v>
      </c>
      <c r="Q75" s="2150"/>
      <c r="R75" s="2150"/>
      <c r="S75" s="2150"/>
      <c r="T75" s="2150"/>
      <c r="U75" s="2150"/>
      <c r="V75" s="2150"/>
      <c r="W75" s="2643"/>
      <c r="X75" s="2643"/>
      <c r="Y75" s="2643"/>
      <c r="Z75" s="2643"/>
      <c r="AA75" s="2643"/>
    </row>
    <row r="76" spans="1:27" s="1467" customFormat="1" ht="55.55" customHeight="1">
      <c r="A76" s="3772"/>
      <c r="B76" s="1568" t="str">
        <f t="shared" si="12"/>
        <v>2000002981</v>
      </c>
      <c r="C76" s="1493" t="s">
        <v>4254</v>
      </c>
      <c r="D76" s="2613"/>
      <c r="E76" s="1543"/>
      <c r="F76" s="1493" t="s">
        <v>14</v>
      </c>
      <c r="G76" s="1543"/>
      <c r="H76" s="1495"/>
      <c r="I76" s="1495" t="s">
        <v>65</v>
      </c>
      <c r="J76" s="1495" t="s">
        <v>1000</v>
      </c>
      <c r="K76" s="1854" t="s">
        <v>5382</v>
      </c>
      <c r="L76" s="2357">
        <v>5000</v>
      </c>
      <c r="M76" s="2196" t="s">
        <v>5238</v>
      </c>
      <c r="N76" s="1543"/>
      <c r="O76" s="2544"/>
      <c r="P76" s="1852">
        <v>2</v>
      </c>
      <c r="Q76" s="1559"/>
      <c r="R76" s="1495" t="s">
        <v>5288</v>
      </c>
      <c r="S76" s="2720" t="e">
        <f>VLOOKUP(R76,#REF!,2,0)</f>
        <v>#REF!</v>
      </c>
      <c r="T76" s="2720" t="e">
        <f>VLOOKUP(R76,#REF!,3,0)</f>
        <v>#REF!</v>
      </c>
      <c r="U76" s="2721" t="e">
        <f>S76-T76</f>
        <v>#REF!</v>
      </c>
    </row>
    <row r="77" spans="1:27" s="1467" customFormat="1" ht="55.55" customHeight="1">
      <c r="A77" s="3772"/>
      <c r="B77" s="1900" t="str">
        <f t="shared" si="12"/>
        <v>2000003038</v>
      </c>
      <c r="C77" s="1493" t="s">
        <v>4254</v>
      </c>
      <c r="D77" s="1548"/>
      <c r="E77" s="1548"/>
      <c r="F77" s="1493" t="s">
        <v>14</v>
      </c>
      <c r="G77" s="1495"/>
      <c r="H77" s="1568"/>
      <c r="I77" s="1495" t="s">
        <v>65</v>
      </c>
      <c r="J77" s="1495" t="s">
        <v>1000</v>
      </c>
      <c r="K77" s="1600" t="s">
        <v>5383</v>
      </c>
      <c r="L77" s="2357">
        <v>1900</v>
      </c>
      <c r="M77" s="2196" t="s">
        <v>5238</v>
      </c>
      <c r="N77" s="1493"/>
      <c r="O77" s="1859"/>
      <c r="P77" s="1790">
        <v>2</v>
      </c>
      <c r="Q77" s="1548"/>
      <c r="R77" s="1495"/>
      <c r="S77" s="1495"/>
      <c r="T77" s="1495"/>
      <c r="U77" s="1748"/>
      <c r="V77" s="1548"/>
      <c r="W77" s="1548"/>
      <c r="X77" s="1548"/>
      <c r="Y77" s="1493"/>
      <c r="Z77" s="1493"/>
      <c r="AA77" s="1493"/>
    </row>
    <row r="78" spans="1:27" s="1467" customFormat="1" ht="55.55" customHeight="1">
      <c r="A78" s="3772"/>
      <c r="B78" s="1900" t="str">
        <f t="shared" si="12"/>
        <v>2000003039</v>
      </c>
      <c r="C78" s="1493" t="s">
        <v>4254</v>
      </c>
      <c r="D78" s="1548"/>
      <c r="E78" s="1548"/>
      <c r="F78" s="1493" t="s">
        <v>14</v>
      </c>
      <c r="G78" s="1495"/>
      <c r="H78" s="1568"/>
      <c r="I78" s="1495" t="s">
        <v>65</v>
      </c>
      <c r="J78" s="1495" t="s">
        <v>1000</v>
      </c>
      <c r="K78" s="1600" t="s">
        <v>5384</v>
      </c>
      <c r="L78" s="2357">
        <v>1100</v>
      </c>
      <c r="M78" s="2196" t="s">
        <v>5238</v>
      </c>
      <c r="N78" s="1493"/>
      <c r="O78" s="1859"/>
      <c r="P78" s="1790">
        <v>2</v>
      </c>
      <c r="Q78" s="1548"/>
      <c r="R78" s="1495"/>
      <c r="S78" s="1495"/>
      <c r="T78" s="1495"/>
      <c r="U78" s="1748"/>
      <c r="V78" s="1548"/>
      <c r="W78" s="1548"/>
      <c r="X78" s="1548"/>
      <c r="Y78" s="1493"/>
      <c r="Z78" s="1493"/>
      <c r="AA78" s="1493"/>
    </row>
    <row r="79" spans="1:27" s="1467" customFormat="1" ht="55.55" customHeight="1">
      <c r="A79" s="3772"/>
      <c r="B79" s="1900" t="str">
        <f t="shared" si="12"/>
        <v>2200001990</v>
      </c>
      <c r="C79" s="1493" t="s">
        <v>4254</v>
      </c>
      <c r="D79" s="1548"/>
      <c r="E79" s="1548"/>
      <c r="F79" s="1493" t="s">
        <v>14</v>
      </c>
      <c r="G79" s="1495"/>
      <c r="H79" s="1568"/>
      <c r="I79" s="1495" t="s">
        <v>65</v>
      </c>
      <c r="J79" s="1495" t="s">
        <v>1000</v>
      </c>
      <c r="K79" s="1600" t="s">
        <v>5385</v>
      </c>
      <c r="L79" s="2357">
        <v>164</v>
      </c>
      <c r="M79" s="2196" t="s">
        <v>5386</v>
      </c>
      <c r="N79" s="1545"/>
      <c r="O79" s="2544"/>
      <c r="P79" s="1790">
        <v>2</v>
      </c>
      <c r="Q79" s="1559"/>
      <c r="R79" s="1495"/>
      <c r="S79" s="1495"/>
      <c r="T79" s="1495"/>
      <c r="U79" s="1748"/>
      <c r="Y79" s="1474"/>
      <c r="Z79" s="1474"/>
      <c r="AA79" s="1474"/>
    </row>
    <row r="80" spans="1:27" s="1467" customFormat="1" ht="55.55" customHeight="1">
      <c r="A80" s="3772"/>
      <c r="B80" s="1900" t="str">
        <f t="shared" si="12"/>
        <v>2200001976</v>
      </c>
      <c r="C80" s="1493" t="s">
        <v>4254</v>
      </c>
      <c r="D80" s="1883"/>
      <c r="E80" s="1883"/>
      <c r="F80" s="1493" t="s">
        <v>14</v>
      </c>
      <c r="G80" s="1851"/>
      <c r="H80" s="1568"/>
      <c r="I80" s="1495" t="s">
        <v>65</v>
      </c>
      <c r="J80" s="1495" t="s">
        <v>1000</v>
      </c>
      <c r="K80" s="1600" t="s">
        <v>5387</v>
      </c>
      <c r="L80" s="2357">
        <v>94</v>
      </c>
      <c r="M80" s="2196" t="s">
        <v>5238</v>
      </c>
      <c r="N80" s="1545"/>
      <c r="O80" s="2544"/>
      <c r="P80" s="1790">
        <v>2</v>
      </c>
      <c r="Q80" s="1559"/>
      <c r="R80" s="1495"/>
      <c r="S80" s="1495"/>
      <c r="T80" s="1495"/>
      <c r="U80" s="1748"/>
      <c r="Y80" s="1474"/>
      <c r="Z80" s="1474"/>
      <c r="AA80" s="1474"/>
    </row>
    <row r="81" spans="1:27" s="1467" customFormat="1" ht="55.55" customHeight="1">
      <c r="A81" s="3772"/>
      <c r="B81" s="1900" t="str">
        <f t="shared" si="12"/>
        <v>2200002019</v>
      </c>
      <c r="C81" s="1493" t="s">
        <v>4254</v>
      </c>
      <c r="D81" s="1883"/>
      <c r="E81" s="1883"/>
      <c r="F81" s="1493" t="s">
        <v>14</v>
      </c>
      <c r="G81" s="1851"/>
      <c r="H81" s="1568"/>
      <c r="I81" s="1495" t="s">
        <v>65</v>
      </c>
      <c r="J81" s="1495" t="s">
        <v>1000</v>
      </c>
      <c r="K81" s="1547" t="s">
        <v>5388</v>
      </c>
      <c r="L81" s="2357">
        <v>400</v>
      </c>
      <c r="M81" s="1748" t="s">
        <v>5389</v>
      </c>
      <c r="N81" s="1545"/>
      <c r="O81" s="2544"/>
      <c r="P81" s="1790">
        <v>2</v>
      </c>
      <c r="Q81" s="1559"/>
      <c r="R81" s="1495"/>
      <c r="S81" s="1495"/>
      <c r="T81" s="1495"/>
      <c r="U81" s="1748"/>
      <c r="Y81" s="1474"/>
      <c r="Z81" s="1474"/>
      <c r="AA81" s="1474"/>
    </row>
    <row r="82" spans="1:27" s="1467" customFormat="1" ht="55.55" customHeight="1">
      <c r="A82" s="3772"/>
      <c r="B82" s="1900" t="str">
        <f t="shared" si="12"/>
        <v>2200002021</v>
      </c>
      <c r="C82" s="1493" t="s">
        <v>4254</v>
      </c>
      <c r="D82" s="1883"/>
      <c r="E82" s="1883"/>
      <c r="F82" s="1493" t="s">
        <v>14</v>
      </c>
      <c r="G82" s="1851"/>
      <c r="H82" s="1568"/>
      <c r="I82" s="1495" t="s">
        <v>65</v>
      </c>
      <c r="J82" s="1495" t="s">
        <v>1000</v>
      </c>
      <c r="K82" s="1547" t="s">
        <v>5390</v>
      </c>
      <c r="L82" s="2357">
        <v>477</v>
      </c>
      <c r="M82" s="2196" t="s">
        <v>5247</v>
      </c>
      <c r="N82" s="1545"/>
      <c r="O82" s="2544"/>
      <c r="P82" s="1790">
        <v>2</v>
      </c>
      <c r="Q82" s="1559"/>
      <c r="R82" s="1495"/>
      <c r="S82" s="1495"/>
      <c r="T82" s="1495"/>
      <c r="U82" s="1748"/>
      <c r="Y82" s="1474"/>
      <c r="Z82" s="1474"/>
      <c r="AA82" s="1474"/>
    </row>
    <row r="83" spans="1:27" s="1467" customFormat="1" ht="55.55" customHeight="1">
      <c r="A83" s="3772"/>
      <c r="B83" s="1900" t="str">
        <f t="shared" si="12"/>
        <v>2200001982</v>
      </c>
      <c r="C83" s="1493" t="s">
        <v>4254</v>
      </c>
      <c r="D83" s="1883"/>
      <c r="E83" s="1883"/>
      <c r="F83" s="1493" t="s">
        <v>14</v>
      </c>
      <c r="G83" s="1851"/>
      <c r="H83" s="1568"/>
      <c r="I83" s="1495" t="s">
        <v>65</v>
      </c>
      <c r="J83" s="1495" t="s">
        <v>1000</v>
      </c>
      <c r="K83" s="1600" t="s">
        <v>5391</v>
      </c>
      <c r="L83" s="2357">
        <v>39</v>
      </c>
      <c r="M83" s="2196" t="s">
        <v>5392</v>
      </c>
      <c r="N83" s="1545"/>
      <c r="O83" s="2544"/>
      <c r="P83" s="1790">
        <v>2</v>
      </c>
      <c r="Q83" s="1559"/>
      <c r="R83" s="1495"/>
      <c r="S83" s="1495"/>
      <c r="T83" s="1495"/>
      <c r="U83" s="1748"/>
      <c r="Y83" s="1474"/>
      <c r="Z83" s="1474"/>
      <c r="AA83" s="1474"/>
    </row>
    <row r="84" spans="1:27" s="1467" customFormat="1" ht="55.55" customHeight="1">
      <c r="A84" s="3772"/>
      <c r="B84" s="1900" t="str">
        <f>TEXT(LEFT(K84,10),"0000000000")</f>
        <v>2200002018</v>
      </c>
      <c r="C84" s="1493" t="s">
        <v>4254</v>
      </c>
      <c r="D84" s="1883"/>
      <c r="E84" s="1883"/>
      <c r="F84" s="1493" t="s">
        <v>14</v>
      </c>
      <c r="G84" s="1851"/>
      <c r="H84" s="1568"/>
      <c r="I84" s="1495" t="s">
        <v>65</v>
      </c>
      <c r="J84" s="1495" t="s">
        <v>1000</v>
      </c>
      <c r="K84" s="1600" t="s">
        <v>5393</v>
      </c>
      <c r="L84" s="2357">
        <v>690</v>
      </c>
      <c r="M84" s="2196" t="s">
        <v>5230</v>
      </c>
      <c r="N84" s="1545"/>
      <c r="O84" s="2544"/>
      <c r="P84" s="1790">
        <v>2</v>
      </c>
      <c r="Q84" s="1559"/>
      <c r="R84" s="1495"/>
      <c r="S84" s="1495"/>
      <c r="T84" s="1495"/>
      <c r="U84" s="1748"/>
      <c r="Y84" s="1474"/>
      <c r="Z84" s="1474"/>
      <c r="AA84" s="1474"/>
    </row>
    <row r="85" spans="1:27" s="1467" customFormat="1" ht="55.55" customHeight="1">
      <c r="A85" s="3773"/>
      <c r="B85" s="1900" t="str">
        <f t="shared" si="12"/>
        <v>2200002020</v>
      </c>
      <c r="C85" s="1493" t="s">
        <v>4254</v>
      </c>
      <c r="D85" s="1883"/>
      <c r="E85" s="1883"/>
      <c r="F85" s="1493" t="s">
        <v>14</v>
      </c>
      <c r="G85" s="1851"/>
      <c r="H85" s="1568"/>
      <c r="I85" s="1495" t="s">
        <v>65</v>
      </c>
      <c r="J85" s="1495" t="s">
        <v>1000</v>
      </c>
      <c r="K85" s="1600" t="s">
        <v>5394</v>
      </c>
      <c r="L85" s="2357">
        <v>1436</v>
      </c>
      <c r="M85" s="2196" t="s">
        <v>5247</v>
      </c>
      <c r="N85" s="1545"/>
      <c r="O85" s="2544"/>
      <c r="P85" s="1790">
        <v>2</v>
      </c>
      <c r="Q85" s="1559"/>
      <c r="R85" s="1495"/>
      <c r="S85" s="1495"/>
      <c r="T85" s="1495"/>
      <c r="U85" s="1748"/>
      <c r="Y85" s="1474"/>
      <c r="Z85" s="1474"/>
      <c r="AA85" s="1474"/>
    </row>
    <row r="86" spans="1:27" s="1467" customFormat="1" ht="58.6" customHeight="1">
      <c r="A86" s="3776">
        <v>23</v>
      </c>
      <c r="B86" s="1900" t="str">
        <f t="shared" si="10"/>
        <v>2000003015</v>
      </c>
      <c r="C86" s="1902" t="s">
        <v>3538</v>
      </c>
      <c r="D86" s="2607">
        <v>8800</v>
      </c>
      <c r="E86" s="1921" t="s">
        <v>5395</v>
      </c>
      <c r="F86" s="1902" t="s">
        <v>16</v>
      </c>
      <c r="G86" s="1921" t="s">
        <v>5396</v>
      </c>
      <c r="H86" s="1921"/>
      <c r="I86" s="1921" t="s">
        <v>65</v>
      </c>
      <c r="J86" s="1921" t="s">
        <v>164</v>
      </c>
      <c r="K86" s="1845" t="s">
        <v>5397</v>
      </c>
      <c r="L86" s="2583">
        <v>4000</v>
      </c>
      <c r="M86" s="2196" t="s">
        <v>5398</v>
      </c>
      <c r="N86" s="1493" t="s">
        <v>5320</v>
      </c>
      <c r="O86" s="1859"/>
      <c r="P86" s="1790">
        <v>2</v>
      </c>
      <c r="Q86" s="1548"/>
      <c r="R86" s="1495"/>
      <c r="S86" s="1495"/>
      <c r="T86" s="1495"/>
      <c r="U86" s="1748"/>
      <c r="V86" s="1548"/>
      <c r="W86" s="1548"/>
      <c r="X86" s="1548"/>
      <c r="Y86" s="1493"/>
      <c r="Z86" s="1493"/>
      <c r="AA86" s="1493"/>
    </row>
    <row r="87" spans="1:27" s="1467" customFormat="1" ht="58.6" customHeight="1">
      <c r="A87" s="3776"/>
      <c r="B87" s="1900" t="str">
        <f t="shared" si="10"/>
        <v>2000003027</v>
      </c>
      <c r="C87" s="1493" t="s">
        <v>3538</v>
      </c>
      <c r="D87" s="1494"/>
      <c r="E87" s="1495"/>
      <c r="F87" s="1493" t="s">
        <v>16</v>
      </c>
      <c r="G87" s="1495"/>
      <c r="H87" s="1495"/>
      <c r="I87" s="1495" t="s">
        <v>65</v>
      </c>
      <c r="J87" s="1495" t="s">
        <v>164</v>
      </c>
      <c r="K87" s="1600" t="s">
        <v>5354</v>
      </c>
      <c r="L87" s="2357">
        <v>1900</v>
      </c>
      <c r="M87" s="2196" t="s">
        <v>5238</v>
      </c>
      <c r="N87" s="1493"/>
      <c r="O87" s="1859"/>
      <c r="P87" s="1790">
        <v>2</v>
      </c>
      <c r="Q87" s="1548"/>
      <c r="R87" s="1495"/>
      <c r="S87" s="1495"/>
      <c r="T87" s="1495"/>
      <c r="U87" s="1909"/>
      <c r="V87" s="1548"/>
      <c r="W87" s="1548"/>
      <c r="X87" s="1548"/>
      <c r="Y87" s="1493"/>
      <c r="Z87" s="1493"/>
      <c r="AA87" s="1493"/>
    </row>
    <row r="88" spans="1:27" s="1467" customFormat="1" ht="67.599999999999994" customHeight="1">
      <c r="A88" s="3776"/>
      <c r="B88" s="1900" t="str">
        <f t="shared" si="10"/>
        <v>2000003042</v>
      </c>
      <c r="C88" s="1493" t="s">
        <v>3538</v>
      </c>
      <c r="D88" s="1494"/>
      <c r="E88" s="1495"/>
      <c r="F88" s="1493" t="s">
        <v>16</v>
      </c>
      <c r="G88" s="1495"/>
      <c r="H88" s="1495"/>
      <c r="I88" s="1495" t="s">
        <v>65</v>
      </c>
      <c r="J88" s="1495" t="s">
        <v>164</v>
      </c>
      <c r="K88" s="1546" t="s">
        <v>5399</v>
      </c>
      <c r="L88" s="2357">
        <v>600</v>
      </c>
      <c r="M88" s="1748" t="s">
        <v>5255</v>
      </c>
      <c r="N88" s="1493"/>
      <c r="O88" s="1859"/>
      <c r="P88" s="1790">
        <v>2</v>
      </c>
      <c r="Q88" s="1548"/>
      <c r="R88" s="1495"/>
      <c r="S88" s="1495"/>
      <c r="T88" s="1495"/>
      <c r="U88" s="1909"/>
      <c r="V88" s="1548"/>
      <c r="W88" s="1548"/>
      <c r="X88" s="1548"/>
      <c r="Y88" s="1493"/>
      <c r="Z88" s="1493"/>
      <c r="AA88" s="1493"/>
    </row>
    <row r="89" spans="1:27" s="1467" customFormat="1" ht="76.599999999999994" customHeight="1">
      <c r="A89" s="3776"/>
      <c r="B89" s="1900" t="str">
        <f t="shared" si="10"/>
        <v>2000003034</v>
      </c>
      <c r="C89" s="1493" t="s">
        <v>3538</v>
      </c>
      <c r="D89" s="1494"/>
      <c r="E89" s="1543"/>
      <c r="F89" s="1493" t="s">
        <v>16</v>
      </c>
      <c r="G89" s="1495"/>
      <c r="H89" s="1495"/>
      <c r="I89" s="1495" t="s">
        <v>65</v>
      </c>
      <c r="J89" s="1773" t="s">
        <v>5400</v>
      </c>
      <c r="K89" s="1600" t="s">
        <v>5401</v>
      </c>
      <c r="L89" s="2483">
        <v>2300</v>
      </c>
      <c r="M89" s="1909" t="s">
        <v>5255</v>
      </c>
      <c r="N89" s="1493"/>
      <c r="O89" s="1859"/>
      <c r="P89" s="1790">
        <v>2</v>
      </c>
      <c r="Q89" s="1548"/>
      <c r="R89" s="1495"/>
      <c r="S89" s="1495"/>
      <c r="T89" s="1495"/>
      <c r="U89" s="1909"/>
      <c r="V89" s="1548"/>
      <c r="Y89" s="1474"/>
      <c r="Z89" s="1474"/>
      <c r="AA89" s="1474"/>
    </row>
    <row r="90" spans="1:27" s="2643" customFormat="1" ht="58.6" customHeight="1">
      <c r="A90" s="3768">
        <v>24</v>
      </c>
      <c r="B90" s="1900" t="str">
        <f t="shared" si="10"/>
        <v>2000003035</v>
      </c>
      <c r="C90" s="1902" t="s">
        <v>234</v>
      </c>
      <c r="D90" s="2607">
        <v>11700</v>
      </c>
      <c r="E90" s="2187" t="s">
        <v>5402</v>
      </c>
      <c r="F90" s="1902" t="s">
        <v>16</v>
      </c>
      <c r="G90" s="1921" t="s">
        <v>5403</v>
      </c>
      <c r="H90" s="1921"/>
      <c r="I90" s="1921" t="s">
        <v>65</v>
      </c>
      <c r="J90" s="1561" t="s">
        <v>5400</v>
      </c>
      <c r="K90" s="2402" t="s">
        <v>5404</v>
      </c>
      <c r="L90" s="2480">
        <v>4200</v>
      </c>
      <c r="M90" s="1909" t="s">
        <v>5255</v>
      </c>
      <c r="N90" s="1493" t="s">
        <v>5324</v>
      </c>
      <c r="O90" s="1775"/>
      <c r="P90" s="1790">
        <v>2</v>
      </c>
      <c r="Q90" s="2150"/>
      <c r="R90" s="1921"/>
      <c r="S90" s="1921"/>
      <c r="T90" s="1921"/>
      <c r="U90" s="1909"/>
      <c r="V90" s="2150"/>
      <c r="Y90" s="2659"/>
      <c r="Z90" s="2659"/>
      <c r="AA90" s="2659"/>
    </row>
    <row r="91" spans="1:27" s="1548" customFormat="1" ht="63" customHeight="1">
      <c r="A91" s="3769"/>
      <c r="B91" s="1568" t="str">
        <f t="shared" ref="B91:B97" si="13">TEXT(LEFT(K91,10),"0000000000")</f>
        <v>2000002999</v>
      </c>
      <c r="C91" s="1493" t="s">
        <v>234</v>
      </c>
      <c r="D91" s="1494"/>
      <c r="E91" s="1495"/>
      <c r="F91" s="1493" t="s">
        <v>16</v>
      </c>
      <c r="G91" s="1495"/>
      <c r="H91" s="1495"/>
      <c r="I91" s="1495" t="s">
        <v>65</v>
      </c>
      <c r="J91" s="1495" t="s">
        <v>106</v>
      </c>
      <c r="K91" s="1600" t="s">
        <v>5405</v>
      </c>
      <c r="L91" s="2357">
        <v>7500</v>
      </c>
      <c r="M91" s="1748" t="s">
        <v>5406</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3595</v>
      </c>
      <c r="D92" s="2607">
        <v>4300</v>
      </c>
      <c r="E92" s="1921" t="s">
        <v>5407</v>
      </c>
      <c r="F92" s="1902" t="s">
        <v>22</v>
      </c>
      <c r="G92" s="1921" t="s">
        <v>5408</v>
      </c>
      <c r="H92" s="1921"/>
      <c r="I92" s="1921" t="s">
        <v>65</v>
      </c>
      <c r="J92" s="1921" t="s">
        <v>142</v>
      </c>
      <c r="K92" s="1911" t="s">
        <v>5339</v>
      </c>
      <c r="L92" s="2583">
        <v>4300</v>
      </c>
      <c r="M92" s="2196" t="s">
        <v>5409</v>
      </c>
      <c r="N92" s="1495" t="s">
        <v>5410</v>
      </c>
      <c r="O92" s="1775"/>
      <c r="P92" s="2429">
        <v>2</v>
      </c>
      <c r="Q92" s="2150"/>
      <c r="R92" s="1921"/>
      <c r="S92" s="1921"/>
      <c r="T92" s="1921"/>
      <c r="U92" s="1909"/>
      <c r="V92" s="2150"/>
      <c r="W92" s="2150"/>
      <c r="X92" s="2150"/>
      <c r="Y92" s="1902"/>
      <c r="Z92" s="1902"/>
      <c r="AA92" s="1902"/>
    </row>
    <row r="93" spans="1:27" s="2150" customFormat="1" ht="58.6" customHeight="1">
      <c r="A93" s="3771">
        <v>26</v>
      </c>
      <c r="B93" s="1543" t="str">
        <f t="shared" si="13"/>
        <v>2400001189</v>
      </c>
      <c r="C93" s="1902" t="s">
        <v>5411</v>
      </c>
      <c r="D93" s="2607">
        <f>SUM(L93:L98)</f>
        <v>30450</v>
      </c>
      <c r="E93" s="1921" t="s">
        <v>5412</v>
      </c>
      <c r="F93" s="1902" t="s">
        <v>38</v>
      </c>
      <c r="G93" s="1921" t="s">
        <v>5413</v>
      </c>
      <c r="H93" s="1921"/>
      <c r="I93" s="1921" t="s">
        <v>65</v>
      </c>
      <c r="J93" s="1921" t="s">
        <v>5414</v>
      </c>
      <c r="K93" s="1911" t="s">
        <v>5415</v>
      </c>
      <c r="L93" s="2583">
        <v>15000</v>
      </c>
      <c r="M93" s="1748" t="s">
        <v>5255</v>
      </c>
      <c r="N93" s="1495"/>
      <c r="O93" s="1775"/>
      <c r="P93" s="2429">
        <v>2</v>
      </c>
      <c r="R93" s="1921"/>
      <c r="S93" s="1921"/>
      <c r="T93" s="1921"/>
      <c r="U93" s="1909"/>
      <c r="Y93" s="1902"/>
      <c r="Z93" s="1902"/>
      <c r="AA93" s="1902"/>
    </row>
    <row r="94" spans="1:27" s="1548" customFormat="1" ht="58.6" customHeight="1">
      <c r="A94" s="3772"/>
      <c r="B94" s="1543" t="str">
        <f>TEXT(LEFT(K94,10),"0000000000")</f>
        <v>2400001206</v>
      </c>
      <c r="C94" s="1493" t="s">
        <v>5411</v>
      </c>
      <c r="D94" s="1494"/>
      <c r="E94" s="1495"/>
      <c r="F94" s="1493" t="s">
        <v>38</v>
      </c>
      <c r="G94" s="1495"/>
      <c r="H94" s="1495"/>
      <c r="I94" s="1495" t="s">
        <v>65</v>
      </c>
      <c r="J94" s="1495" t="s">
        <v>5416</v>
      </c>
      <c r="K94" s="2769" t="s">
        <v>5417</v>
      </c>
      <c r="L94" s="2357">
        <v>2000</v>
      </c>
      <c r="M94" s="1748" t="s">
        <v>5255</v>
      </c>
      <c r="N94" s="1495"/>
      <c r="O94" s="1859" t="s">
        <v>5418</v>
      </c>
      <c r="P94" s="1790">
        <v>2</v>
      </c>
      <c r="R94" s="1495"/>
      <c r="S94" s="1495"/>
      <c r="T94" s="1495"/>
      <c r="U94" s="1909"/>
      <c r="Y94" s="1493"/>
      <c r="Z94" s="1493"/>
      <c r="AA94" s="1493"/>
    </row>
    <row r="95" spans="1:27" s="1548" customFormat="1" ht="58.6" customHeight="1">
      <c r="A95" s="3772"/>
      <c r="B95" s="1543" t="str">
        <f t="shared" si="13"/>
        <v>2400001207</v>
      </c>
      <c r="C95" s="1493" t="s">
        <v>5411</v>
      </c>
      <c r="D95" s="1494"/>
      <c r="E95" s="1495"/>
      <c r="F95" s="1493" t="s">
        <v>38</v>
      </c>
      <c r="G95" s="1495"/>
      <c r="H95" s="1495"/>
      <c r="I95" s="1495" t="s">
        <v>65</v>
      </c>
      <c r="J95" s="1495" t="s">
        <v>5416</v>
      </c>
      <c r="K95" s="1547" t="s">
        <v>5419</v>
      </c>
      <c r="L95" s="2357">
        <v>2000</v>
      </c>
      <c r="M95" s="1748" t="s">
        <v>5255</v>
      </c>
      <c r="N95" s="1495"/>
      <c r="O95" s="1859" t="s">
        <v>5420</v>
      </c>
      <c r="P95" s="1790">
        <v>2</v>
      </c>
      <c r="R95" s="1495"/>
      <c r="S95" s="1495"/>
      <c r="T95" s="1495"/>
      <c r="U95" s="1909"/>
      <c r="Y95" s="1493"/>
      <c r="Z95" s="1493"/>
      <c r="AA95" s="1493"/>
    </row>
    <row r="96" spans="1:27" s="1548" customFormat="1" ht="58.6" customHeight="1">
      <c r="A96" s="3772"/>
      <c r="B96" s="1543" t="str">
        <f t="shared" si="13"/>
        <v>2400001208</v>
      </c>
      <c r="C96" s="1493" t="s">
        <v>5411</v>
      </c>
      <c r="D96" s="1494"/>
      <c r="E96" s="1495"/>
      <c r="F96" s="1493" t="s">
        <v>38</v>
      </c>
      <c r="G96" s="1495"/>
      <c r="H96" s="1495"/>
      <c r="I96" s="1495" t="s">
        <v>65</v>
      </c>
      <c r="J96" s="1495" t="s">
        <v>5416</v>
      </c>
      <c r="K96" s="1547" t="s">
        <v>5421</v>
      </c>
      <c r="L96" s="2357">
        <v>3000</v>
      </c>
      <c r="M96" s="1748" t="s">
        <v>5255</v>
      </c>
      <c r="N96" s="1495"/>
      <c r="O96" s="1859" t="s">
        <v>5422</v>
      </c>
      <c r="P96" s="1790">
        <v>2</v>
      </c>
      <c r="R96" s="1495"/>
      <c r="S96" s="1495"/>
      <c r="T96" s="1495"/>
      <c r="U96" s="1909"/>
      <c r="Y96" s="1493"/>
      <c r="Z96" s="1493"/>
      <c r="AA96" s="1493"/>
    </row>
    <row r="97" spans="1:27" s="1548" customFormat="1" ht="58.6" customHeight="1">
      <c r="A97" s="3772"/>
      <c r="B97" s="1543" t="str">
        <f t="shared" si="13"/>
        <v>2400001209</v>
      </c>
      <c r="C97" s="1493" t="s">
        <v>5411</v>
      </c>
      <c r="D97" s="1494"/>
      <c r="E97" s="1495"/>
      <c r="F97" s="1493" t="s">
        <v>38</v>
      </c>
      <c r="G97" s="1495"/>
      <c r="H97" s="1495"/>
      <c r="I97" s="1495" t="s">
        <v>65</v>
      </c>
      <c r="J97" s="1495" t="s">
        <v>5416</v>
      </c>
      <c r="K97" s="1547" t="s">
        <v>5423</v>
      </c>
      <c r="L97" s="2357">
        <v>3000</v>
      </c>
      <c r="M97" s="1748" t="s">
        <v>5255</v>
      </c>
      <c r="N97" s="1495"/>
      <c r="O97" s="1859" t="s">
        <v>5424</v>
      </c>
      <c r="P97" s="1790">
        <v>2</v>
      </c>
      <c r="R97" s="1495"/>
      <c r="S97" s="1495"/>
      <c r="T97" s="1495"/>
      <c r="U97" s="1909"/>
      <c r="Y97" s="1493"/>
      <c r="Z97" s="1493"/>
      <c r="AA97" s="1493"/>
    </row>
    <row r="98" spans="1:27" s="1548" customFormat="1" ht="58.6" customHeight="1">
      <c r="A98" s="3773"/>
      <c r="B98" s="1543" t="str">
        <f t="shared" ref="B98:B103" si="14">TEXT(LEFT(K98,10),"0000000000")</f>
        <v>2400001203</v>
      </c>
      <c r="C98" s="1493" t="s">
        <v>5411</v>
      </c>
      <c r="D98" s="1494"/>
      <c r="E98" s="1495"/>
      <c r="F98" s="1493" t="s">
        <v>38</v>
      </c>
      <c r="G98" s="1495"/>
      <c r="H98" s="1495"/>
      <c r="I98" s="1495" t="s">
        <v>65</v>
      </c>
      <c r="J98" s="1495" t="s">
        <v>5416</v>
      </c>
      <c r="K98" s="1547" t="s">
        <v>5425</v>
      </c>
      <c r="L98" s="2357">
        <v>5450</v>
      </c>
      <c r="M98" s="1748" t="s">
        <v>5255</v>
      </c>
      <c r="N98" s="1495"/>
      <c r="O98" s="1859"/>
      <c r="P98" s="1790">
        <v>2</v>
      </c>
      <c r="R98" s="1495"/>
      <c r="S98" s="1495"/>
      <c r="T98" s="1495"/>
      <c r="U98" s="1909"/>
      <c r="Y98" s="1493"/>
      <c r="Z98" s="1493"/>
      <c r="AA98" s="1493"/>
    </row>
    <row r="99" spans="1:27" s="2150" customFormat="1" ht="58.6" customHeight="1">
      <c r="A99" s="2766">
        <v>27</v>
      </c>
      <c r="B99" s="1543" t="str">
        <f>TEXT(LEFT(K99,10),"0000000000")</f>
        <v>2200002022</v>
      </c>
      <c r="C99" s="2563" t="s">
        <v>103</v>
      </c>
      <c r="D99" s="2607">
        <v>3240</v>
      </c>
      <c r="E99" s="1921" t="s">
        <v>5426</v>
      </c>
      <c r="F99" s="1902" t="s">
        <v>20</v>
      </c>
      <c r="G99" s="1921" t="s">
        <v>5427</v>
      </c>
      <c r="H99" s="1921"/>
      <c r="I99" s="1921" t="s">
        <v>65</v>
      </c>
      <c r="J99" s="1921" t="s">
        <v>142</v>
      </c>
      <c r="K99" s="1911" t="s">
        <v>5339</v>
      </c>
      <c r="L99" s="2583">
        <v>3240</v>
      </c>
      <c r="M99" s="2196" t="s">
        <v>5409</v>
      </c>
      <c r="N99" s="1495" t="s">
        <v>5410</v>
      </c>
      <c r="O99" s="1775"/>
      <c r="P99" s="2429">
        <v>2</v>
      </c>
      <c r="R99" s="1921"/>
      <c r="S99" s="1921"/>
      <c r="T99" s="1921"/>
      <c r="U99" s="1909"/>
      <c r="Y99" s="1902"/>
      <c r="Z99" s="1902"/>
      <c r="AA99" s="1902"/>
    </row>
    <row r="100" spans="1:27" s="2150" customFormat="1" ht="58.6" customHeight="1">
      <c r="A100" s="3768">
        <v>28</v>
      </c>
      <c r="B100" s="1543" t="str">
        <f t="shared" si="14"/>
        <v>2200002022</v>
      </c>
      <c r="C100" s="2563" t="s">
        <v>5428</v>
      </c>
      <c r="D100" s="2607">
        <v>3250</v>
      </c>
      <c r="E100" s="1921" t="s">
        <v>5429</v>
      </c>
      <c r="F100" s="1902" t="s">
        <v>22</v>
      </c>
      <c r="G100" s="1921" t="s">
        <v>5430</v>
      </c>
      <c r="H100" s="1921"/>
      <c r="I100" s="1921" t="s">
        <v>65</v>
      </c>
      <c r="J100" s="1921" t="s">
        <v>142</v>
      </c>
      <c r="K100" s="1911" t="s">
        <v>5339</v>
      </c>
      <c r="L100" s="2583">
        <v>1000</v>
      </c>
      <c r="M100" s="2196" t="s">
        <v>5409</v>
      </c>
      <c r="N100" s="1495" t="s">
        <v>5324</v>
      </c>
      <c r="O100" s="1775"/>
      <c r="P100" s="2429">
        <v>2</v>
      </c>
      <c r="R100" s="1921"/>
      <c r="S100" s="1921"/>
      <c r="T100" s="1921"/>
      <c r="U100" s="1909"/>
      <c r="Y100" s="1902"/>
      <c r="Z100" s="1902"/>
      <c r="AA100" s="1902"/>
    </row>
    <row r="101" spans="1:27" s="1548" customFormat="1" ht="58.6" customHeight="1">
      <c r="A101" s="3770"/>
      <c r="B101" s="1543" t="str">
        <f t="shared" si="14"/>
        <v>2200002026</v>
      </c>
      <c r="C101" s="1626" t="s">
        <v>5428</v>
      </c>
      <c r="D101" s="1494"/>
      <c r="E101" s="1495"/>
      <c r="F101" s="1493" t="s">
        <v>22</v>
      </c>
      <c r="G101" s="1495"/>
      <c r="H101" s="1495"/>
      <c r="I101" s="1495" t="s">
        <v>65</v>
      </c>
      <c r="J101" s="1495" t="s">
        <v>142</v>
      </c>
      <c r="K101" s="1547" t="s">
        <v>5431</v>
      </c>
      <c r="L101" s="2357">
        <v>412</v>
      </c>
      <c r="M101" s="1748" t="s">
        <v>5432</v>
      </c>
      <c r="N101" s="1495"/>
      <c r="O101" s="1859"/>
      <c r="P101" s="1790">
        <v>2</v>
      </c>
      <c r="R101" s="1495"/>
      <c r="S101" s="1495"/>
      <c r="T101" s="1495"/>
      <c r="U101" s="1909"/>
      <c r="Y101" s="1493"/>
      <c r="Z101" s="1493"/>
      <c r="AA101" s="1493"/>
    </row>
    <row r="102" spans="1:27" s="1548" customFormat="1" ht="58.6" customHeight="1">
      <c r="A102" s="3770"/>
      <c r="B102" s="1543" t="str">
        <f t="shared" si="14"/>
        <v>2200002023</v>
      </c>
      <c r="C102" s="1626" t="s">
        <v>263</v>
      </c>
      <c r="D102" s="1494"/>
      <c r="E102" s="1495"/>
      <c r="F102" s="1493" t="s">
        <v>22</v>
      </c>
      <c r="G102" s="1495"/>
      <c r="H102" s="1495"/>
      <c r="I102" s="1495" t="s">
        <v>65</v>
      </c>
      <c r="J102" s="1495" t="s">
        <v>117</v>
      </c>
      <c r="K102" s="1547" t="s">
        <v>5433</v>
      </c>
      <c r="L102" s="2357">
        <v>243</v>
      </c>
      <c r="M102" s="2196" t="s">
        <v>5434</v>
      </c>
      <c r="N102" s="1495"/>
      <c r="O102" s="1859"/>
      <c r="P102" s="1790">
        <v>2</v>
      </c>
      <c r="R102" s="1495"/>
      <c r="S102" s="1495"/>
      <c r="T102" s="1495"/>
      <c r="U102" s="1909"/>
      <c r="Y102" s="1493"/>
      <c r="Z102" s="1493"/>
      <c r="AA102" s="1493"/>
    </row>
    <row r="103" spans="1:27" s="1548" customFormat="1" ht="58.6" customHeight="1">
      <c r="A103" s="3770"/>
      <c r="B103" s="1543" t="str">
        <f t="shared" si="14"/>
        <v>2200002027</v>
      </c>
      <c r="C103" s="1626" t="s">
        <v>5428</v>
      </c>
      <c r="D103" s="1494"/>
      <c r="E103" s="1495"/>
      <c r="F103" s="1493" t="s">
        <v>22</v>
      </c>
      <c r="G103" s="1495"/>
      <c r="H103" s="1495"/>
      <c r="I103" s="1495" t="s">
        <v>65</v>
      </c>
      <c r="J103" s="1495" t="s">
        <v>117</v>
      </c>
      <c r="K103" s="1547" t="s">
        <v>5435</v>
      </c>
      <c r="L103" s="2357">
        <v>275</v>
      </c>
      <c r="M103" s="1748" t="s">
        <v>5436</v>
      </c>
      <c r="N103" s="1495"/>
      <c r="O103" s="1859"/>
      <c r="P103" s="1790">
        <v>2</v>
      </c>
      <c r="R103" s="1495"/>
      <c r="S103" s="1495"/>
      <c r="T103" s="1495"/>
      <c r="U103" s="1909"/>
      <c r="Y103" s="1493"/>
      <c r="Z103" s="1493"/>
      <c r="AA103" s="1493"/>
    </row>
    <row r="104" spans="1:27" s="1548" customFormat="1" ht="81" customHeight="1">
      <c r="A104" s="3769"/>
      <c r="B104" s="1900" t="str">
        <f t="shared" ref="B104:B123" si="15">TEXT(LEFT(K104,10),"0000000000")</f>
        <v>2000003023</v>
      </c>
      <c r="C104" s="1626" t="s">
        <v>5428</v>
      </c>
      <c r="D104" s="1494"/>
      <c r="E104" s="1495"/>
      <c r="F104" s="1493" t="s">
        <v>22</v>
      </c>
      <c r="G104" s="1495"/>
      <c r="H104" s="1495"/>
      <c r="I104" s="1495" t="s">
        <v>65</v>
      </c>
      <c r="J104" s="1495" t="s">
        <v>117</v>
      </c>
      <c r="K104" s="1600" t="s">
        <v>5437</v>
      </c>
      <c r="L104" s="2357">
        <v>1300</v>
      </c>
      <c r="M104" s="1748" t="s">
        <v>5438</v>
      </c>
      <c r="N104" s="1493"/>
      <c r="O104" s="1859"/>
      <c r="P104" s="2716">
        <v>2</v>
      </c>
      <c r="R104" s="1495"/>
      <c r="S104" s="1495"/>
      <c r="T104" s="1495"/>
      <c r="U104" s="1909"/>
      <c r="Y104" s="1493"/>
      <c r="Z104" s="1493"/>
      <c r="AA104" s="1493"/>
    </row>
    <row r="105" spans="1:27" s="1548" customFormat="1" ht="81" customHeight="1">
      <c r="A105" s="3768">
        <v>30</v>
      </c>
      <c r="B105" s="1900" t="str">
        <f>TEXT(LEFT(K105,10),"0000000000")</f>
        <v>2200002029</v>
      </c>
      <c r="C105" s="1902" t="s">
        <v>134</v>
      </c>
      <c r="D105" s="2607">
        <v>2950</v>
      </c>
      <c r="E105" s="1921" t="s">
        <v>5439</v>
      </c>
      <c r="F105" s="1902" t="s">
        <v>22</v>
      </c>
      <c r="G105" s="1921" t="s">
        <v>5440</v>
      </c>
      <c r="H105" s="1921"/>
      <c r="I105" s="1921" t="s">
        <v>65</v>
      </c>
      <c r="J105" s="2370" t="s">
        <v>142</v>
      </c>
      <c r="K105" s="1911" t="s">
        <v>5441</v>
      </c>
      <c r="L105" s="2583">
        <v>2466</v>
      </c>
      <c r="M105" s="2196" t="s">
        <v>5442</v>
      </c>
      <c r="N105" s="1493"/>
      <c r="O105" s="1775"/>
      <c r="P105" s="2429">
        <v>2</v>
      </c>
      <c r="Q105" s="2150"/>
      <c r="R105" s="1921"/>
      <c r="S105" s="1921"/>
      <c r="T105" s="1921"/>
      <c r="U105" s="1909"/>
      <c r="V105" s="2150"/>
      <c r="W105" s="2150"/>
      <c r="X105" s="2150"/>
      <c r="Y105" s="1902"/>
      <c r="Z105" s="1902"/>
      <c r="AA105" s="1902"/>
    </row>
    <row r="106" spans="1:27" s="1548" customFormat="1" ht="81" customHeight="1">
      <c r="A106" s="3769"/>
      <c r="B106" s="1900" t="str">
        <f>TEXT(LEFT(K106,10),"0000000000")</f>
        <v>2200002035</v>
      </c>
      <c r="C106" s="1493" t="s">
        <v>134</v>
      </c>
      <c r="D106" s="2613"/>
      <c r="E106" s="1543"/>
      <c r="F106" s="1493" t="s">
        <v>22</v>
      </c>
      <c r="G106" s="1543"/>
      <c r="H106" s="1543"/>
      <c r="I106" s="1495" t="s">
        <v>65</v>
      </c>
      <c r="J106" s="1899" t="s">
        <v>117</v>
      </c>
      <c r="K106" s="1600" t="s">
        <v>5443</v>
      </c>
      <c r="L106" s="2357">
        <v>484</v>
      </c>
      <c r="M106" s="1852" t="s">
        <v>5444</v>
      </c>
      <c r="N106" s="1545"/>
      <c r="O106" s="2544"/>
      <c r="P106" s="1852">
        <v>2</v>
      </c>
      <c r="Q106" s="1559"/>
      <c r="R106" s="1543"/>
      <c r="S106" s="1543"/>
      <c r="T106" s="1543"/>
      <c r="U106" s="2051"/>
      <c r="V106" s="1467"/>
      <c r="W106" s="1467"/>
      <c r="X106" s="1467"/>
      <c r="Y106" s="1474"/>
      <c r="Z106" s="1474"/>
      <c r="AA106" s="1474"/>
    </row>
    <row r="107" spans="1:27" s="2150" customFormat="1" ht="58.6" customHeight="1">
      <c r="A107" s="3779">
        <v>31</v>
      </c>
      <c r="B107" s="1495" t="str">
        <f t="shared" si="15"/>
        <v>2200002022</v>
      </c>
      <c r="C107" s="2563" t="s">
        <v>125</v>
      </c>
      <c r="D107" s="2607">
        <v>4250</v>
      </c>
      <c r="E107" s="1921" t="s">
        <v>5445</v>
      </c>
      <c r="F107" s="1493" t="s">
        <v>22</v>
      </c>
      <c r="G107" s="1921" t="s">
        <v>5446</v>
      </c>
      <c r="H107" s="1921"/>
      <c r="I107" s="1921" t="s">
        <v>65</v>
      </c>
      <c r="J107" s="1921" t="s">
        <v>142</v>
      </c>
      <c r="K107" s="1911" t="s">
        <v>5339</v>
      </c>
      <c r="L107" s="2583">
        <v>250</v>
      </c>
      <c r="M107" s="2196" t="s">
        <v>5409</v>
      </c>
      <c r="N107" s="1493" t="s">
        <v>5324</v>
      </c>
      <c r="O107" s="1775"/>
      <c r="P107" s="2629">
        <v>2</v>
      </c>
      <c r="R107" s="1921"/>
      <c r="S107" s="1921"/>
      <c r="T107" s="1921"/>
      <c r="U107" s="1909"/>
      <c r="Y107" s="1902"/>
      <c r="Z107" s="1902"/>
      <c r="AA107" s="1902"/>
    </row>
    <row r="108" spans="1:27" s="1548" customFormat="1" ht="71.349999999999994" customHeight="1">
      <c r="A108" s="3780"/>
      <c r="B108" s="1495" t="str">
        <f t="shared" ref="B108:B116" si="16">TEXT(LEFT(K108,10),"0000000000")</f>
        <v>2000003056</v>
      </c>
      <c r="C108" s="1626" t="s">
        <v>125</v>
      </c>
      <c r="D108" s="1494"/>
      <c r="E108" s="1495"/>
      <c r="F108" s="1493" t="s">
        <v>22</v>
      </c>
      <c r="G108" s="1495"/>
      <c r="H108" s="1495"/>
      <c r="I108" s="1495" t="s">
        <v>65</v>
      </c>
      <c r="J108" s="1495" t="s">
        <v>164</v>
      </c>
      <c r="K108" s="1546" t="s">
        <v>5447</v>
      </c>
      <c r="L108" s="2543">
        <v>4000</v>
      </c>
      <c r="M108" s="2196" t="s">
        <v>5230</v>
      </c>
      <c r="N108" s="1545"/>
      <c r="O108" s="1860" t="s">
        <v>5448</v>
      </c>
      <c r="P108" s="1852">
        <v>2</v>
      </c>
      <c r="Q108" s="1559"/>
      <c r="R108" s="1543"/>
      <c r="S108" s="1543"/>
      <c r="T108" s="1543"/>
      <c r="U108" s="2261"/>
      <c r="Y108" s="1493"/>
      <c r="Z108" s="1493"/>
      <c r="AA108" s="1493"/>
    </row>
    <row r="109" spans="1:27" s="1548" customFormat="1" ht="71.349999999999994" customHeight="1">
      <c r="A109" s="2436">
        <v>32</v>
      </c>
      <c r="B109" s="1543" t="str">
        <f t="shared" si="16"/>
        <v>2000003012</v>
      </c>
      <c r="C109" s="1902" t="s">
        <v>114</v>
      </c>
      <c r="D109" s="2607">
        <v>3720</v>
      </c>
      <c r="E109" s="1921" t="s">
        <v>5449</v>
      </c>
      <c r="F109" s="1902" t="s">
        <v>22</v>
      </c>
      <c r="G109" s="1921" t="s">
        <v>5450</v>
      </c>
      <c r="H109" s="1921"/>
      <c r="I109" s="1921" t="s">
        <v>65</v>
      </c>
      <c r="J109" s="1921" t="s">
        <v>294</v>
      </c>
      <c r="K109" s="1845" t="s">
        <v>5451</v>
      </c>
      <c r="L109" s="2583">
        <v>3720</v>
      </c>
      <c r="M109" s="2429" t="s">
        <v>5255</v>
      </c>
      <c r="N109" s="1493" t="s">
        <v>5320</v>
      </c>
      <c r="O109" s="1775"/>
      <c r="P109" s="2429">
        <v>3</v>
      </c>
      <c r="Q109" s="2150"/>
      <c r="R109" s="1921"/>
      <c r="S109" s="1921"/>
      <c r="T109" s="1921"/>
      <c r="U109" s="1909"/>
      <c r="V109" s="2150"/>
      <c r="W109" s="2150"/>
      <c r="X109" s="2150"/>
      <c r="Y109" s="1902"/>
      <c r="Z109" s="1902"/>
      <c r="AA109" s="1902"/>
    </row>
    <row r="110" spans="1:27" s="1548" customFormat="1" ht="59.3" customHeight="1">
      <c r="A110" s="3768">
        <v>33</v>
      </c>
      <c r="B110" s="2187" t="str">
        <f t="shared" si="16"/>
        <v>2200002028</v>
      </c>
      <c r="C110" s="1902" t="s">
        <v>3361</v>
      </c>
      <c r="D110" s="2607">
        <v>8800</v>
      </c>
      <c r="E110" s="1921" t="s">
        <v>5452</v>
      </c>
      <c r="F110" s="1902" t="s">
        <v>14</v>
      </c>
      <c r="G110" s="1921" t="s">
        <v>5453</v>
      </c>
      <c r="H110" s="1921"/>
      <c r="I110" s="1921" t="s">
        <v>65</v>
      </c>
      <c r="J110" s="1921" t="s">
        <v>1000</v>
      </c>
      <c r="K110" s="1845" t="s">
        <v>5454</v>
      </c>
      <c r="L110" s="2583">
        <v>1423</v>
      </c>
      <c r="M110" s="2196" t="s">
        <v>5442</v>
      </c>
      <c r="N110" s="1493"/>
      <c r="O110" s="1775"/>
      <c r="P110" s="2626">
        <v>3</v>
      </c>
      <c r="Q110" s="2150"/>
      <c r="R110" s="1921"/>
      <c r="S110" s="1921"/>
      <c r="T110" s="1921"/>
      <c r="U110" s="1909"/>
      <c r="V110" s="2150"/>
      <c r="W110" s="2150"/>
      <c r="X110" s="2150"/>
      <c r="Y110" s="1902"/>
      <c r="Z110" s="1902"/>
      <c r="AA110" s="1902"/>
    </row>
    <row r="111" spans="1:27" s="1548" customFormat="1" ht="54" customHeight="1">
      <c r="A111" s="3770"/>
      <c r="B111" s="1900" t="str">
        <f t="shared" si="16"/>
        <v>2200002020</v>
      </c>
      <c r="C111" s="1493" t="s">
        <v>3361</v>
      </c>
      <c r="D111" s="1494"/>
      <c r="E111" s="1495"/>
      <c r="F111" s="1493" t="s">
        <v>14</v>
      </c>
      <c r="G111" s="1495"/>
      <c r="H111" s="1495"/>
      <c r="I111" s="1495" t="s">
        <v>65</v>
      </c>
      <c r="J111" s="1495" t="s">
        <v>1000</v>
      </c>
      <c r="K111" s="1600" t="s">
        <v>5455</v>
      </c>
      <c r="L111" s="2357">
        <v>690</v>
      </c>
      <c r="M111" s="2196" t="s">
        <v>5230</v>
      </c>
      <c r="N111" s="1493"/>
      <c r="O111" s="1859"/>
      <c r="P111" s="2626">
        <v>3</v>
      </c>
      <c r="R111" s="1495"/>
      <c r="S111" s="1495"/>
      <c r="T111" s="1495"/>
      <c r="U111" s="1909"/>
      <c r="Y111" s="1493"/>
      <c r="Z111" s="1493"/>
      <c r="AA111" s="1493"/>
    </row>
    <row r="112" spans="1:27" s="1548" customFormat="1" ht="54" customHeight="1">
      <c r="A112" s="3770"/>
      <c r="B112" s="1900" t="str">
        <f t="shared" si="16"/>
        <v>2200002031</v>
      </c>
      <c r="C112" s="1493" t="s">
        <v>3361</v>
      </c>
      <c r="D112" s="1494"/>
      <c r="E112" s="1495"/>
      <c r="F112" s="1493" t="s">
        <v>14</v>
      </c>
      <c r="G112" s="1495"/>
      <c r="H112" s="1495"/>
      <c r="I112" s="1495" t="s">
        <v>65</v>
      </c>
      <c r="J112" s="1495" t="s">
        <v>1000</v>
      </c>
      <c r="K112" s="1600" t="s">
        <v>5456</v>
      </c>
      <c r="L112" s="2357">
        <v>380</v>
      </c>
      <c r="M112" s="2429" t="s">
        <v>5444</v>
      </c>
      <c r="N112" s="1493"/>
      <c r="O112" s="1859"/>
      <c r="P112" s="2626">
        <v>3</v>
      </c>
      <c r="R112" s="1495"/>
      <c r="S112" s="1495"/>
      <c r="T112" s="1495"/>
      <c r="U112" s="1909"/>
      <c r="Y112" s="1493"/>
      <c r="Z112" s="1493"/>
      <c r="AA112" s="1493"/>
    </row>
    <row r="113" spans="1:27" s="1548" customFormat="1" ht="54" customHeight="1">
      <c r="A113" s="3770"/>
      <c r="B113" s="1900" t="str">
        <f t="shared" si="16"/>
        <v>2200002033</v>
      </c>
      <c r="C113" s="1493" t="s">
        <v>3361</v>
      </c>
      <c r="D113" s="1494"/>
      <c r="E113" s="1495"/>
      <c r="F113" s="1493" t="s">
        <v>14</v>
      </c>
      <c r="G113" s="1495"/>
      <c r="H113" s="1495"/>
      <c r="I113" s="1495" t="s">
        <v>65</v>
      </c>
      <c r="J113" s="1495" t="s">
        <v>1000</v>
      </c>
      <c r="K113" s="1600" t="s">
        <v>5457</v>
      </c>
      <c r="L113" s="2357">
        <v>1650</v>
      </c>
      <c r="M113" s="2429" t="s">
        <v>5444</v>
      </c>
      <c r="N113" s="1493"/>
      <c r="O113" s="1859"/>
      <c r="P113" s="2626">
        <v>3</v>
      </c>
      <c r="R113" s="1495"/>
      <c r="S113" s="1495"/>
      <c r="T113" s="1495"/>
      <c r="U113" s="1909"/>
      <c r="Y113" s="1493"/>
      <c r="Z113" s="1493"/>
      <c r="AA113" s="1493"/>
    </row>
    <row r="114" spans="1:27" s="1548" customFormat="1" ht="54" customHeight="1">
      <c r="A114" s="3770"/>
      <c r="B114" s="1900" t="str">
        <f t="shared" si="16"/>
        <v>2200002036</v>
      </c>
      <c r="C114" s="1493" t="s">
        <v>3361</v>
      </c>
      <c r="D114" s="1494"/>
      <c r="E114" s="1495"/>
      <c r="F114" s="1493" t="s">
        <v>14</v>
      </c>
      <c r="G114" s="1495"/>
      <c r="H114" s="1495"/>
      <c r="I114" s="1495" t="s">
        <v>65</v>
      </c>
      <c r="J114" s="1495" t="s">
        <v>1000</v>
      </c>
      <c r="K114" s="1600" t="s">
        <v>5458</v>
      </c>
      <c r="L114" s="2357">
        <v>3900</v>
      </c>
      <c r="M114" s="2429" t="s">
        <v>5444</v>
      </c>
      <c r="N114" s="1493"/>
      <c r="O114" s="1859"/>
      <c r="P114" s="2626">
        <v>3</v>
      </c>
      <c r="R114" s="1495"/>
      <c r="S114" s="1495"/>
      <c r="T114" s="1495"/>
      <c r="U114" s="1909"/>
      <c r="Y114" s="1493"/>
      <c r="Z114" s="1493"/>
      <c r="AA114" s="1493"/>
    </row>
    <row r="115" spans="1:27" s="1548" customFormat="1" ht="71.349999999999994" customHeight="1">
      <c r="A115" s="3770"/>
      <c r="B115" s="1900" t="str">
        <f t="shared" si="16"/>
        <v>2000003057</v>
      </c>
      <c r="C115" s="1493" t="s">
        <v>3361</v>
      </c>
      <c r="D115" s="1494"/>
      <c r="E115" s="1495"/>
      <c r="F115" s="1493" t="s">
        <v>14</v>
      </c>
      <c r="G115" s="1495"/>
      <c r="H115" s="1495"/>
      <c r="I115" s="1495" t="s">
        <v>65</v>
      </c>
      <c r="J115" s="1495" t="s">
        <v>1000</v>
      </c>
      <c r="K115" s="1600" t="s">
        <v>5459</v>
      </c>
      <c r="L115" s="2357">
        <v>605</v>
      </c>
      <c r="M115" s="2584" t="s">
        <v>5460</v>
      </c>
      <c r="N115" s="1493"/>
      <c r="O115" s="1859"/>
      <c r="P115" s="2626">
        <v>3</v>
      </c>
      <c r="R115" s="1495"/>
      <c r="S115" s="1495"/>
      <c r="T115" s="1495"/>
      <c r="U115" s="1909"/>
      <c r="Y115" s="1493"/>
      <c r="Z115" s="1493"/>
      <c r="AA115" s="1493"/>
    </row>
    <row r="116" spans="1:27" s="1548" customFormat="1" ht="71.349999999999994" customHeight="1">
      <c r="A116" s="3769"/>
      <c r="B116" s="1900" t="str">
        <f t="shared" si="16"/>
        <v>2000003058</v>
      </c>
      <c r="C116" s="1493" t="s">
        <v>3361</v>
      </c>
      <c r="D116" s="1494"/>
      <c r="E116" s="1495"/>
      <c r="F116" s="1493" t="s">
        <v>14</v>
      </c>
      <c r="G116" s="1495"/>
      <c r="H116" s="1495"/>
      <c r="I116" s="1495" t="s">
        <v>65</v>
      </c>
      <c r="J116" s="1495" t="s">
        <v>1000</v>
      </c>
      <c r="K116" s="1600" t="s">
        <v>5461</v>
      </c>
      <c r="L116" s="2357">
        <v>161</v>
      </c>
      <c r="M116" s="2429" t="s">
        <v>5462</v>
      </c>
      <c r="N116" s="1493"/>
      <c r="O116" s="1859"/>
      <c r="P116" s="2626">
        <v>3</v>
      </c>
      <c r="R116" s="1495"/>
      <c r="S116" s="1495"/>
      <c r="T116" s="1495"/>
      <c r="U116" s="1909"/>
      <c r="Y116" s="1493"/>
      <c r="Z116" s="1493"/>
      <c r="AA116" s="1493"/>
    </row>
    <row r="117" spans="1:27" s="1548" customFormat="1" ht="62.35" customHeight="1">
      <c r="A117" s="2781">
        <v>34</v>
      </c>
      <c r="B117" s="1495" t="str">
        <f t="shared" ref="B117" si="17">TEXT(LEFT(K117,10),"0000000000")</f>
        <v>2000003019</v>
      </c>
      <c r="C117" s="2563" t="s">
        <v>139</v>
      </c>
      <c r="D117" s="2607">
        <v>4440</v>
      </c>
      <c r="E117" s="1921" t="s">
        <v>5407</v>
      </c>
      <c r="F117" s="1902" t="s">
        <v>20</v>
      </c>
      <c r="G117" s="1921" t="s">
        <v>4108</v>
      </c>
      <c r="H117" s="1921"/>
      <c r="I117" s="1921" t="s">
        <v>65</v>
      </c>
      <c r="J117" s="1921" t="s">
        <v>66</v>
      </c>
      <c r="K117" s="1911" t="s">
        <v>5463</v>
      </c>
      <c r="L117" s="2583">
        <v>4440</v>
      </c>
      <c r="M117" s="2196" t="s">
        <v>5230</v>
      </c>
      <c r="N117" s="1493" t="s">
        <v>5464</v>
      </c>
      <c r="O117" s="1775"/>
      <c r="P117" s="1790">
        <v>3</v>
      </c>
      <c r="Q117" s="2150"/>
      <c r="R117" s="1921"/>
      <c r="S117" s="1921"/>
      <c r="T117" s="1921"/>
      <c r="U117" s="1909"/>
      <c r="V117" s="2150"/>
      <c r="W117" s="2150"/>
      <c r="X117" s="2150"/>
      <c r="Y117" s="1902"/>
      <c r="Z117" s="1902"/>
      <c r="AA117" s="1902"/>
    </row>
    <row r="118" spans="1:27" s="1548" customFormat="1" ht="62.35" customHeight="1">
      <c r="A118" s="2436">
        <v>35</v>
      </c>
      <c r="B118" s="1543" t="str">
        <f>TEXT(LEFT(K118,10),"0000000000")</f>
        <v>2000003011</v>
      </c>
      <c r="C118" s="1902" t="s">
        <v>97</v>
      </c>
      <c r="D118" s="2607">
        <v>4600</v>
      </c>
      <c r="E118" s="1921" t="s">
        <v>5465</v>
      </c>
      <c r="F118" s="1902" t="s">
        <v>18</v>
      </c>
      <c r="G118" s="1921" t="s">
        <v>5466</v>
      </c>
      <c r="H118" s="1921"/>
      <c r="I118" s="1921" t="s">
        <v>65</v>
      </c>
      <c r="J118" s="1921" t="s">
        <v>294</v>
      </c>
      <c r="K118" s="1845" t="s">
        <v>5467</v>
      </c>
      <c r="L118" s="2583">
        <v>4600</v>
      </c>
      <c r="M118" s="2429" t="s">
        <v>5468</v>
      </c>
      <c r="N118" s="1493" t="s">
        <v>5320</v>
      </c>
      <c r="O118" s="1775"/>
      <c r="P118" s="2429">
        <v>3</v>
      </c>
      <c r="Q118" s="2150"/>
      <c r="R118" s="1921"/>
      <c r="S118" s="1921"/>
      <c r="T118" s="1921"/>
      <c r="U118" s="1909"/>
      <c r="V118" s="2150"/>
      <c r="W118" s="2150"/>
      <c r="X118" s="2150"/>
      <c r="Y118" s="1902"/>
      <c r="Z118" s="1902"/>
      <c r="AA118" s="1902"/>
    </row>
    <row r="119" spans="1:27" s="1548" customFormat="1" ht="56.25" customHeight="1">
      <c r="A119" s="3768">
        <v>36</v>
      </c>
      <c r="B119" s="1568" t="str">
        <f t="shared" ref="B119" si="18">TEXT(LEFT(K119,10),"0000000000")</f>
        <v>2200002029</v>
      </c>
      <c r="C119" s="1921" t="s">
        <v>3252</v>
      </c>
      <c r="D119" s="2607">
        <v>4300</v>
      </c>
      <c r="E119" s="1921" t="s">
        <v>5469</v>
      </c>
      <c r="F119" s="1902" t="s">
        <v>14</v>
      </c>
      <c r="G119" s="1921" t="s">
        <v>4108</v>
      </c>
      <c r="H119" s="1921"/>
      <c r="I119" s="1921" t="s">
        <v>65</v>
      </c>
      <c r="J119" s="2370" t="s">
        <v>142</v>
      </c>
      <c r="K119" s="1911" t="s">
        <v>5470</v>
      </c>
      <c r="L119" s="2583">
        <v>1800</v>
      </c>
      <c r="M119" s="2196" t="s">
        <v>5442</v>
      </c>
      <c r="N119" s="1493" t="s">
        <v>5324</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3" customHeight="1">
      <c r="A120" s="3769"/>
      <c r="B120" s="1900" t="str">
        <f>TEXT(LEFT(K120,10),"0000000000")</f>
        <v>2000003002</v>
      </c>
      <c r="C120" s="1493" t="s">
        <v>3252</v>
      </c>
      <c r="D120" s="2613"/>
      <c r="E120" s="1543"/>
      <c r="F120" s="1545" t="s">
        <v>14</v>
      </c>
      <c r="G120" s="1543"/>
      <c r="H120" s="1543"/>
      <c r="I120" s="1495" t="s">
        <v>65</v>
      </c>
      <c r="J120" s="1899" t="s">
        <v>142</v>
      </c>
      <c r="K120" s="1605" t="s">
        <v>5471</v>
      </c>
      <c r="L120" s="2543">
        <v>2500</v>
      </c>
      <c r="M120" s="1852" t="s">
        <v>5255</v>
      </c>
      <c r="N120" s="1545"/>
      <c r="O120" s="2544"/>
      <c r="P120" s="1852">
        <v>3</v>
      </c>
      <c r="Q120" s="1559"/>
      <c r="R120" s="1543"/>
      <c r="S120" s="1543"/>
      <c r="T120" s="1543"/>
      <c r="U120" s="2051"/>
      <c r="V120" s="1467"/>
      <c r="W120" s="1467"/>
      <c r="X120" s="1467"/>
      <c r="Y120" s="1474"/>
      <c r="Z120" s="1474"/>
      <c r="AA120" s="1474"/>
    </row>
    <row r="121" spans="1:27" s="2150" customFormat="1" ht="58.6" customHeight="1">
      <c r="A121" s="3779">
        <v>37</v>
      </c>
      <c r="B121" s="1495" t="str">
        <f t="shared" si="15"/>
        <v>2200002020</v>
      </c>
      <c r="C121" s="2563" t="s">
        <v>3996</v>
      </c>
      <c r="D121" s="2607">
        <v>12000</v>
      </c>
      <c r="E121" s="1921" t="s">
        <v>5472</v>
      </c>
      <c r="F121" s="1902" t="s">
        <v>14</v>
      </c>
      <c r="G121" s="1921" t="s">
        <v>5473</v>
      </c>
      <c r="H121" s="1921"/>
      <c r="I121" s="1921" t="s">
        <v>65</v>
      </c>
      <c r="J121" s="1921" t="s">
        <v>1179</v>
      </c>
      <c r="K121" s="1911" t="s">
        <v>5455</v>
      </c>
      <c r="L121" s="2583">
        <v>1081</v>
      </c>
      <c r="M121" s="2196" t="s">
        <v>5230</v>
      </c>
      <c r="N121" s="1493" t="s">
        <v>5303</v>
      </c>
      <c r="O121" s="1775"/>
      <c r="P121" s="2429">
        <v>3</v>
      </c>
      <c r="R121" s="1921"/>
      <c r="S121" s="1921"/>
      <c r="T121" s="1921"/>
      <c r="U121" s="1909"/>
      <c r="Y121" s="1902"/>
      <c r="Z121" s="1902"/>
      <c r="AA121" s="1902"/>
    </row>
    <row r="122" spans="1:27" s="1548" customFormat="1" ht="58.6" customHeight="1">
      <c r="A122" s="3770"/>
      <c r="B122" s="1875" t="str">
        <f t="shared" si="15"/>
        <v>2000003028</v>
      </c>
      <c r="C122" s="1626" t="s">
        <v>3996</v>
      </c>
      <c r="D122" s="1494"/>
      <c r="E122" s="1495"/>
      <c r="F122" s="1493" t="s">
        <v>14</v>
      </c>
      <c r="G122" s="1495"/>
      <c r="H122" s="1495"/>
      <c r="I122" s="1495" t="s">
        <v>65</v>
      </c>
      <c r="J122" s="1495" t="s">
        <v>1179</v>
      </c>
      <c r="K122" s="1547" t="s">
        <v>5474</v>
      </c>
      <c r="L122" s="2357">
        <v>5000</v>
      </c>
      <c r="M122" s="1748" t="s">
        <v>5255</v>
      </c>
      <c r="N122" s="1495"/>
      <c r="O122" s="1859"/>
      <c r="P122" s="1790">
        <v>3</v>
      </c>
      <c r="R122" s="1495"/>
      <c r="S122" s="1495"/>
      <c r="T122" s="1495"/>
      <c r="U122" s="1909"/>
      <c r="Y122" s="1493"/>
      <c r="Z122" s="1493"/>
      <c r="AA122" s="1493"/>
    </row>
    <row r="123" spans="1:27" s="1548" customFormat="1" ht="58.6" customHeight="1">
      <c r="A123" s="3770"/>
      <c r="B123" s="1543" t="str">
        <f t="shared" si="15"/>
        <v>2000003010</v>
      </c>
      <c r="C123" s="1626" t="s">
        <v>3996</v>
      </c>
      <c r="D123" s="1494"/>
      <c r="E123" s="1495"/>
      <c r="F123" s="1493" t="s">
        <v>14</v>
      </c>
      <c r="G123" s="1495"/>
      <c r="H123" s="1495"/>
      <c r="I123" s="1495" t="s">
        <v>65</v>
      </c>
      <c r="J123" s="1495" t="s">
        <v>1179</v>
      </c>
      <c r="K123" s="1496" t="s">
        <v>5475</v>
      </c>
      <c r="L123" s="2357">
        <v>5000</v>
      </c>
      <c r="M123" s="1748" t="s">
        <v>5255</v>
      </c>
      <c r="N123" s="1495"/>
      <c r="O123" s="1859"/>
      <c r="P123" s="1790">
        <v>3</v>
      </c>
      <c r="R123" s="1493"/>
      <c r="S123" s="1493"/>
      <c r="T123" s="1493"/>
      <c r="U123" s="2429"/>
      <c r="V123" s="1467"/>
      <c r="W123" s="1467"/>
      <c r="X123" s="1467"/>
      <c r="Y123" s="1467"/>
      <c r="Z123" s="1467"/>
      <c r="AA123" s="1467"/>
    </row>
    <row r="124" spans="1:27" s="1548" customFormat="1" ht="58.6" customHeight="1">
      <c r="A124" s="3770"/>
      <c r="B124" s="1568" t="str">
        <f t="shared" ref="B124:B125" si="19">TEXT(LEFT(K124,10),"0000000000")</f>
        <v>2000002976</v>
      </c>
      <c r="C124" s="1626" t="s">
        <v>3996</v>
      </c>
      <c r="D124" s="1494"/>
      <c r="E124" s="1495"/>
      <c r="F124" s="1493" t="s">
        <v>14</v>
      </c>
      <c r="G124" s="1495"/>
      <c r="H124" s="1495"/>
      <c r="I124" s="1495" t="s">
        <v>65</v>
      </c>
      <c r="J124" s="1495" t="s">
        <v>1179</v>
      </c>
      <c r="K124" s="1600" t="s">
        <v>5476</v>
      </c>
      <c r="L124" s="2357">
        <v>500</v>
      </c>
      <c r="M124" s="1748" t="s">
        <v>5255</v>
      </c>
      <c r="N124" s="1495"/>
      <c r="O124" s="1859"/>
      <c r="P124" s="1790">
        <v>3</v>
      </c>
      <c r="R124" s="1495"/>
      <c r="S124" s="1495"/>
      <c r="T124" s="1495"/>
      <c r="U124" s="1909"/>
      <c r="Y124" s="1493"/>
      <c r="Z124" s="1493"/>
      <c r="AA124" s="1493"/>
    </row>
    <row r="125" spans="1:27" s="1548" customFormat="1" ht="58.6" customHeight="1">
      <c r="A125" s="3769"/>
      <c r="B125" s="1568" t="str">
        <f t="shared" si="19"/>
        <v>2000003004</v>
      </c>
      <c r="C125" s="1626" t="s">
        <v>3996</v>
      </c>
      <c r="D125" s="1494"/>
      <c r="E125" s="1495"/>
      <c r="F125" s="1493" t="s">
        <v>14</v>
      </c>
      <c r="G125" s="1495"/>
      <c r="H125" s="1495"/>
      <c r="I125" s="1495" t="s">
        <v>65</v>
      </c>
      <c r="J125" s="1495" t="s">
        <v>1179</v>
      </c>
      <c r="K125" s="1600" t="s">
        <v>5477</v>
      </c>
      <c r="L125" s="2357">
        <v>200</v>
      </c>
      <c r="M125" s="1748" t="s">
        <v>5255</v>
      </c>
      <c r="N125" s="1495"/>
      <c r="O125" s="1859"/>
      <c r="P125" s="1790">
        <v>3</v>
      </c>
      <c r="R125" s="1495" t="s">
        <v>5288</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114</v>
      </c>
      <c r="D126" s="2607">
        <v>3720</v>
      </c>
      <c r="E126" s="1921" t="s">
        <v>5478</v>
      </c>
      <c r="F126" s="1902" t="s">
        <v>22</v>
      </c>
      <c r="G126" s="1921" t="s">
        <v>5479</v>
      </c>
      <c r="H126" s="1921"/>
      <c r="I126" s="1921" t="s">
        <v>65</v>
      </c>
      <c r="J126" s="1921" t="s">
        <v>294</v>
      </c>
      <c r="K126" s="1845" t="s">
        <v>5451</v>
      </c>
      <c r="L126" s="2583">
        <v>3720</v>
      </c>
      <c r="M126" s="1852" t="s">
        <v>5255</v>
      </c>
      <c r="N126" s="1493" t="s">
        <v>5320</v>
      </c>
      <c r="O126" s="1775"/>
      <c r="P126" s="2429">
        <v>3</v>
      </c>
      <c r="Q126" s="2150"/>
      <c r="R126" s="1921"/>
      <c r="S126" s="1921"/>
      <c r="T126" s="1921"/>
      <c r="U126" s="1909"/>
      <c r="V126" s="2150"/>
      <c r="W126" s="2150"/>
      <c r="X126" s="2150"/>
      <c r="Y126" s="1902"/>
      <c r="Z126" s="1902"/>
      <c r="AA126" s="1902"/>
    </row>
    <row r="127" spans="1:27" s="2150" customFormat="1" ht="62.35" customHeight="1">
      <c r="A127" s="3768">
        <v>39</v>
      </c>
      <c r="B127" s="1543" t="str">
        <f>TEXT(LEFT(K127,10),"0000000000")</f>
        <v>2000002992</v>
      </c>
      <c r="C127" s="1902" t="s">
        <v>5480</v>
      </c>
      <c r="D127" s="2607">
        <v>24000</v>
      </c>
      <c r="E127" s="1921" t="s">
        <v>5439</v>
      </c>
      <c r="F127" s="1902" t="s">
        <v>14</v>
      </c>
      <c r="G127" s="1921" t="s">
        <v>5481</v>
      </c>
      <c r="H127" s="2187" t="s">
        <v>5482</v>
      </c>
      <c r="I127" s="1921" t="s">
        <v>65</v>
      </c>
      <c r="J127" s="1921" t="s">
        <v>106</v>
      </c>
      <c r="K127" s="1845" t="s">
        <v>5483</v>
      </c>
      <c r="L127" s="2583">
        <v>500</v>
      </c>
      <c r="M127" s="1909" t="s">
        <v>5255</v>
      </c>
      <c r="N127" s="1495" t="s">
        <v>5287</v>
      </c>
      <c r="O127" s="1775" t="s">
        <v>5361</v>
      </c>
      <c r="P127" s="2429">
        <v>3</v>
      </c>
      <c r="R127" s="1921"/>
      <c r="S127" s="1921"/>
      <c r="T127" s="1921"/>
      <c r="U127" s="1909"/>
      <c r="Y127" s="1902"/>
      <c r="Z127" s="1902"/>
      <c r="AA127" s="1902"/>
    </row>
    <row r="128" spans="1:27" s="1548" customFormat="1" ht="58.6" customHeight="1">
      <c r="A128" s="3770"/>
      <c r="B128" s="1543" t="str">
        <f>TEXT(LEFT(K128,10),"0000000000")</f>
        <v>2000002995</v>
      </c>
      <c r="C128" s="1493" t="s">
        <v>5480</v>
      </c>
      <c r="D128" s="1494"/>
      <c r="E128" s="1495"/>
      <c r="F128" s="1493" t="s">
        <v>14</v>
      </c>
      <c r="G128" s="1773"/>
      <c r="I128" s="1568" t="s">
        <v>65</v>
      </c>
      <c r="J128" s="1495" t="s">
        <v>106</v>
      </c>
      <c r="K128" s="1496" t="s">
        <v>5484</v>
      </c>
      <c r="L128" s="2357">
        <v>5000</v>
      </c>
      <c r="M128" s="2196" t="s">
        <v>5230</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6" customHeight="1">
      <c r="A129" s="3770"/>
      <c r="B129" s="1568" t="str">
        <f t="shared" ref="B129:B145" si="20">TEXT(LEFT(K129,10),"0000000000")</f>
        <v>2000003007</v>
      </c>
      <c r="C129" s="1493" t="s">
        <v>5480</v>
      </c>
      <c r="D129" s="1494"/>
      <c r="E129" s="1495"/>
      <c r="F129" s="1493" t="s">
        <v>14</v>
      </c>
      <c r="G129" s="1495"/>
      <c r="H129" s="1495"/>
      <c r="I129" s="1495" t="s">
        <v>65</v>
      </c>
      <c r="J129" s="1495" t="s">
        <v>106</v>
      </c>
      <c r="K129" s="1600" t="s">
        <v>5485</v>
      </c>
      <c r="L129" s="2357">
        <v>1000</v>
      </c>
      <c r="M129" s="1790" t="s">
        <v>5255</v>
      </c>
      <c r="N129" s="1493"/>
      <c r="O129" s="1859"/>
      <c r="P129" s="1790">
        <v>3</v>
      </c>
      <c r="R129" s="1495"/>
      <c r="S129" s="1495"/>
      <c r="T129" s="1495"/>
      <c r="U129" s="1748"/>
      <c r="Y129" s="1493"/>
      <c r="Z129" s="1493"/>
      <c r="AA129" s="1493"/>
    </row>
    <row r="130" spans="1:27" s="1548" customFormat="1" ht="58.6" customHeight="1">
      <c r="A130" s="3770"/>
      <c r="B130" s="1568" t="str">
        <f>TEXT(LEFT(K130,10),"0000000000")</f>
        <v>2000003059</v>
      </c>
      <c r="C130" s="1493" t="s">
        <v>5480</v>
      </c>
      <c r="D130" s="1494"/>
      <c r="E130" s="1495"/>
      <c r="F130" s="1493" t="s">
        <v>14</v>
      </c>
      <c r="G130" s="1495"/>
      <c r="H130" s="1495"/>
      <c r="I130" s="1495" t="s">
        <v>65</v>
      </c>
      <c r="J130" s="1495" t="s">
        <v>106</v>
      </c>
      <c r="K130" s="1547" t="s">
        <v>5486</v>
      </c>
      <c r="L130" s="2357">
        <v>5000</v>
      </c>
      <c r="M130" s="1790" t="s">
        <v>5255</v>
      </c>
      <c r="N130" s="1493"/>
      <c r="O130" s="1859"/>
      <c r="P130" s="1790">
        <v>3</v>
      </c>
      <c r="R130" s="1495"/>
      <c r="S130" s="1495"/>
      <c r="T130" s="1495"/>
      <c r="U130" s="1748"/>
      <c r="Y130" s="1493"/>
      <c r="Z130" s="1493"/>
      <c r="AA130" s="1493"/>
    </row>
    <row r="131" spans="1:27" s="1548" customFormat="1" ht="58.6" customHeight="1">
      <c r="A131" s="3770"/>
      <c r="B131" s="1568" t="str">
        <f t="shared" si="20"/>
        <v>2200002005</v>
      </c>
      <c r="C131" s="1493" t="s">
        <v>5480</v>
      </c>
      <c r="D131" s="1494"/>
      <c r="E131" s="1495"/>
      <c r="F131" s="1493" t="s">
        <v>14</v>
      </c>
      <c r="G131" s="1495"/>
      <c r="H131" s="1495"/>
      <c r="I131" s="1495" t="s">
        <v>65</v>
      </c>
      <c r="J131" s="1495" t="s">
        <v>164</v>
      </c>
      <c r="K131" s="1600" t="s">
        <v>5487</v>
      </c>
      <c r="L131" s="2357">
        <v>2500</v>
      </c>
      <c r="M131" s="1748" t="s">
        <v>5255</v>
      </c>
      <c r="N131" s="1493"/>
      <c r="O131" s="1859"/>
      <c r="P131" s="1790">
        <v>3</v>
      </c>
      <c r="R131" s="1495"/>
      <c r="S131" s="1495"/>
      <c r="T131" s="1495"/>
      <c r="U131" s="1748"/>
      <c r="Y131" s="1493"/>
      <c r="Z131" s="1493"/>
      <c r="AA131" s="1493"/>
    </row>
    <row r="132" spans="1:27" s="1548" customFormat="1" ht="58.6" customHeight="1">
      <c r="A132" s="3770"/>
      <c r="B132" s="1568" t="str">
        <f t="shared" si="20"/>
        <v>2000002991</v>
      </c>
      <c r="C132" s="1493" t="s">
        <v>5480</v>
      </c>
      <c r="D132" s="1494"/>
      <c r="E132" s="1495"/>
      <c r="F132" s="1493" t="s">
        <v>14</v>
      </c>
      <c r="G132" s="1495"/>
      <c r="H132" s="1495"/>
      <c r="I132" s="1495" t="s">
        <v>65</v>
      </c>
      <c r="J132" s="1773" t="s">
        <v>164</v>
      </c>
      <c r="K132" s="1547" t="s">
        <v>5488</v>
      </c>
      <c r="L132" s="2357">
        <v>300</v>
      </c>
      <c r="M132" s="1852" t="s">
        <v>5255</v>
      </c>
      <c r="N132" s="1493"/>
      <c r="O132" s="1859"/>
      <c r="P132" s="1790">
        <v>3</v>
      </c>
      <c r="R132" s="1495"/>
      <c r="S132" s="1495"/>
      <c r="T132" s="1495"/>
      <c r="U132" s="1748"/>
      <c r="V132" s="1467"/>
      <c r="W132" s="1467"/>
      <c r="X132" s="1467"/>
      <c r="Y132" s="1474"/>
      <c r="Z132" s="1474"/>
      <c r="AA132" s="1474"/>
    </row>
    <row r="133" spans="1:27" s="1548" customFormat="1" ht="58.6" customHeight="1">
      <c r="A133" s="3770"/>
      <c r="B133" s="1900" t="str">
        <f t="shared" si="20"/>
        <v>2000003029</v>
      </c>
      <c r="C133" s="1493" t="s">
        <v>5480</v>
      </c>
      <c r="D133" s="1494"/>
      <c r="E133" s="1495"/>
      <c r="F133" s="1493" t="s">
        <v>14</v>
      </c>
      <c r="G133" s="1495"/>
      <c r="H133" s="1495"/>
      <c r="I133" s="1495" t="s">
        <v>65</v>
      </c>
      <c r="J133" s="1495" t="s">
        <v>164</v>
      </c>
      <c r="K133" s="1547" t="s">
        <v>5489</v>
      </c>
      <c r="L133" s="2357">
        <v>5000</v>
      </c>
      <c r="M133" s="2196" t="s">
        <v>5230</v>
      </c>
      <c r="N133" s="1493"/>
      <c r="O133" s="1859"/>
      <c r="P133" s="1790">
        <v>3</v>
      </c>
      <c r="R133" s="1495"/>
      <c r="S133" s="1495"/>
      <c r="T133" s="1495"/>
      <c r="U133" s="1748"/>
      <c r="Y133" s="1493"/>
      <c r="Z133" s="1493"/>
      <c r="AA133" s="1493"/>
    </row>
    <row r="134" spans="1:27" s="1548" customFormat="1" ht="68.3" customHeight="1">
      <c r="A134" s="3770"/>
      <c r="B134" s="1900" t="str">
        <f t="shared" si="20"/>
        <v>2000003035</v>
      </c>
      <c r="C134" s="1493" t="s">
        <v>5480</v>
      </c>
      <c r="D134" s="1494"/>
      <c r="E134" s="1495"/>
      <c r="F134" s="1493" t="s">
        <v>14</v>
      </c>
      <c r="G134" s="1495"/>
      <c r="H134" s="1495"/>
      <c r="I134" s="1495" t="s">
        <v>65</v>
      </c>
      <c r="J134" s="1773" t="s">
        <v>5400</v>
      </c>
      <c r="K134" s="1497" t="s">
        <v>5404</v>
      </c>
      <c r="L134" s="2483">
        <v>800</v>
      </c>
      <c r="M134" s="1852" t="s">
        <v>5255</v>
      </c>
      <c r="N134" s="1493"/>
      <c r="O134" s="1859"/>
      <c r="P134" s="1790">
        <v>3</v>
      </c>
      <c r="R134" s="1495"/>
      <c r="S134" s="1495"/>
      <c r="T134" s="1495"/>
      <c r="U134" s="1748"/>
      <c r="Y134" s="1493"/>
      <c r="Z134" s="1493"/>
      <c r="AA134" s="1493"/>
    </row>
    <row r="135" spans="1:27" s="1548" customFormat="1" ht="86.3" customHeight="1">
      <c r="A135" s="3769"/>
      <c r="B135" s="1900" t="str">
        <f t="shared" si="20"/>
        <v>2000003034</v>
      </c>
      <c r="C135" s="1493" t="s">
        <v>5480</v>
      </c>
      <c r="D135" s="1494"/>
      <c r="E135" s="1495"/>
      <c r="F135" s="1493" t="s">
        <v>14</v>
      </c>
      <c r="G135" s="1495"/>
      <c r="H135" s="1495"/>
      <c r="I135" s="1495" t="s">
        <v>65</v>
      </c>
      <c r="J135" s="1495" t="s">
        <v>5400</v>
      </c>
      <c r="K135" s="1497" t="s">
        <v>5490</v>
      </c>
      <c r="L135" s="2357">
        <v>2700</v>
      </c>
      <c r="M135" s="1748" t="s">
        <v>5255</v>
      </c>
      <c r="N135" s="1493"/>
      <c r="O135" s="1859"/>
      <c r="P135" s="1790">
        <v>3</v>
      </c>
      <c r="R135" s="1495"/>
      <c r="S135" s="1495"/>
      <c r="T135" s="1495"/>
      <c r="U135" s="1748"/>
      <c r="W135" s="1467"/>
      <c r="X135" s="1467"/>
      <c r="Y135" s="1474"/>
      <c r="Z135" s="1474"/>
      <c r="AA135" s="1474"/>
    </row>
    <row r="136" spans="1:27" s="2150" customFormat="1" ht="68.95" customHeight="1">
      <c r="A136" s="3768">
        <v>41</v>
      </c>
      <c r="B136" s="2419" t="str">
        <f>TEXT(LEFT(K136,10),"0000000000")</f>
        <v>2200002033</v>
      </c>
      <c r="C136" s="1902" t="s">
        <v>3538</v>
      </c>
      <c r="D136" s="2607">
        <v>8800</v>
      </c>
      <c r="E136" s="1921" t="s">
        <v>5491</v>
      </c>
      <c r="F136" s="1902" t="s">
        <v>16</v>
      </c>
      <c r="G136" s="1921" t="s">
        <v>5492</v>
      </c>
      <c r="H136" s="1921"/>
      <c r="I136" s="1921" t="s">
        <v>65</v>
      </c>
      <c r="J136" s="1921" t="s">
        <v>1179</v>
      </c>
      <c r="K136" s="1845" t="s">
        <v>5457</v>
      </c>
      <c r="L136" s="2583">
        <v>1650</v>
      </c>
      <c r="M136" s="2429" t="s">
        <v>5444</v>
      </c>
      <c r="N136" s="1493" t="s">
        <v>5320</v>
      </c>
      <c r="O136" s="1775"/>
      <c r="P136" s="1852">
        <v>3</v>
      </c>
      <c r="R136" s="1921"/>
      <c r="S136" s="1921"/>
      <c r="T136" s="1921"/>
      <c r="U136" s="1909"/>
      <c r="Y136" s="1902"/>
      <c r="Z136" s="1902"/>
      <c r="AA136" s="1902"/>
    </row>
    <row r="137" spans="1:27" s="2150" customFormat="1" ht="68.95" customHeight="1">
      <c r="A137" s="3770"/>
      <c r="B137" s="1900" t="str">
        <f>TEXT(LEFT(K137,10),"0000000000")</f>
        <v>2200002036</v>
      </c>
      <c r="C137" s="1493" t="s">
        <v>3538</v>
      </c>
      <c r="D137" s="1494"/>
      <c r="E137" s="1495"/>
      <c r="F137" s="1493" t="s">
        <v>16</v>
      </c>
      <c r="G137" s="1495"/>
      <c r="H137" s="1495"/>
      <c r="I137" s="1495" t="s">
        <v>65</v>
      </c>
      <c r="J137" s="1495" t="s">
        <v>1179</v>
      </c>
      <c r="K137" s="1600" t="s">
        <v>5493</v>
      </c>
      <c r="L137" s="2357">
        <v>2400</v>
      </c>
      <c r="M137" s="2429" t="s">
        <v>5444</v>
      </c>
      <c r="N137" s="1493"/>
      <c r="O137" s="1859"/>
      <c r="P137" s="1852">
        <v>3</v>
      </c>
      <c r="Q137" s="1548"/>
      <c r="R137" s="1495"/>
      <c r="S137" s="1495"/>
      <c r="T137" s="1495"/>
      <c r="U137" s="1909"/>
      <c r="V137" s="1548"/>
      <c r="W137" s="1548"/>
      <c r="X137" s="1548"/>
      <c r="Y137" s="1493"/>
      <c r="Z137" s="1493"/>
      <c r="AA137" s="1493"/>
    </row>
    <row r="138" spans="1:27" s="1548" customFormat="1" ht="60.8" customHeight="1">
      <c r="A138" s="3769"/>
      <c r="B138" s="1543" t="str">
        <f t="shared" si="20"/>
        <v>2000003036</v>
      </c>
      <c r="C138" s="1493" t="s">
        <v>3538</v>
      </c>
      <c r="D138" s="1494"/>
      <c r="E138" s="1495"/>
      <c r="F138" s="1493" t="s">
        <v>16</v>
      </c>
      <c r="G138" s="1495"/>
      <c r="H138" s="1495"/>
      <c r="I138" s="1495" t="s">
        <v>65</v>
      </c>
      <c r="J138" s="1495" t="s">
        <v>1179</v>
      </c>
      <c r="K138" s="1547" t="s">
        <v>5494</v>
      </c>
      <c r="L138" s="2357" t="s">
        <v>5495</v>
      </c>
      <c r="M138" s="1748" t="s">
        <v>5255</v>
      </c>
      <c r="N138" s="1495"/>
      <c r="O138" s="1859"/>
      <c r="P138" s="1790">
        <v>3</v>
      </c>
      <c r="R138" s="1495"/>
      <c r="S138" s="1495"/>
      <c r="T138" s="1495"/>
      <c r="U138" s="1748"/>
      <c r="Y138" s="1493"/>
      <c r="Z138" s="1493"/>
      <c r="AA138" s="1493"/>
    </row>
    <row r="139" spans="1:27" s="1548" customFormat="1" ht="217.55" customHeight="1">
      <c r="A139" s="3768">
        <v>44</v>
      </c>
      <c r="B139" s="2419" t="str">
        <f>TEXT(LEFT(K139,10),"0000000000")</f>
        <v>2000003045</v>
      </c>
      <c r="C139" s="1902" t="s">
        <v>247</v>
      </c>
      <c r="D139" s="2607">
        <v>4300</v>
      </c>
      <c r="E139" s="1921" t="s">
        <v>5496</v>
      </c>
      <c r="F139" s="1902" t="s">
        <v>14</v>
      </c>
      <c r="G139" s="1909" t="s">
        <v>5497</v>
      </c>
      <c r="H139" s="1921"/>
      <c r="I139" s="1921" t="s">
        <v>65</v>
      </c>
      <c r="J139" s="1921" t="s">
        <v>117</v>
      </c>
      <c r="K139" s="1845" t="s">
        <v>5498</v>
      </c>
      <c r="L139" s="2583">
        <v>2100</v>
      </c>
      <c r="M139" s="2261" t="s">
        <v>5499</v>
      </c>
      <c r="N139" s="1493" t="s">
        <v>5324</v>
      </c>
      <c r="O139" s="1775"/>
      <c r="P139" s="2429">
        <v>3</v>
      </c>
      <c r="Q139" s="2150"/>
      <c r="R139" s="1921"/>
      <c r="S139" s="1921"/>
      <c r="T139" s="1921"/>
      <c r="U139" s="1909"/>
      <c r="V139" s="2150"/>
      <c r="W139" s="2150"/>
      <c r="X139" s="2150"/>
      <c r="Y139" s="1902"/>
      <c r="Z139" s="1902"/>
      <c r="AA139" s="1902"/>
    </row>
    <row r="140" spans="1:27" s="1548" customFormat="1" ht="69.8" customHeight="1">
      <c r="A140" s="3770"/>
      <c r="B140" s="1900" t="str">
        <f>TEXT(LEFT(K140,10),"0000000000")</f>
        <v>2200002034</v>
      </c>
      <c r="C140" s="1493" t="s">
        <v>247</v>
      </c>
      <c r="D140" s="1494"/>
      <c r="E140" s="1495"/>
      <c r="F140" s="1493" t="s">
        <v>14</v>
      </c>
      <c r="G140" s="1495"/>
      <c r="H140" s="1495"/>
      <c r="I140" s="1495" t="s">
        <v>65</v>
      </c>
      <c r="J140" s="1495" t="s">
        <v>142</v>
      </c>
      <c r="K140" s="1600" t="s">
        <v>5500</v>
      </c>
      <c r="L140" s="2357">
        <v>200</v>
      </c>
      <c r="M140" s="1852" t="s">
        <v>5444</v>
      </c>
      <c r="N140" s="1545"/>
      <c r="O140" s="2544"/>
      <c r="P140" s="2429">
        <v>3</v>
      </c>
      <c r="Q140" s="1559"/>
      <c r="R140" s="1543"/>
      <c r="S140" s="1543"/>
      <c r="T140" s="1543"/>
      <c r="U140" s="2051"/>
      <c r="V140" s="1467"/>
      <c r="W140" s="1467"/>
      <c r="X140" s="1467"/>
      <c r="Y140" s="1474"/>
      <c r="Z140" s="1474"/>
      <c r="AA140" s="1474"/>
    </row>
    <row r="141" spans="1:27" s="1548" customFormat="1" ht="58.6" customHeight="1">
      <c r="A141" s="3769"/>
      <c r="B141" s="1900" t="str">
        <f>TEXT(LEFT(K141,10),"0000000000")</f>
        <v>2000003054</v>
      </c>
      <c r="C141" s="1493" t="s">
        <v>247</v>
      </c>
      <c r="D141" s="1494"/>
      <c r="E141" s="1495"/>
      <c r="F141" s="1493" t="s">
        <v>14</v>
      </c>
      <c r="G141" s="1495"/>
      <c r="H141" s="1495"/>
      <c r="I141" s="1495" t="s">
        <v>65</v>
      </c>
      <c r="J141" s="1495" t="s">
        <v>142</v>
      </c>
      <c r="K141" s="1605" t="s">
        <v>5501</v>
      </c>
      <c r="L141" s="2357">
        <v>2153</v>
      </c>
      <c r="M141" s="2196" t="s">
        <v>5230</v>
      </c>
      <c r="N141" s="1493"/>
      <c r="O141" s="1859"/>
      <c r="P141" s="1790">
        <v>3</v>
      </c>
      <c r="R141" s="1495"/>
      <c r="S141" s="1495"/>
      <c r="T141" s="1495"/>
      <c r="U141" s="1748"/>
      <c r="Y141" s="1493"/>
      <c r="Z141" s="1493"/>
      <c r="AA141" s="1493"/>
    </row>
    <row r="142" spans="1:27" s="1548" customFormat="1" ht="58.6" customHeight="1">
      <c r="A142" s="2436">
        <v>38</v>
      </c>
      <c r="B142" s="1543" t="str">
        <f t="shared" ref="B142" si="21">TEXT(LEFT(K142,10),"0000000000")</f>
        <v>2000003011</v>
      </c>
      <c r="C142" s="1902" t="s">
        <v>97</v>
      </c>
      <c r="D142" s="2607">
        <v>4600</v>
      </c>
      <c r="E142" s="1921" t="s">
        <v>5502</v>
      </c>
      <c r="F142" s="1902" t="s">
        <v>18</v>
      </c>
      <c r="G142" s="1921" t="s">
        <v>5503</v>
      </c>
      <c r="H142" s="1921"/>
      <c r="I142" s="1921" t="s">
        <v>65</v>
      </c>
      <c r="J142" s="1921" t="s">
        <v>294</v>
      </c>
      <c r="K142" s="1845" t="s">
        <v>5504</v>
      </c>
      <c r="L142" s="2583">
        <v>4600</v>
      </c>
      <c r="M142" s="2429" t="s">
        <v>5468</v>
      </c>
      <c r="N142" s="1493" t="s">
        <v>5320</v>
      </c>
      <c r="O142" s="1775"/>
      <c r="P142" s="2429">
        <v>3</v>
      </c>
      <c r="Q142" s="2150"/>
      <c r="R142" s="1921"/>
      <c r="S142" s="1921"/>
      <c r="T142" s="1921"/>
      <c r="U142" s="1909"/>
      <c r="V142" s="2150"/>
      <c r="W142" s="2150"/>
      <c r="X142" s="2150"/>
      <c r="Y142" s="1902"/>
      <c r="Z142" s="1902"/>
      <c r="AA142" s="1902"/>
    </row>
    <row r="143" spans="1:27" s="2150" customFormat="1" ht="58.6" customHeight="1">
      <c r="A143" s="3768">
        <v>42</v>
      </c>
      <c r="B143" s="2419" t="str">
        <f t="shared" si="20"/>
        <v>2000003013</v>
      </c>
      <c r="C143" s="1902" t="s">
        <v>3499</v>
      </c>
      <c r="D143" s="2607">
        <v>4000</v>
      </c>
      <c r="E143" s="1921" t="s">
        <v>5505</v>
      </c>
      <c r="F143" s="1902" t="s">
        <v>20</v>
      </c>
      <c r="G143" s="1921" t="s">
        <v>5506</v>
      </c>
      <c r="H143" s="1921"/>
      <c r="I143" s="1921" t="s">
        <v>65</v>
      </c>
      <c r="J143" s="1561" t="s">
        <v>1000</v>
      </c>
      <c r="K143" s="1911" t="s">
        <v>5507</v>
      </c>
      <c r="L143" s="2480">
        <v>2000</v>
      </c>
      <c r="M143" s="1909" t="s">
        <v>5255</v>
      </c>
      <c r="N143" s="1493" t="s">
        <v>5464</v>
      </c>
      <c r="O143" s="1775"/>
      <c r="P143" s="2429">
        <v>3</v>
      </c>
      <c r="R143" s="1921"/>
      <c r="S143" s="1921"/>
      <c r="T143" s="1921"/>
      <c r="U143" s="1909"/>
      <c r="Y143" s="1902"/>
      <c r="Z143" s="1902"/>
      <c r="AA143" s="1902"/>
    </row>
    <row r="144" spans="1:27" s="2150" customFormat="1" ht="58.6" customHeight="1">
      <c r="A144" s="3770"/>
      <c r="B144" s="1900" t="str">
        <f t="shared" si="20"/>
        <v>2200002040</v>
      </c>
      <c r="C144" s="1493" t="s">
        <v>3499</v>
      </c>
      <c r="D144" s="1494"/>
      <c r="E144" s="1495"/>
      <c r="F144" s="1493" t="s">
        <v>20</v>
      </c>
      <c r="G144" s="1495"/>
      <c r="H144" s="1495"/>
      <c r="I144" s="1495" t="s">
        <v>65</v>
      </c>
      <c r="J144" s="1495" t="s">
        <v>1000</v>
      </c>
      <c r="K144" s="1881" t="s">
        <v>5508</v>
      </c>
      <c r="L144" s="2357">
        <v>130</v>
      </c>
      <c r="M144" s="2429" t="s">
        <v>5444</v>
      </c>
      <c r="N144" s="1493"/>
      <c r="O144" s="1775"/>
      <c r="P144" s="2429">
        <v>3</v>
      </c>
      <c r="R144" s="1921"/>
      <c r="S144" s="1921"/>
      <c r="T144" s="1921"/>
      <c r="U144" s="1909"/>
      <c r="Y144" s="1902"/>
      <c r="Z144" s="1902"/>
      <c r="AA144" s="1902"/>
    </row>
    <row r="145" spans="1:27" s="2150" customFormat="1" ht="58.6" customHeight="1">
      <c r="A145" s="3769"/>
      <c r="B145" s="1900" t="str">
        <f t="shared" si="20"/>
        <v>2200002041</v>
      </c>
      <c r="C145" s="1493" t="s">
        <v>3499</v>
      </c>
      <c r="D145" s="1494"/>
      <c r="E145" s="1495"/>
      <c r="F145" s="1493" t="s">
        <v>20</v>
      </c>
      <c r="G145" s="1495"/>
      <c r="H145" s="1495"/>
      <c r="I145" s="1495" t="s">
        <v>65</v>
      </c>
      <c r="J145" s="1495" t="s">
        <v>1000</v>
      </c>
      <c r="K145" s="1547" t="s">
        <v>5509</v>
      </c>
      <c r="L145" s="2357">
        <v>1747</v>
      </c>
      <c r="M145" s="2196" t="s">
        <v>5510</v>
      </c>
      <c r="N145" s="1493"/>
      <c r="O145" s="1775"/>
      <c r="P145" s="2429">
        <v>3</v>
      </c>
      <c r="R145" s="1921"/>
      <c r="S145" s="1921"/>
      <c r="T145" s="1921"/>
      <c r="U145" s="1909"/>
      <c r="Y145" s="1902"/>
      <c r="Z145" s="1902"/>
      <c r="AA145" s="1902"/>
    </row>
    <row r="146" spans="1:27" s="1548" customFormat="1" ht="58.6" customHeight="1">
      <c r="A146" s="3768">
        <v>43</v>
      </c>
      <c r="B146" s="2419" t="str">
        <f>TEXT(LEFT(K146,10),"0000000000")</f>
        <v>2200002034</v>
      </c>
      <c r="C146" s="1902" t="s">
        <v>4824</v>
      </c>
      <c r="D146" s="2456">
        <v>5830</v>
      </c>
      <c r="E146" s="2187" t="s">
        <v>5511</v>
      </c>
      <c r="F146" s="2263" t="s">
        <v>18</v>
      </c>
      <c r="G146" s="2187" t="s">
        <v>5512</v>
      </c>
      <c r="H146" s="2187"/>
      <c r="I146" s="1921" t="s">
        <v>65</v>
      </c>
      <c r="J146" s="2370" t="s">
        <v>142</v>
      </c>
      <c r="K146" s="1911" t="s">
        <v>5513</v>
      </c>
      <c r="L146" s="2583">
        <v>530</v>
      </c>
      <c r="M146" s="2626" t="s">
        <v>5444</v>
      </c>
      <c r="N146" s="1545" t="s">
        <v>5320</v>
      </c>
      <c r="O146" s="2544"/>
      <c r="P146" s="2429">
        <v>3</v>
      </c>
      <c r="Q146" s="1559"/>
      <c r="R146" s="1543"/>
      <c r="S146" s="1543"/>
      <c r="T146" s="1543"/>
      <c r="U146" s="2051"/>
      <c r="V146" s="1467"/>
      <c r="W146" s="1467"/>
      <c r="X146" s="1467"/>
      <c r="Y146" s="1474"/>
      <c r="Z146" s="1474"/>
      <c r="AA146" s="1474"/>
    </row>
    <row r="147" spans="1:27" s="1548" customFormat="1" ht="58.6" customHeight="1">
      <c r="A147" s="3770"/>
      <c r="B147" s="1900" t="str">
        <f>TEXT(LEFT(K147,10),"0000000000")</f>
        <v>2000003060</v>
      </c>
      <c r="C147" s="1493" t="s">
        <v>4824</v>
      </c>
      <c r="D147" s="1494"/>
      <c r="E147" s="1495"/>
      <c r="F147" s="1545" t="s">
        <v>18</v>
      </c>
      <c r="G147" s="1495"/>
      <c r="H147" s="1495"/>
      <c r="I147" s="1495" t="s">
        <v>65</v>
      </c>
      <c r="J147" s="1495" t="s">
        <v>106</v>
      </c>
      <c r="K147" s="1547" t="s">
        <v>5514</v>
      </c>
      <c r="L147" s="2357">
        <v>2500</v>
      </c>
      <c r="M147" s="1748" t="s">
        <v>5515</v>
      </c>
      <c r="N147" s="1493"/>
      <c r="O147" s="1859"/>
      <c r="P147" s="1790">
        <v>3</v>
      </c>
      <c r="R147" s="1495"/>
      <c r="S147" s="1495"/>
      <c r="T147" s="1495"/>
      <c r="U147" s="1909"/>
      <c r="Y147" s="1493"/>
      <c r="Z147" s="1493"/>
      <c r="AA147" s="1493"/>
    </row>
    <row r="148" spans="1:27" s="1548" customFormat="1" ht="82.55" customHeight="1">
      <c r="A148" s="3769"/>
      <c r="B148" s="1900" t="str">
        <f>TEXT(LEFT(K148,10),"0000000000")</f>
        <v>2000002995</v>
      </c>
      <c r="C148" s="1493" t="s">
        <v>4824</v>
      </c>
      <c r="D148" s="1494"/>
      <c r="E148" s="1495"/>
      <c r="F148" s="1545" t="s">
        <v>18</v>
      </c>
      <c r="G148" s="1495"/>
      <c r="H148" s="1495"/>
      <c r="I148" s="1495" t="s">
        <v>65</v>
      </c>
      <c r="J148" s="1495" t="s">
        <v>106</v>
      </c>
      <c r="K148" s="1600" t="s">
        <v>5516</v>
      </c>
      <c r="L148" s="2357">
        <v>2800</v>
      </c>
      <c r="M148" s="2196" t="s">
        <v>5230</v>
      </c>
      <c r="N148" s="1495"/>
      <c r="O148" s="1859"/>
      <c r="P148" s="1790">
        <v>3</v>
      </c>
      <c r="R148" s="1495"/>
      <c r="S148" s="1495"/>
      <c r="T148" s="1495"/>
      <c r="U148" s="1909"/>
      <c r="Y148" s="1493"/>
      <c r="Z148" s="1493"/>
      <c r="AA148" s="1493"/>
    </row>
    <row r="149" spans="1:27" s="2150" customFormat="1" ht="57.75" customHeight="1">
      <c r="A149" s="3768">
        <v>45</v>
      </c>
      <c r="B149" s="2419" t="str">
        <f>TEXT(LEFT(K149,10),"0000000000")</f>
        <v>2200002041</v>
      </c>
      <c r="C149" s="1902" t="s">
        <v>5517</v>
      </c>
      <c r="D149" s="2607">
        <v>5900</v>
      </c>
      <c r="E149" s="1921" t="s">
        <v>5518</v>
      </c>
      <c r="F149" s="1902" t="s">
        <v>14</v>
      </c>
      <c r="G149" s="2187" t="s">
        <v>5519</v>
      </c>
      <c r="H149" s="1921"/>
      <c r="I149" s="1921" t="s">
        <v>65</v>
      </c>
      <c r="J149" s="1921" t="s">
        <v>1179</v>
      </c>
      <c r="K149" s="1911" t="s">
        <v>5509</v>
      </c>
      <c r="L149" s="2583">
        <v>838</v>
      </c>
      <c r="M149" s="2196" t="s">
        <v>5510</v>
      </c>
      <c r="N149" s="1493" t="s">
        <v>5320</v>
      </c>
      <c r="O149" s="1775"/>
      <c r="P149" s="2429">
        <v>3</v>
      </c>
      <c r="R149" s="1921"/>
      <c r="S149" s="1921"/>
      <c r="T149" s="1921"/>
      <c r="U149" s="1909"/>
      <c r="Y149" s="1902"/>
      <c r="Z149" s="1902"/>
      <c r="AA149" s="1902"/>
    </row>
    <row r="150" spans="1:27" s="2150" customFormat="1" ht="57.75" customHeight="1">
      <c r="A150" s="3770"/>
      <c r="B150" s="1900" t="str">
        <f t="shared" ref="B150:B151" si="22">TEXT(LEFT(K150,10),"0000000000")</f>
        <v>2200002042</v>
      </c>
      <c r="C150" s="1493" t="s">
        <v>5517</v>
      </c>
      <c r="D150" s="1494"/>
      <c r="E150" s="1495"/>
      <c r="F150" s="1493" t="s">
        <v>14</v>
      </c>
      <c r="G150" s="1495"/>
      <c r="H150" s="1495"/>
      <c r="I150" s="1495" t="s">
        <v>65</v>
      </c>
      <c r="J150" s="1495" t="s">
        <v>1179</v>
      </c>
      <c r="K150" s="1600" t="s">
        <v>5520</v>
      </c>
      <c r="L150" s="2357">
        <v>3480</v>
      </c>
      <c r="M150" s="2196" t="s">
        <v>5521</v>
      </c>
      <c r="N150" s="1493"/>
      <c r="O150" s="1775"/>
      <c r="P150" s="2429">
        <v>3</v>
      </c>
      <c r="R150" s="1921"/>
      <c r="S150" s="1921"/>
      <c r="T150" s="1921"/>
      <c r="U150" s="1909"/>
      <c r="Y150" s="1902"/>
      <c r="Z150" s="1902"/>
      <c r="AA150" s="1902"/>
    </row>
    <row r="151" spans="1:27" s="2150" customFormat="1" ht="57.75" customHeight="1">
      <c r="A151" s="3769"/>
      <c r="B151" s="1900" t="str">
        <f t="shared" si="22"/>
        <v>2200002045</v>
      </c>
      <c r="C151" s="1493" t="s">
        <v>5517</v>
      </c>
      <c r="D151" s="1494"/>
      <c r="E151" s="1495"/>
      <c r="F151" s="1493" t="s">
        <v>14</v>
      </c>
      <c r="G151" s="1495"/>
      <c r="H151" s="1495"/>
      <c r="I151" s="1495" t="s">
        <v>65</v>
      </c>
      <c r="J151" s="1495" t="s">
        <v>1179</v>
      </c>
      <c r="K151" s="1547" t="s">
        <v>5522</v>
      </c>
      <c r="L151" s="2357">
        <v>1549</v>
      </c>
      <c r="M151" s="2626" t="s">
        <v>5444</v>
      </c>
      <c r="N151" s="1493"/>
      <c r="O151" s="1775"/>
      <c r="P151" s="2429">
        <v>3</v>
      </c>
      <c r="R151" s="1921"/>
      <c r="S151" s="1921"/>
      <c r="T151" s="1921"/>
      <c r="U151" s="1909"/>
      <c r="Y151" s="1902"/>
      <c r="Z151" s="1902"/>
      <c r="AA151" s="1902"/>
    </row>
    <row r="152" spans="1:27" s="1548" customFormat="1" ht="58.6" customHeight="1">
      <c r="A152" s="3768">
        <v>46</v>
      </c>
      <c r="B152" s="2419">
        <v>2200002034</v>
      </c>
      <c r="C152" s="1902" t="s">
        <v>114</v>
      </c>
      <c r="D152" s="2607">
        <v>3720</v>
      </c>
      <c r="E152" s="1921" t="s">
        <v>5523</v>
      </c>
      <c r="F152" s="1902" t="s">
        <v>22</v>
      </c>
      <c r="G152" s="1921" t="s">
        <v>5524</v>
      </c>
      <c r="H152" s="1921"/>
      <c r="I152" s="1921" t="s">
        <v>65</v>
      </c>
      <c r="J152" s="1921" t="s">
        <v>142</v>
      </c>
      <c r="K152" s="1911" t="s">
        <v>5513</v>
      </c>
      <c r="L152" s="2583">
        <v>430</v>
      </c>
      <c r="M152" s="2626" t="s">
        <v>5444</v>
      </c>
      <c r="N152" s="1493" t="s">
        <v>5320</v>
      </c>
      <c r="O152" s="1859"/>
      <c r="P152" s="1790">
        <v>3</v>
      </c>
      <c r="R152" s="1495"/>
      <c r="S152" s="1495"/>
      <c r="T152" s="1495"/>
      <c r="U152" s="1748"/>
      <c r="Y152" s="1493"/>
      <c r="Z152" s="1493"/>
      <c r="AA152" s="1493"/>
    </row>
    <row r="153" spans="1:27" s="1548" customFormat="1" ht="58.6" customHeight="1">
      <c r="A153" s="3770"/>
      <c r="B153" s="1900" t="str">
        <f>TEXT(LEFT(K153,10),"0000000000")</f>
        <v>2200002029</v>
      </c>
      <c r="C153" s="1493" t="s">
        <v>114</v>
      </c>
      <c r="D153" s="1494"/>
      <c r="E153" s="1495"/>
      <c r="F153" s="1493" t="s">
        <v>22</v>
      </c>
      <c r="G153" s="1495"/>
      <c r="H153" s="1495"/>
      <c r="I153" s="1495" t="s">
        <v>65</v>
      </c>
      <c r="J153" s="1899" t="s">
        <v>142</v>
      </c>
      <c r="K153" s="1547" t="s">
        <v>5470</v>
      </c>
      <c r="L153" s="2357">
        <v>445</v>
      </c>
      <c r="M153" s="2196" t="s">
        <v>5442</v>
      </c>
      <c r="N153" s="1493"/>
      <c r="O153" s="1859"/>
      <c r="P153" s="1790">
        <v>3</v>
      </c>
      <c r="R153" s="1495"/>
      <c r="S153" s="1495"/>
      <c r="T153" s="1495"/>
      <c r="U153" s="1748"/>
      <c r="Y153" s="1493"/>
      <c r="Z153" s="1493"/>
      <c r="AA153" s="1493"/>
    </row>
    <row r="154" spans="1:27" s="1548" customFormat="1" ht="58.6" customHeight="1">
      <c r="A154" s="3770"/>
      <c r="B154" s="1900" t="str">
        <f>TEXT(LEFT(K154,10),"0000000000")</f>
        <v>2200002039</v>
      </c>
      <c r="C154" s="1493" t="s">
        <v>114</v>
      </c>
      <c r="D154" s="1494"/>
      <c r="E154" s="1495"/>
      <c r="F154" s="1493" t="s">
        <v>22</v>
      </c>
      <c r="G154" s="1495"/>
      <c r="H154" s="1495"/>
      <c r="I154" s="1495" t="s">
        <v>65</v>
      </c>
      <c r="J154" s="1899" t="s">
        <v>142</v>
      </c>
      <c r="K154" s="1547" t="s">
        <v>5525</v>
      </c>
      <c r="L154" s="2357">
        <v>75</v>
      </c>
      <c r="M154" s="1852" t="s">
        <v>5444</v>
      </c>
      <c r="N154" s="1493"/>
      <c r="O154" s="1859"/>
      <c r="P154" s="1790">
        <v>3</v>
      </c>
      <c r="R154" s="1495"/>
      <c r="S154" s="1495"/>
      <c r="T154" s="1495"/>
      <c r="U154" s="1748"/>
      <c r="Y154" s="1493"/>
      <c r="Z154" s="1493"/>
      <c r="AA154" s="1493"/>
    </row>
    <row r="155" spans="1:27" s="1548" customFormat="1" ht="58.6" customHeight="1">
      <c r="A155" s="3770"/>
      <c r="B155" s="1900" t="str">
        <f t="shared" ref="B155:B157" si="23">TEXT(LEFT(K155,10),"0000000000")</f>
        <v>2200002044</v>
      </c>
      <c r="C155" s="1493" t="s">
        <v>114</v>
      </c>
      <c r="D155" s="1494"/>
      <c r="E155" s="1495"/>
      <c r="F155" s="1493" t="s">
        <v>22</v>
      </c>
      <c r="G155" s="1495"/>
      <c r="H155" s="1495"/>
      <c r="I155" s="1495" t="s">
        <v>65</v>
      </c>
      <c r="J155" s="1899" t="s">
        <v>142</v>
      </c>
      <c r="K155" s="1547" t="s">
        <v>5526</v>
      </c>
      <c r="L155" s="2357">
        <v>2460</v>
      </c>
      <c r="M155" s="1852" t="s">
        <v>5444</v>
      </c>
      <c r="N155" s="1493"/>
      <c r="O155" s="1859"/>
      <c r="P155" s="1790">
        <v>3</v>
      </c>
      <c r="R155" s="1495"/>
      <c r="S155" s="1495"/>
      <c r="T155" s="1495"/>
      <c r="U155" s="1748"/>
      <c r="Y155" s="1493"/>
      <c r="Z155" s="1493"/>
      <c r="AA155" s="1493"/>
    </row>
    <row r="156" spans="1:27" s="1548" customFormat="1" ht="58.6" customHeight="1">
      <c r="A156" s="3769"/>
      <c r="B156" s="1900" t="str">
        <f t="shared" si="23"/>
        <v>2200002043</v>
      </c>
      <c r="C156" s="1493" t="s">
        <v>114</v>
      </c>
      <c r="D156" s="1494"/>
      <c r="E156" s="1495"/>
      <c r="F156" s="1493" t="s">
        <v>22</v>
      </c>
      <c r="G156" s="1495"/>
      <c r="H156" s="1495"/>
      <c r="I156" s="1495" t="s">
        <v>65</v>
      </c>
      <c r="J156" s="1899" t="s">
        <v>117</v>
      </c>
      <c r="K156" s="1547" t="s">
        <v>5527</v>
      </c>
      <c r="L156" s="2357">
        <v>355</v>
      </c>
      <c r="M156" s="1852" t="s">
        <v>5444</v>
      </c>
      <c r="N156" s="1493"/>
      <c r="O156" s="1859"/>
      <c r="P156" s="1790">
        <v>3</v>
      </c>
      <c r="R156" s="1495"/>
      <c r="S156" s="1495"/>
      <c r="T156" s="1495"/>
      <c r="U156" s="1748"/>
      <c r="Y156" s="1493"/>
      <c r="Z156" s="1493"/>
      <c r="AA156" s="1493"/>
    </row>
    <row r="157" spans="1:27" s="2150" customFormat="1" ht="58.6" customHeight="1">
      <c r="A157" s="2414">
        <v>48</v>
      </c>
      <c r="B157" s="2419" t="str">
        <f t="shared" si="23"/>
        <v>2200002044</v>
      </c>
      <c r="C157" s="1902" t="s">
        <v>3895</v>
      </c>
      <c r="D157" s="2607">
        <v>1555</v>
      </c>
      <c r="E157" s="1921" t="s">
        <v>5528</v>
      </c>
      <c r="F157" s="1902" t="s">
        <v>22</v>
      </c>
      <c r="G157" s="1921" t="s">
        <v>5529</v>
      </c>
      <c r="H157" s="1921"/>
      <c r="I157" s="1921" t="s">
        <v>65</v>
      </c>
      <c r="J157" s="2370" t="s">
        <v>142</v>
      </c>
      <c r="K157" s="1911" t="s">
        <v>5530</v>
      </c>
      <c r="L157" s="2583">
        <v>1555</v>
      </c>
      <c r="M157" s="2626" t="s">
        <v>5444</v>
      </c>
      <c r="N157" s="1902" t="s">
        <v>5320</v>
      </c>
      <c r="O157" s="1862" t="s">
        <v>5531</v>
      </c>
      <c r="P157" s="2429">
        <v>3</v>
      </c>
      <c r="R157" s="1921"/>
      <c r="S157" s="1921"/>
      <c r="T157" s="1921"/>
      <c r="U157" s="1909"/>
      <c r="Y157" s="1902"/>
      <c r="Z157" s="1902"/>
      <c r="AA157" s="1902"/>
    </row>
    <row r="158" spans="1:27" s="1837" customFormat="1" ht="58.6" customHeight="1">
      <c r="A158" s="1831"/>
      <c r="B158" s="2759" t="str">
        <f t="shared" ref="B158:B163" si="24">TEXT(LEFT(K158,10),"0000000000")</f>
        <v>2200002000</v>
      </c>
      <c r="C158" s="1832" t="s">
        <v>2509</v>
      </c>
      <c r="D158" s="2750">
        <v>4940</v>
      </c>
      <c r="E158" s="1834" t="s">
        <v>5532</v>
      </c>
      <c r="F158" s="1832" t="s">
        <v>24</v>
      </c>
      <c r="G158" s="1834"/>
      <c r="H158" s="1834"/>
      <c r="I158" s="1834" t="s">
        <v>65</v>
      </c>
      <c r="J158" s="1834" t="s">
        <v>275</v>
      </c>
      <c r="K158" s="1836" t="s">
        <v>5533</v>
      </c>
      <c r="L158" s="2751">
        <v>4940</v>
      </c>
      <c r="M158" s="1832" t="s">
        <v>5245</v>
      </c>
      <c r="N158" s="1832"/>
      <c r="O158" s="2752"/>
      <c r="P158" s="1856">
        <v>1</v>
      </c>
      <c r="R158" s="1834"/>
      <c r="S158" s="1834"/>
      <c r="T158" s="1834"/>
      <c r="U158" s="2760"/>
      <c r="Y158" s="1832"/>
      <c r="Z158" s="1832"/>
      <c r="AA158" s="1832"/>
    </row>
    <row r="159" spans="1:27" s="1837" customFormat="1" ht="58.6" customHeight="1">
      <c r="A159" s="1831"/>
      <c r="B159" s="2759" t="str">
        <f t="shared" si="24"/>
        <v>2000002974</v>
      </c>
      <c r="C159" s="1832" t="s">
        <v>2509</v>
      </c>
      <c r="D159" s="2750">
        <v>1500</v>
      </c>
      <c r="E159" s="1834" t="s">
        <v>5534</v>
      </c>
      <c r="F159" s="1832" t="s">
        <v>24</v>
      </c>
      <c r="G159" s="1834"/>
      <c r="H159" s="1834"/>
      <c r="I159" s="1834" t="s">
        <v>65</v>
      </c>
      <c r="J159" s="1834" t="s">
        <v>275</v>
      </c>
      <c r="K159" s="1836" t="s">
        <v>5535</v>
      </c>
      <c r="L159" s="2751">
        <v>1500</v>
      </c>
      <c r="M159" s="1856" t="s">
        <v>5536</v>
      </c>
      <c r="N159" s="1832"/>
      <c r="O159" s="2752"/>
      <c r="P159" s="1856">
        <v>2</v>
      </c>
      <c r="R159" s="1834"/>
      <c r="S159" s="1834"/>
      <c r="T159" s="1834"/>
      <c r="U159" s="2760"/>
      <c r="Y159" s="1832"/>
      <c r="Z159" s="1832"/>
      <c r="AA159" s="1832"/>
    </row>
    <row r="160" spans="1:27" s="1837" customFormat="1" ht="58.6" customHeight="1">
      <c r="A160" s="1831"/>
      <c r="B160" s="2753" t="str">
        <f t="shared" si="24"/>
        <v>2000002975</v>
      </c>
      <c r="C160" s="1832" t="s">
        <v>2509</v>
      </c>
      <c r="D160" s="2750">
        <v>1500</v>
      </c>
      <c r="E160" s="1834" t="s">
        <v>5537</v>
      </c>
      <c r="F160" s="1832" t="s">
        <v>24</v>
      </c>
      <c r="G160" s="1834"/>
      <c r="H160" s="1834"/>
      <c r="I160" s="1834" t="s">
        <v>65</v>
      </c>
      <c r="J160" s="1834" t="s">
        <v>275</v>
      </c>
      <c r="K160" s="1836" t="s">
        <v>5538</v>
      </c>
      <c r="L160" s="2751">
        <v>1500</v>
      </c>
      <c r="M160" s="1856" t="s">
        <v>5255</v>
      </c>
      <c r="N160" s="1832"/>
      <c r="O160" s="2752"/>
      <c r="P160" s="1856">
        <v>3</v>
      </c>
      <c r="R160" s="1832"/>
      <c r="S160" s="2778" t="e">
        <f>VLOOKUP(R160,#REF!,2,0)</f>
        <v>#REF!</v>
      </c>
      <c r="T160" s="2778" t="e">
        <f>VLOOKUP(R160,#REF!,3,0)</f>
        <v>#REF!</v>
      </c>
      <c r="U160" s="2779" t="e">
        <f>S160-T160</f>
        <v>#REF!</v>
      </c>
      <c r="Y160" s="1832"/>
      <c r="Z160" s="1832"/>
      <c r="AA160" s="1832"/>
    </row>
    <row r="161" spans="1:27" s="1837" customFormat="1" ht="58.6" customHeight="1">
      <c r="A161" s="1831"/>
      <c r="B161" s="2753" t="str">
        <f t="shared" si="24"/>
        <v>2000002984</v>
      </c>
      <c r="C161" s="1832" t="s">
        <v>2509</v>
      </c>
      <c r="D161" s="2750">
        <v>200</v>
      </c>
      <c r="E161" s="1834" t="s">
        <v>5260</v>
      </c>
      <c r="F161" s="1832" t="s">
        <v>24</v>
      </c>
      <c r="G161" s="1834"/>
      <c r="H161" s="1834"/>
      <c r="I161" s="1834" t="s">
        <v>65</v>
      </c>
      <c r="J161" s="1834" t="s">
        <v>1653</v>
      </c>
      <c r="K161" s="1836" t="s">
        <v>5539</v>
      </c>
      <c r="L161" s="2751">
        <v>200</v>
      </c>
      <c r="M161" s="1832" t="s">
        <v>5255</v>
      </c>
      <c r="N161" s="1832"/>
      <c r="O161" s="2752"/>
      <c r="P161" s="1856">
        <v>1</v>
      </c>
      <c r="R161" s="1834"/>
      <c r="S161" s="1834"/>
      <c r="T161" s="1834"/>
      <c r="U161" s="2760"/>
      <c r="Y161" s="1832"/>
      <c r="Z161" s="1832"/>
      <c r="AA161" s="1832"/>
    </row>
    <row r="162" spans="1:27" s="1837" customFormat="1" ht="58.6" customHeight="1">
      <c r="A162" s="1831"/>
      <c r="B162" s="2753" t="str">
        <f t="shared" si="24"/>
        <v>2000003009</v>
      </c>
      <c r="C162" s="1832" t="s">
        <v>2509</v>
      </c>
      <c r="D162" s="2750">
        <v>250</v>
      </c>
      <c r="E162" s="1834" t="s">
        <v>5540</v>
      </c>
      <c r="F162" s="1832" t="s">
        <v>24</v>
      </c>
      <c r="G162" s="1834"/>
      <c r="H162" s="1834"/>
      <c r="I162" s="1834" t="s">
        <v>65</v>
      </c>
      <c r="J162" s="1834" t="s">
        <v>1653</v>
      </c>
      <c r="K162" s="1836" t="s">
        <v>5541</v>
      </c>
      <c r="L162" s="2751">
        <v>250</v>
      </c>
      <c r="M162" s="1832" t="s">
        <v>5542</v>
      </c>
      <c r="N162" s="1832"/>
      <c r="O162" s="2752"/>
      <c r="P162" s="1856">
        <v>2</v>
      </c>
      <c r="R162" s="1834"/>
      <c r="S162" s="1834"/>
      <c r="T162" s="1834"/>
      <c r="U162" s="2760"/>
      <c r="Y162" s="1832"/>
      <c r="Z162" s="1832"/>
      <c r="AA162" s="1832"/>
    </row>
    <row r="163" spans="1:27" s="2740" customFormat="1" ht="58.6" customHeight="1">
      <c r="A163" s="2732"/>
      <c r="B163" s="2742" t="str">
        <f t="shared" si="24"/>
        <v>2200002013</v>
      </c>
      <c r="C163" s="2733" t="s">
        <v>2509</v>
      </c>
      <c r="D163" s="2734">
        <v>1350</v>
      </c>
      <c r="E163" s="2735"/>
      <c r="F163" s="2733" t="s">
        <v>24</v>
      </c>
      <c r="G163" s="2735"/>
      <c r="H163" s="2735"/>
      <c r="I163" s="2735" t="s">
        <v>65</v>
      </c>
      <c r="J163" s="2735" t="s">
        <v>275</v>
      </c>
      <c r="K163" s="2736" t="s">
        <v>5543</v>
      </c>
      <c r="L163" s="2737">
        <v>1350</v>
      </c>
      <c r="M163" s="2739" t="s">
        <v>5544</v>
      </c>
      <c r="N163" s="2733"/>
      <c r="O163" s="2738"/>
      <c r="P163" s="2739">
        <v>2</v>
      </c>
      <c r="R163" s="2735"/>
      <c r="S163" s="2735"/>
      <c r="T163" s="2735"/>
      <c r="U163" s="2741"/>
      <c r="Y163" s="2733"/>
      <c r="Z163" s="2733"/>
      <c r="AA163" s="2733"/>
    </row>
    <row r="164" spans="1:27" s="1837" customFormat="1" ht="58.6" customHeight="1">
      <c r="A164" s="1831"/>
      <c r="B164" s="2753" t="str">
        <f>TEXT(LEFT(K164,10),"0000000000")</f>
        <v>2200002024</v>
      </c>
      <c r="C164" s="1832" t="s">
        <v>2509</v>
      </c>
      <c r="D164" s="2750">
        <v>4041</v>
      </c>
      <c r="E164" s="1834" t="s">
        <v>5534</v>
      </c>
      <c r="F164" s="1832" t="s">
        <v>24</v>
      </c>
      <c r="G164" s="1834"/>
      <c r="H164" s="1834"/>
      <c r="I164" s="1834" t="s">
        <v>65</v>
      </c>
      <c r="J164" s="1834" t="s">
        <v>275</v>
      </c>
      <c r="K164" s="1836" t="s">
        <v>5545</v>
      </c>
      <c r="L164" s="2751">
        <v>4041</v>
      </c>
      <c r="M164" s="2768" t="s">
        <v>5230</v>
      </c>
      <c r="N164" s="1832"/>
      <c r="O164" s="2752"/>
      <c r="P164" s="1856">
        <v>2</v>
      </c>
      <c r="R164" s="1834"/>
      <c r="S164" s="1834"/>
      <c r="T164" s="1834"/>
      <c r="U164" s="2764"/>
      <c r="Y164" s="1832"/>
      <c r="Z164" s="1832"/>
      <c r="AA164" s="1832"/>
    </row>
    <row r="165" spans="1:27" s="1837" customFormat="1" ht="58.6" customHeight="1">
      <c r="A165" s="1831"/>
      <c r="B165" s="2753" t="str">
        <f>TEXT(LEFT(K165,10),"0000000000")</f>
        <v>2200002025</v>
      </c>
      <c r="C165" s="1832" t="s">
        <v>2509</v>
      </c>
      <c r="D165" s="2750">
        <v>3868</v>
      </c>
      <c r="E165" s="1834" t="s">
        <v>5546</v>
      </c>
      <c r="F165" s="1832" t="s">
        <v>24</v>
      </c>
      <c r="G165" s="1834"/>
      <c r="H165" s="1834"/>
      <c r="I165" s="1834" t="s">
        <v>65</v>
      </c>
      <c r="J165" s="1834" t="s">
        <v>275</v>
      </c>
      <c r="K165" s="1836" t="s">
        <v>5547</v>
      </c>
      <c r="L165" s="2751">
        <v>3868</v>
      </c>
      <c r="M165" s="1856" t="s">
        <v>5548</v>
      </c>
      <c r="N165" s="1832"/>
      <c r="O165" s="2752"/>
      <c r="P165" s="1856">
        <v>3</v>
      </c>
      <c r="R165" s="1834"/>
      <c r="S165" s="1834"/>
      <c r="T165" s="1834"/>
      <c r="U165" s="2764"/>
      <c r="Y165" s="1832"/>
      <c r="Z165" s="1832"/>
      <c r="AA165" s="1832"/>
    </row>
    <row r="166" spans="1:27" s="1837" customFormat="1" ht="58.6" customHeight="1">
      <c r="A166" s="1831"/>
      <c r="B166" s="2753" t="str">
        <f>TEXT(LEFT(K166,10),"0000000000")</f>
        <v>2000003020</v>
      </c>
      <c r="C166" s="1832" t="s">
        <v>2509</v>
      </c>
      <c r="D166" s="2750">
        <v>250</v>
      </c>
      <c r="E166" s="1834" t="s">
        <v>5549</v>
      </c>
      <c r="F166" s="1832" t="s">
        <v>24</v>
      </c>
      <c r="G166" s="1834"/>
      <c r="H166" s="1834"/>
      <c r="I166" s="1834" t="s">
        <v>65</v>
      </c>
      <c r="J166" s="1834" t="s">
        <v>1653</v>
      </c>
      <c r="K166" s="1836" t="s">
        <v>5550</v>
      </c>
      <c r="L166" s="2751">
        <v>250</v>
      </c>
      <c r="M166" s="1856" t="s">
        <v>5255</v>
      </c>
      <c r="N166" s="1832"/>
      <c r="O166" s="2752"/>
      <c r="P166" s="2780">
        <v>2</v>
      </c>
      <c r="R166" s="1834"/>
      <c r="S166" s="1834"/>
      <c r="T166" s="1834"/>
      <c r="U166" s="2764"/>
      <c r="Y166" s="1832"/>
      <c r="Z166" s="1832"/>
      <c r="AA166" s="1832"/>
    </row>
    <row r="167" spans="1:27" s="2776" customFormat="1" ht="58.6" customHeight="1">
      <c r="A167" s="2770"/>
      <c r="B167" s="2742" t="str">
        <f>TEXT(LEFT(K167,10),"0000000000")</f>
        <v>2000003021</v>
      </c>
      <c r="C167" s="2771" t="s">
        <v>2509</v>
      </c>
      <c r="D167" s="2772">
        <v>200</v>
      </c>
      <c r="E167" s="2742" t="s">
        <v>5551</v>
      </c>
      <c r="F167" s="2771" t="s">
        <v>24</v>
      </c>
      <c r="G167" s="2742"/>
      <c r="H167" s="2742"/>
      <c r="I167" s="2742" t="s">
        <v>65</v>
      </c>
      <c r="J167" s="2742" t="s">
        <v>1653</v>
      </c>
      <c r="K167" s="2773" t="s">
        <v>5552</v>
      </c>
      <c r="L167" s="2774">
        <v>200</v>
      </c>
      <c r="M167" s="2763" t="s">
        <v>5255</v>
      </c>
      <c r="N167" s="2771"/>
      <c r="O167" s="2775"/>
      <c r="P167" s="2763">
        <v>3</v>
      </c>
      <c r="R167" s="2742"/>
      <c r="S167" s="2742"/>
      <c r="T167" s="2742"/>
      <c r="U167" s="2777"/>
      <c r="Y167" s="2771"/>
      <c r="Z167" s="2771"/>
      <c r="AA167" s="2771"/>
    </row>
    <row r="168" spans="1:27" s="1837" customFormat="1" ht="58.6" customHeight="1">
      <c r="A168" s="1831"/>
      <c r="B168" s="1834" t="str">
        <f t="shared" ref="B168:B169" si="25">TEXT(LEFT(K168,10),"0000000000")</f>
        <v>2200002030</v>
      </c>
      <c r="C168" s="1832" t="s">
        <v>2509</v>
      </c>
      <c r="D168" s="2750">
        <v>3068</v>
      </c>
      <c r="E168" s="1834" t="s">
        <v>5553</v>
      </c>
      <c r="F168" s="1832" t="s">
        <v>24</v>
      </c>
      <c r="G168" s="1834"/>
      <c r="H168" s="1834"/>
      <c r="I168" s="1834" t="s">
        <v>65</v>
      </c>
      <c r="J168" s="1834" t="s">
        <v>275</v>
      </c>
      <c r="K168" s="1836" t="s">
        <v>5554</v>
      </c>
      <c r="L168" s="2751">
        <v>3068</v>
      </c>
      <c r="M168" s="2768" t="s">
        <v>5230</v>
      </c>
      <c r="N168" s="1832"/>
      <c r="O168" s="2752"/>
      <c r="P168" s="1856">
        <v>3</v>
      </c>
      <c r="R168" s="1834"/>
      <c r="S168" s="1834"/>
      <c r="T168" s="1834"/>
      <c r="U168" s="2764"/>
      <c r="Y168" s="1832"/>
      <c r="Z168" s="1832"/>
      <c r="AA168" s="1832"/>
    </row>
    <row r="169" spans="1:27" s="1837" customFormat="1" ht="58.6" customHeight="1">
      <c r="A169" s="1831"/>
      <c r="B169" s="1834" t="str">
        <f t="shared" si="25"/>
        <v>2200002032</v>
      </c>
      <c r="C169" s="1832" t="s">
        <v>2509</v>
      </c>
      <c r="D169" s="2750">
        <v>3653</v>
      </c>
      <c r="E169" s="1834" t="s">
        <v>5555</v>
      </c>
      <c r="F169" s="1832" t="s">
        <v>24</v>
      </c>
      <c r="G169" s="1834"/>
      <c r="H169" s="1834"/>
      <c r="I169" s="1834" t="s">
        <v>65</v>
      </c>
      <c r="J169" s="1834" t="s">
        <v>275</v>
      </c>
      <c r="K169" s="1836" t="s">
        <v>5556</v>
      </c>
      <c r="L169" s="2751">
        <v>3653</v>
      </c>
      <c r="M169" s="1856" t="s">
        <v>5444</v>
      </c>
      <c r="N169" s="1832"/>
      <c r="O169" s="2752"/>
      <c r="P169" s="1856">
        <v>3</v>
      </c>
      <c r="R169" s="1834"/>
      <c r="S169" s="1834"/>
      <c r="T169" s="1834"/>
      <c r="U169" s="2764"/>
      <c r="Y169" s="1832"/>
      <c r="Z169" s="1832"/>
      <c r="AA169" s="1832"/>
    </row>
    <row r="170" spans="1:27" s="1837" customFormat="1" ht="58.6" customHeight="1">
      <c r="A170" s="1831"/>
      <c r="B170" s="1834" t="str">
        <f>TEXT(LEFT(K170,10),"0000000000")</f>
        <v>2200002038</v>
      </c>
      <c r="C170" s="1832" t="s">
        <v>2509</v>
      </c>
      <c r="D170" s="2750">
        <v>50</v>
      </c>
      <c r="E170" s="1834" t="s">
        <v>5557</v>
      </c>
      <c r="F170" s="1832" t="s">
        <v>24</v>
      </c>
      <c r="G170" s="1834"/>
      <c r="H170" s="1834"/>
      <c r="I170" s="1834" t="s">
        <v>65</v>
      </c>
      <c r="J170" s="1834" t="s">
        <v>275</v>
      </c>
      <c r="K170" s="1836" t="s">
        <v>5558</v>
      </c>
      <c r="L170" s="2751">
        <v>50</v>
      </c>
      <c r="M170" s="1856" t="s">
        <v>5444</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92" priority="1274"/>
  </conditionalFormatting>
  <conditionalFormatting sqref="B1:B1048576">
    <cfRule type="duplicateValues" dxfId="391" priority="1278"/>
  </conditionalFormatting>
  <conditionalFormatting sqref="B4:B1048576">
    <cfRule type="duplicateValues" dxfId="390" priority="1281"/>
    <cfRule type="duplicateValues" dxfId="389"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37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3" customHeight="1">
      <c r="A1" s="3777" t="s">
        <v>5559</v>
      </c>
      <c r="B1" s="3788"/>
      <c r="C1" s="3788"/>
      <c r="D1" s="3788"/>
      <c r="E1" s="3788"/>
      <c r="F1" s="3788"/>
      <c r="G1" s="3788"/>
      <c r="H1" s="3788"/>
      <c r="I1" s="3788"/>
      <c r="J1" s="3788"/>
      <c r="K1" s="3788"/>
      <c r="L1" s="3789"/>
      <c r="M1" s="3788"/>
      <c r="N1" s="3788"/>
      <c r="O1" s="3790"/>
      <c r="P1" s="3791"/>
    </row>
    <row r="2" spans="1:127" ht="39.75" customHeight="1">
      <c r="A2" s="3793" t="s">
        <v>3429</v>
      </c>
      <c r="B2" s="3794"/>
      <c r="C2" s="3795"/>
      <c r="D2" s="2215">
        <f>SUBTOTAL(9,D3:D568)</f>
        <v>398380</v>
      </c>
      <c r="E2" s="1932"/>
      <c r="F2" s="2092"/>
      <c r="G2" s="2269" t="s">
        <v>5209</v>
      </c>
      <c r="H2" s="1932"/>
      <c r="I2" s="1932"/>
      <c r="J2" s="1932"/>
      <c r="K2" s="2093">
        <f ca="1">TODAY()</f>
        <v>45988</v>
      </c>
      <c r="L2" s="2272">
        <f>SUBTOTAL(9,L4:L568)</f>
        <v>393760</v>
      </c>
      <c r="M2" s="2339" t="s">
        <v>5210</v>
      </c>
      <c r="N2" s="2099" t="s">
        <v>5211</v>
      </c>
      <c r="O2" s="3792" t="s">
        <v>0</v>
      </c>
      <c r="P2" s="3792"/>
    </row>
    <row r="3" spans="1:127" s="2175" customFormat="1" ht="79.5" customHeight="1">
      <c r="A3" s="2109" t="s">
        <v>48</v>
      </c>
      <c r="B3" s="2111" t="s">
        <v>5213</v>
      </c>
      <c r="C3" s="2111" t="s">
        <v>5214</v>
      </c>
      <c r="D3" s="2090" t="s">
        <v>5215</v>
      </c>
      <c r="E3" s="1970" t="s">
        <v>3430</v>
      </c>
      <c r="F3" s="1970" t="s">
        <v>52</v>
      </c>
      <c r="G3" s="1970" t="s">
        <v>3431</v>
      </c>
      <c r="H3" s="1970" t="s">
        <v>5560</v>
      </c>
      <c r="I3" s="1970" t="s">
        <v>55</v>
      </c>
      <c r="J3" s="1970" t="s">
        <v>56</v>
      </c>
      <c r="K3" s="1970" t="s">
        <v>5217</v>
      </c>
      <c r="L3" s="2346" t="s">
        <v>5561</v>
      </c>
      <c r="M3" s="2377" t="s">
        <v>5562</v>
      </c>
      <c r="N3" s="2100" t="s">
        <v>58</v>
      </c>
      <c r="O3" s="2589" t="s">
        <v>5221</v>
      </c>
      <c r="P3" s="2600" t="s">
        <v>5222</v>
      </c>
      <c r="Q3" s="2581" t="s">
        <v>5224</v>
      </c>
      <c r="R3" s="2581" t="s">
        <v>5225</v>
      </c>
      <c r="S3" s="2581" t="s">
        <v>5226</v>
      </c>
    </row>
    <row r="4" spans="1:127" s="1916" customFormat="1" ht="66.099999999999994" customHeight="1">
      <c r="A4" s="2214">
        <v>1</v>
      </c>
      <c r="B4" s="1921" t="str">
        <f t="shared" ref="B4:B11" si="0">TEXT(LEFT(K4,10),"0000000000")</f>
        <v>2000002768</v>
      </c>
      <c r="C4" s="1921" t="s">
        <v>3252</v>
      </c>
      <c r="D4" s="2222">
        <v>4200</v>
      </c>
      <c r="E4" s="1921" t="s">
        <v>5563</v>
      </c>
      <c r="F4" s="1921" t="s">
        <v>18</v>
      </c>
      <c r="G4" s="2541" t="s">
        <v>4311</v>
      </c>
      <c r="H4" s="1909" t="s">
        <v>5564</v>
      </c>
      <c r="I4" s="1921" t="s">
        <v>65</v>
      </c>
      <c r="J4" s="1921" t="s">
        <v>240</v>
      </c>
      <c r="K4" s="1845" t="s">
        <v>5565</v>
      </c>
      <c r="L4" s="2357">
        <v>4200</v>
      </c>
      <c r="M4" s="2196" t="s">
        <v>5230</v>
      </c>
      <c r="N4" s="2520" t="s">
        <v>5566</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099999999999994" customHeight="1">
      <c r="A5" s="2214">
        <v>2</v>
      </c>
      <c r="B5" s="1921" t="str">
        <f t="shared" si="0"/>
        <v>2200001922</v>
      </c>
      <c r="C5" s="1921" t="s">
        <v>5567</v>
      </c>
      <c r="D5" s="2222">
        <v>1536</v>
      </c>
      <c r="E5" s="1921" t="s">
        <v>5568</v>
      </c>
      <c r="F5" s="1921"/>
      <c r="G5" s="2541"/>
      <c r="H5" s="1909"/>
      <c r="I5" s="1921" t="s">
        <v>65</v>
      </c>
      <c r="J5" s="1921" t="s">
        <v>275</v>
      </c>
      <c r="K5" s="1845" t="s">
        <v>5569</v>
      </c>
      <c r="L5" s="2357">
        <v>1536</v>
      </c>
      <c r="M5" s="2196" t="s">
        <v>5230</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099999999999994" customHeight="1">
      <c r="A6" s="3768">
        <v>3</v>
      </c>
      <c r="B6" s="1495" t="str">
        <f t="shared" si="0"/>
        <v>2200001921</v>
      </c>
      <c r="C6" s="1902" t="s">
        <v>5570</v>
      </c>
      <c r="D6" s="2488">
        <v>4300</v>
      </c>
      <c r="E6" s="1921" t="s">
        <v>5571</v>
      </c>
      <c r="F6" s="1902" t="s">
        <v>24</v>
      </c>
      <c r="G6" s="1543" t="s">
        <v>5572</v>
      </c>
      <c r="H6" s="2187" t="s">
        <v>5573</v>
      </c>
      <c r="I6" s="2187" t="s">
        <v>65</v>
      </c>
      <c r="J6" s="2187" t="s">
        <v>1179</v>
      </c>
      <c r="K6" s="1605" t="s">
        <v>5574</v>
      </c>
      <c r="L6" s="2543">
        <v>614</v>
      </c>
      <c r="M6" s="2196" t="s">
        <v>5230</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099999999999994" customHeight="1">
      <c r="A7" s="3770"/>
      <c r="B7" s="1495" t="str">
        <f t="shared" si="0"/>
        <v>2200001905</v>
      </c>
      <c r="C7" s="1493" t="s">
        <v>5570</v>
      </c>
      <c r="D7" s="2325"/>
      <c r="E7" s="1495"/>
      <c r="F7" s="1493" t="s">
        <v>24</v>
      </c>
      <c r="G7" s="1543"/>
      <c r="H7" s="1543"/>
      <c r="I7" s="2187" t="s">
        <v>65</v>
      </c>
      <c r="J7" s="2187" t="s">
        <v>1179</v>
      </c>
      <c r="K7" s="1600" t="s">
        <v>5575</v>
      </c>
      <c r="L7" s="2357">
        <v>2000</v>
      </c>
      <c r="M7" s="2196" t="s">
        <v>5230</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099999999999994" customHeight="1">
      <c r="A8" s="3769"/>
      <c r="B8" s="1495" t="str">
        <f t="shared" si="0"/>
        <v>2200001924</v>
      </c>
      <c r="C8" s="1493" t="s">
        <v>5570</v>
      </c>
      <c r="D8" s="2325"/>
      <c r="E8" s="1495"/>
      <c r="F8" s="1493" t="s">
        <v>24</v>
      </c>
      <c r="G8" s="1543"/>
      <c r="H8" s="1543"/>
      <c r="I8" s="1495" t="s">
        <v>65</v>
      </c>
      <c r="J8" s="1495" t="s">
        <v>1179</v>
      </c>
      <c r="K8" s="1605" t="s">
        <v>5576</v>
      </c>
      <c r="L8" s="2543">
        <v>1712</v>
      </c>
      <c r="M8" s="2196" t="s">
        <v>5230</v>
      </c>
      <c r="N8" s="2544" t="s">
        <v>5577</v>
      </c>
      <c r="O8" s="2591">
        <v>1</v>
      </c>
      <c r="P8" s="1559" t="s">
        <v>5578</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8.95" customHeight="1">
      <c r="A9" s="3781">
        <v>4</v>
      </c>
      <c r="B9" s="1921" t="str">
        <f t="shared" si="0"/>
        <v>2000002795</v>
      </c>
      <c r="C9" s="1921" t="s">
        <v>5579</v>
      </c>
      <c r="D9" s="2222">
        <v>4200</v>
      </c>
      <c r="E9" s="1921" t="s">
        <v>5580</v>
      </c>
      <c r="F9" s="1921" t="s">
        <v>20</v>
      </c>
      <c r="G9" s="2541" t="s">
        <v>5581</v>
      </c>
      <c r="H9" s="1909" t="s">
        <v>5582</v>
      </c>
      <c r="I9" s="1921" t="s">
        <v>65</v>
      </c>
      <c r="J9" s="1921" t="s">
        <v>117</v>
      </c>
      <c r="K9" s="1916" t="s">
        <v>5583</v>
      </c>
      <c r="L9" s="2560">
        <v>1250</v>
      </c>
      <c r="M9" s="2196" t="s">
        <v>5230</v>
      </c>
      <c r="N9" s="2520" t="s">
        <v>5584</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35" customHeight="1">
      <c r="A10" s="3782"/>
      <c r="B10" s="1495" t="str">
        <f t="shared" si="0"/>
        <v>2000002750</v>
      </c>
      <c r="C10" s="1495" t="s">
        <v>5579</v>
      </c>
      <c r="D10" s="2559"/>
      <c r="E10" s="1495"/>
      <c r="F10" s="1495" t="s">
        <v>20</v>
      </c>
      <c r="G10" s="1495"/>
      <c r="H10" s="1495"/>
      <c r="I10" s="1495" t="s">
        <v>65</v>
      </c>
      <c r="J10" s="1495" t="s">
        <v>117</v>
      </c>
      <c r="K10" s="1496" t="s">
        <v>5585</v>
      </c>
      <c r="L10" s="2299">
        <v>1190</v>
      </c>
      <c r="M10" s="2196" t="s">
        <v>5230</v>
      </c>
      <c r="N10" s="2520" t="s">
        <v>5586</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35" customHeight="1">
      <c r="A11" s="3782"/>
      <c r="B11" s="1495" t="str">
        <f t="shared" si="0"/>
        <v>2000002762</v>
      </c>
      <c r="C11" s="1495" t="s">
        <v>5579</v>
      </c>
      <c r="D11" s="2559"/>
      <c r="E11" s="1495"/>
      <c r="F11" s="1495" t="s">
        <v>20</v>
      </c>
      <c r="G11" s="1495"/>
      <c r="H11" s="1495"/>
      <c r="I11" s="1495" t="s">
        <v>65</v>
      </c>
      <c r="J11" s="1495" t="s">
        <v>117</v>
      </c>
      <c r="K11" s="2685" t="s">
        <v>5587</v>
      </c>
      <c r="L11" s="2299">
        <v>1550</v>
      </c>
      <c r="M11" s="2196" t="s">
        <v>5230</v>
      </c>
      <c r="N11" s="2520" t="s">
        <v>5588</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8" customHeight="1">
      <c r="A12" s="3783"/>
      <c r="B12" s="1495" t="str">
        <f t="shared" ref="B12:B43" si="2">TEXT(LEFT(K12,10),"0000000000")</f>
        <v>2200001916</v>
      </c>
      <c r="C12" s="1495" t="s">
        <v>5579</v>
      </c>
      <c r="D12" s="2559"/>
      <c r="E12" s="1495"/>
      <c r="F12" s="1495" t="s">
        <v>20</v>
      </c>
      <c r="G12" s="1495"/>
      <c r="H12" s="1495"/>
      <c r="I12" s="1495" t="s">
        <v>65</v>
      </c>
      <c r="J12" s="1495" t="s">
        <v>117</v>
      </c>
      <c r="K12" s="1496" t="s">
        <v>5589</v>
      </c>
      <c r="L12" s="2299">
        <v>165</v>
      </c>
      <c r="M12" s="1748" t="s">
        <v>5590</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99999999999994" customHeight="1">
      <c r="A13" s="3781">
        <v>5</v>
      </c>
      <c r="B13" s="1921" t="str">
        <f t="shared" si="2"/>
        <v>2200001917</v>
      </c>
      <c r="C13" s="1921" t="s">
        <v>3996</v>
      </c>
      <c r="D13" s="2537">
        <v>12900</v>
      </c>
      <c r="E13" s="2187" t="s">
        <v>5591</v>
      </c>
      <c r="F13" s="1921" t="s">
        <v>16</v>
      </c>
      <c r="G13" s="2261" t="s">
        <v>5592</v>
      </c>
      <c r="H13" s="2261" t="s">
        <v>5593</v>
      </c>
      <c r="I13" s="1921" t="s">
        <v>65</v>
      </c>
      <c r="J13" s="1561" t="s">
        <v>1179</v>
      </c>
      <c r="K13" s="2686" t="s">
        <v>5594</v>
      </c>
      <c r="L13" s="2299">
        <v>122</v>
      </c>
      <c r="M13" s="1909" t="s">
        <v>5595</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99999999999994" customHeight="1">
      <c r="A14" s="3782"/>
      <c r="B14" s="1495" t="str">
        <f t="shared" si="2"/>
        <v>2200001902</v>
      </c>
      <c r="C14" s="1495" t="s">
        <v>3996</v>
      </c>
      <c r="D14" s="2539"/>
      <c r="E14" s="1543"/>
      <c r="F14" s="1495" t="s">
        <v>16</v>
      </c>
      <c r="G14" s="1543"/>
      <c r="H14" s="1543"/>
      <c r="I14" s="1495" t="s">
        <v>65</v>
      </c>
      <c r="J14" s="1773" t="s">
        <v>1179</v>
      </c>
      <c r="K14" s="1628" t="s">
        <v>5596</v>
      </c>
      <c r="L14" s="2555">
        <v>194</v>
      </c>
      <c r="M14" s="2447" t="s">
        <v>5255</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35" customHeight="1">
      <c r="A15" s="3782"/>
      <c r="B15" s="1495" t="str">
        <f t="shared" si="2"/>
        <v>2200001906</v>
      </c>
      <c r="C15" s="1495" t="s">
        <v>3996</v>
      </c>
      <c r="D15" s="2539"/>
      <c r="E15" s="1543"/>
      <c r="F15" s="1495" t="s">
        <v>16</v>
      </c>
      <c r="G15" s="1543"/>
      <c r="H15" s="1543"/>
      <c r="I15" s="1495" t="s">
        <v>65</v>
      </c>
      <c r="J15" s="1773" t="s">
        <v>1179</v>
      </c>
      <c r="K15" s="1600" t="s">
        <v>5597</v>
      </c>
      <c r="L15" s="2299">
        <v>1000</v>
      </c>
      <c r="M15" s="2448" t="s">
        <v>5247</v>
      </c>
      <c r="N15" s="2520" t="s">
        <v>5598</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82"/>
      <c r="B16" s="1495" t="str">
        <f t="shared" si="2"/>
        <v>2200001921</v>
      </c>
      <c r="C16" s="1495" t="s">
        <v>3996</v>
      </c>
      <c r="D16" s="2539"/>
      <c r="E16" s="1543"/>
      <c r="F16" s="1495" t="s">
        <v>16</v>
      </c>
      <c r="G16" s="1543"/>
      <c r="H16" s="1543"/>
      <c r="I16" s="1495" t="s">
        <v>65</v>
      </c>
      <c r="J16" s="1773" t="s">
        <v>1179</v>
      </c>
      <c r="K16" s="1605" t="s">
        <v>5599</v>
      </c>
      <c r="L16" s="2543">
        <v>2000</v>
      </c>
      <c r="M16" s="2196" t="s">
        <v>5230</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5" customHeight="1">
      <c r="A17" s="3782"/>
      <c r="B17" s="1495" t="str">
        <f t="shared" si="2"/>
        <v>2200001920</v>
      </c>
      <c r="C17" s="1495" t="s">
        <v>3996</v>
      </c>
      <c r="D17" s="2539"/>
      <c r="E17" s="1543"/>
      <c r="F17" s="1495" t="s">
        <v>16</v>
      </c>
      <c r="G17" s="1543"/>
      <c r="H17" s="1543"/>
      <c r="I17" s="1495" t="s">
        <v>65</v>
      </c>
      <c r="J17" s="1773" t="s">
        <v>1179</v>
      </c>
      <c r="K17" s="1843" t="s">
        <v>5600</v>
      </c>
      <c r="L17" s="2562">
        <v>2000</v>
      </c>
      <c r="M17" s="2196" t="s">
        <v>5230</v>
      </c>
      <c r="N17" s="1770"/>
      <c r="O17" s="2590">
        <v>1</v>
      </c>
      <c r="Q17" s="1493">
        <v>27642</v>
      </c>
      <c r="R17" s="1493">
        <v>13395</v>
      </c>
      <c r="S17" s="1493">
        <f>Q17-R17</f>
        <v>14247</v>
      </c>
    </row>
    <row r="18" spans="1:127" s="1548" customFormat="1" ht="64.55" customHeight="1">
      <c r="A18" s="3782"/>
      <c r="B18" s="1495" t="str">
        <f t="shared" si="2"/>
        <v>2000002710</v>
      </c>
      <c r="C18" s="1495" t="s">
        <v>3996</v>
      </c>
      <c r="D18" s="2539"/>
      <c r="E18" s="1543"/>
      <c r="F18" s="1495" t="s">
        <v>16</v>
      </c>
      <c r="G18" s="1543"/>
      <c r="H18" s="1543"/>
      <c r="I18" s="1495" t="s">
        <v>65</v>
      </c>
      <c r="J18" s="1773" t="s">
        <v>1179</v>
      </c>
      <c r="K18" s="1600" t="s">
        <v>5601</v>
      </c>
      <c r="L18" s="2357">
        <v>6000</v>
      </c>
      <c r="M18" s="2196" t="s">
        <v>5230</v>
      </c>
      <c r="N18" s="1843"/>
      <c r="O18" s="2590">
        <v>1</v>
      </c>
      <c r="Q18" s="1493">
        <v>5941</v>
      </c>
      <c r="R18" s="1493">
        <v>5941</v>
      </c>
      <c r="S18" s="1493">
        <f>Q18-R18</f>
        <v>0</v>
      </c>
    </row>
    <row r="19" spans="1:127" s="1548" customFormat="1" ht="64.55" customHeight="1">
      <c r="A19" s="3782"/>
      <c r="B19" s="1495" t="str">
        <f t="shared" si="2"/>
        <v>2000002729</v>
      </c>
      <c r="C19" s="1495" t="s">
        <v>3996</v>
      </c>
      <c r="D19" s="2539"/>
      <c r="E19" s="1543"/>
      <c r="F19" s="1495" t="s">
        <v>16</v>
      </c>
      <c r="G19" s="1543"/>
      <c r="H19" s="1543"/>
      <c r="I19" s="1495" t="s">
        <v>65</v>
      </c>
      <c r="J19" s="1773" t="s">
        <v>1179</v>
      </c>
      <c r="K19" s="1600" t="s">
        <v>5602</v>
      </c>
      <c r="L19" s="2299">
        <v>1000</v>
      </c>
      <c r="M19" s="1748" t="s">
        <v>5603</v>
      </c>
      <c r="N19" s="1843"/>
      <c r="O19" s="2223">
        <v>1</v>
      </c>
    </row>
    <row r="20" spans="1:127" s="1548" customFormat="1" ht="64.55" customHeight="1">
      <c r="A20" s="3783"/>
      <c r="B20" s="1495" t="str">
        <f t="shared" si="2"/>
        <v>2000002816</v>
      </c>
      <c r="C20" s="1495" t="s">
        <v>3996</v>
      </c>
      <c r="D20" s="2539"/>
      <c r="E20" s="1543"/>
      <c r="F20" s="1495" t="s">
        <v>16</v>
      </c>
      <c r="G20" s="1543"/>
      <c r="H20" s="1543"/>
      <c r="I20" s="1495" t="s">
        <v>65</v>
      </c>
      <c r="J20" s="1773" t="s">
        <v>1179</v>
      </c>
      <c r="K20" s="1600" t="s">
        <v>5604</v>
      </c>
      <c r="L20" s="2299">
        <v>300</v>
      </c>
      <c r="M20" s="1495" t="s">
        <v>5605</v>
      </c>
      <c r="N20" s="1843"/>
      <c r="O20" s="2223">
        <v>1</v>
      </c>
    </row>
    <row r="21" spans="1:127" s="1548" customFormat="1" ht="64.55" customHeight="1">
      <c r="A21" s="3781">
        <v>6</v>
      </c>
      <c r="B21" s="1921" t="str">
        <f t="shared" si="2"/>
        <v>2000002794</v>
      </c>
      <c r="C21" s="1921" t="s">
        <v>260</v>
      </c>
      <c r="D21" s="2222">
        <v>3750</v>
      </c>
      <c r="E21" s="2507" t="s">
        <v>5606</v>
      </c>
      <c r="F21" s="1921" t="s">
        <v>20</v>
      </c>
      <c r="G21" s="1921" t="s">
        <v>5607</v>
      </c>
      <c r="H21" s="1909"/>
      <c r="I21" s="1921" t="s">
        <v>65</v>
      </c>
      <c r="J21" s="1921" t="s">
        <v>117</v>
      </c>
      <c r="K21" s="2687" t="s">
        <v>5608</v>
      </c>
      <c r="L21" s="2299">
        <v>3400</v>
      </c>
      <c r="M21" s="2196" t="s">
        <v>5230</v>
      </c>
      <c r="N21" s="2520" t="s">
        <v>5609</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5" customHeight="1">
      <c r="A22" s="3783"/>
      <c r="B22" s="1495" t="str">
        <f t="shared" si="2"/>
        <v>2000002795</v>
      </c>
      <c r="C22" s="1495" t="s">
        <v>260</v>
      </c>
      <c r="D22" s="2559"/>
      <c r="E22" s="2010"/>
      <c r="F22" s="1495" t="s">
        <v>20</v>
      </c>
      <c r="G22" s="1495"/>
      <c r="H22" s="1748"/>
      <c r="I22" s="1495" t="s">
        <v>65</v>
      </c>
      <c r="J22" s="1495" t="s">
        <v>117</v>
      </c>
      <c r="K22" s="2685" t="s">
        <v>5610</v>
      </c>
      <c r="L22" s="2299">
        <v>150</v>
      </c>
      <c r="M22" s="2196" t="s">
        <v>5230</v>
      </c>
      <c r="N22" s="2520" t="s">
        <v>5584</v>
      </c>
      <c r="O22" s="2223">
        <v>1</v>
      </c>
      <c r="Q22" s="1493">
        <v>1446</v>
      </c>
      <c r="R22" s="1493">
        <v>1446</v>
      </c>
      <c r="S22" s="1493">
        <f>Q22-R22</f>
        <v>0</v>
      </c>
    </row>
    <row r="23" spans="1:127" s="2150" customFormat="1" ht="64.55" customHeight="1">
      <c r="A23" s="3768">
        <v>7</v>
      </c>
      <c r="B23" s="1921" t="str">
        <f t="shared" si="2"/>
        <v>2000002768</v>
      </c>
      <c r="C23" s="1902" t="s">
        <v>3432</v>
      </c>
      <c r="D23" s="2488">
        <v>3300</v>
      </c>
      <c r="E23" s="1921" t="s">
        <v>5580</v>
      </c>
      <c r="F23" s="1902" t="s">
        <v>24</v>
      </c>
      <c r="G23" s="1921" t="s">
        <v>5611</v>
      </c>
      <c r="H23" s="2261" t="s">
        <v>5612</v>
      </c>
      <c r="I23" s="1921" t="s">
        <v>65</v>
      </c>
      <c r="J23" s="1921" t="s">
        <v>240</v>
      </c>
      <c r="K23" s="1845" t="s">
        <v>5613</v>
      </c>
      <c r="L23" s="2357">
        <v>1800</v>
      </c>
      <c r="M23" s="2196" t="s">
        <v>5230</v>
      </c>
      <c r="N23" s="1862" t="s">
        <v>5614</v>
      </c>
      <c r="O23" s="2590">
        <v>1</v>
      </c>
      <c r="Q23" s="1493">
        <v>5792</v>
      </c>
      <c r="R23" s="1493">
        <v>5792</v>
      </c>
      <c r="S23" s="1493">
        <f>Q23-R23</f>
        <v>0</v>
      </c>
    </row>
    <row r="24" spans="1:127" s="2150" customFormat="1" ht="64.55" customHeight="1">
      <c r="A24" s="3769"/>
      <c r="B24" s="1495" t="str">
        <f t="shared" si="2"/>
        <v>2000002763</v>
      </c>
      <c r="C24" s="1493" t="s">
        <v>3432</v>
      </c>
      <c r="D24" s="2325"/>
      <c r="E24" s="1495"/>
      <c r="F24" s="1493" t="s">
        <v>24</v>
      </c>
      <c r="G24" s="1495"/>
      <c r="H24" s="1495"/>
      <c r="I24" s="1495" t="s">
        <v>65</v>
      </c>
      <c r="J24" s="1495" t="s">
        <v>117</v>
      </c>
      <c r="K24" s="1600" t="s">
        <v>5615</v>
      </c>
      <c r="L24" s="2357">
        <v>1200</v>
      </c>
      <c r="M24" s="2196" t="s">
        <v>5230</v>
      </c>
      <c r="N24" s="1859"/>
      <c r="O24" s="2590">
        <v>1</v>
      </c>
      <c r="Q24" s="1493">
        <v>1186</v>
      </c>
      <c r="R24" s="1493">
        <v>1186</v>
      </c>
      <c r="S24" s="1493">
        <f>Q24-R24</f>
        <v>0</v>
      </c>
    </row>
    <row r="25" spans="1:127" s="2127" customFormat="1" ht="64.55" customHeight="1">
      <c r="A25" s="3768">
        <v>8</v>
      </c>
      <c r="B25" s="2187" t="str">
        <f t="shared" si="2"/>
        <v>2000002760</v>
      </c>
      <c r="C25" s="2263" t="s">
        <v>4824</v>
      </c>
      <c r="D25" s="2505">
        <v>5800</v>
      </c>
      <c r="E25" s="2187" t="s">
        <v>5616</v>
      </c>
      <c r="F25" s="2263" t="s">
        <v>18</v>
      </c>
      <c r="G25" s="2187" t="s">
        <v>5617</v>
      </c>
      <c r="H25" s="2187" t="s">
        <v>5618</v>
      </c>
      <c r="I25" s="2187" t="s">
        <v>65</v>
      </c>
      <c r="J25" s="2187" t="s">
        <v>1179</v>
      </c>
      <c r="K25" s="2617" t="s">
        <v>5619</v>
      </c>
      <c r="L25" s="2543">
        <v>476</v>
      </c>
      <c r="M25" s="2196" t="s">
        <v>5230</v>
      </c>
      <c r="N25" s="2565" t="s">
        <v>5620</v>
      </c>
      <c r="O25" s="2591">
        <v>1</v>
      </c>
      <c r="Q25" s="1545">
        <v>476</v>
      </c>
      <c r="R25" s="1545">
        <v>476</v>
      </c>
      <c r="S25" s="1493">
        <f>Q25-R25</f>
        <v>0</v>
      </c>
    </row>
    <row r="26" spans="1:127" s="1548" customFormat="1" ht="64.55" customHeight="1">
      <c r="A26" s="3770"/>
      <c r="B26" s="1543" t="str">
        <f t="shared" si="2"/>
        <v>2000002804</v>
      </c>
      <c r="C26" s="1545" t="s">
        <v>4824</v>
      </c>
      <c r="D26" s="2325"/>
      <c r="E26" s="1495"/>
      <c r="F26" s="1545" t="s">
        <v>18</v>
      </c>
      <c r="G26" s="1495"/>
      <c r="H26" s="1495"/>
      <c r="I26" s="1495" t="s">
        <v>65</v>
      </c>
      <c r="J26" s="1495" t="s">
        <v>1179</v>
      </c>
      <c r="K26" s="1600" t="s">
        <v>5621</v>
      </c>
      <c r="L26" s="1826">
        <v>2408</v>
      </c>
      <c r="M26" s="1748" t="s">
        <v>5622</v>
      </c>
      <c r="N26" s="1859" t="s">
        <v>5623</v>
      </c>
      <c r="O26" s="2590">
        <v>1</v>
      </c>
    </row>
    <row r="27" spans="1:127" s="1548" customFormat="1" ht="64.55" customHeight="1">
      <c r="A27" s="3770"/>
      <c r="B27" s="1543" t="str">
        <f t="shared" si="2"/>
        <v>2000002805</v>
      </c>
      <c r="C27" s="1545" t="s">
        <v>4824</v>
      </c>
      <c r="D27" s="2325"/>
      <c r="E27" s="1495"/>
      <c r="F27" s="1545" t="s">
        <v>18</v>
      </c>
      <c r="G27" s="1495"/>
      <c r="H27" s="1495"/>
      <c r="I27" s="1495" t="s">
        <v>65</v>
      </c>
      <c r="J27" s="1495" t="s">
        <v>1179</v>
      </c>
      <c r="K27" s="1600" t="s">
        <v>5624</v>
      </c>
      <c r="L27" s="1826">
        <v>2336</v>
      </c>
      <c r="M27" s="1748" t="s">
        <v>5625</v>
      </c>
      <c r="N27" s="1843" t="s">
        <v>5623</v>
      </c>
      <c r="O27" s="2590">
        <v>1</v>
      </c>
    </row>
    <row r="28" spans="1:127" s="1548" customFormat="1" ht="86.3" customHeight="1">
      <c r="A28" s="3769"/>
      <c r="B28" s="1543" t="str">
        <f t="shared" si="2"/>
        <v>2200001920</v>
      </c>
      <c r="C28" s="1545" t="s">
        <v>4824</v>
      </c>
      <c r="D28" s="2325"/>
      <c r="E28" s="1495"/>
      <c r="F28" s="1545" t="s">
        <v>18</v>
      </c>
      <c r="G28" s="1495"/>
      <c r="H28" s="1495"/>
      <c r="I28" s="1495" t="s">
        <v>65</v>
      </c>
      <c r="J28" s="1495" t="s">
        <v>1179</v>
      </c>
      <c r="K28" s="1843" t="s">
        <v>5626</v>
      </c>
      <c r="L28" s="1826">
        <v>500</v>
      </c>
      <c r="M28" s="2196" t="s">
        <v>5230</v>
      </c>
      <c r="N28" s="1843" t="s">
        <v>5627</v>
      </c>
      <c r="O28" s="2590">
        <v>1</v>
      </c>
      <c r="Q28" s="1493">
        <v>27642</v>
      </c>
      <c r="R28" s="1493">
        <v>13395</v>
      </c>
      <c r="S28" s="1493">
        <f>Q28-R28</f>
        <v>14247</v>
      </c>
    </row>
    <row r="29" spans="1:127" s="2150" customFormat="1" ht="50.3" customHeight="1">
      <c r="A29" s="3771">
        <v>8</v>
      </c>
      <c r="B29" s="1921" t="str">
        <f t="shared" si="2"/>
        <v>2000002807</v>
      </c>
      <c r="C29" s="1902" t="s">
        <v>5628</v>
      </c>
      <c r="D29" s="2488">
        <v>23400</v>
      </c>
      <c r="E29" s="1921" t="s">
        <v>5629</v>
      </c>
      <c r="F29" s="1902" t="s">
        <v>18</v>
      </c>
      <c r="G29" s="2202" t="s">
        <v>5630</v>
      </c>
      <c r="H29" s="1921" t="s">
        <v>5631</v>
      </c>
      <c r="I29" s="2279" t="s">
        <v>65</v>
      </c>
      <c r="J29" s="1921" t="s">
        <v>164</v>
      </c>
      <c r="K29" s="1845" t="s">
        <v>5632</v>
      </c>
      <c r="L29" s="2357">
        <v>1000</v>
      </c>
      <c r="M29" s="1748" t="s">
        <v>5633</v>
      </c>
      <c r="N29" s="3785" t="s">
        <v>5634</v>
      </c>
      <c r="O29" s="2590">
        <v>1</v>
      </c>
    </row>
    <row r="30" spans="1:127" s="2150" customFormat="1" ht="50.3" customHeight="1">
      <c r="A30" s="3772"/>
      <c r="B30" s="1495" t="str">
        <f t="shared" si="2"/>
        <v>2000002808</v>
      </c>
      <c r="C30" s="1493" t="s">
        <v>5628</v>
      </c>
      <c r="D30" s="2488"/>
      <c r="E30" s="1921"/>
      <c r="F30" s="1493" t="s">
        <v>18</v>
      </c>
      <c r="G30" s="2202"/>
      <c r="H30" s="1921"/>
      <c r="I30" s="1568" t="s">
        <v>65</v>
      </c>
      <c r="J30" s="1495" t="s">
        <v>164</v>
      </c>
      <c r="K30" s="1600" t="s">
        <v>5635</v>
      </c>
      <c r="L30" s="2357">
        <v>2500</v>
      </c>
      <c r="M30" s="1748" t="s">
        <v>5636</v>
      </c>
      <c r="N30" s="3786"/>
      <c r="O30" s="2590">
        <v>1</v>
      </c>
      <c r="P30" s="1548"/>
      <c r="Q30" s="1548"/>
      <c r="R30" s="1548"/>
    </row>
    <row r="31" spans="1:127" s="2150" customFormat="1" ht="50.3" customHeight="1">
      <c r="A31" s="3772"/>
      <c r="B31" s="1495" t="str">
        <f t="shared" si="2"/>
        <v>2000002809</v>
      </c>
      <c r="C31" s="1493" t="s">
        <v>5628</v>
      </c>
      <c r="D31" s="2488"/>
      <c r="E31" s="1921"/>
      <c r="F31" s="1493" t="s">
        <v>18</v>
      </c>
      <c r="G31" s="2202"/>
      <c r="H31" s="1921"/>
      <c r="I31" s="1568" t="s">
        <v>65</v>
      </c>
      <c r="J31" s="1495" t="s">
        <v>164</v>
      </c>
      <c r="K31" s="1600" t="s">
        <v>5637</v>
      </c>
      <c r="L31" s="2357">
        <v>2000</v>
      </c>
      <c r="M31" s="1748" t="s">
        <v>5638</v>
      </c>
      <c r="N31" s="3786"/>
      <c r="O31" s="2590">
        <v>1</v>
      </c>
      <c r="P31" s="1548"/>
      <c r="Q31" s="1548"/>
      <c r="R31" s="1548"/>
    </row>
    <row r="32" spans="1:127" s="2150" customFormat="1" ht="50.3" customHeight="1">
      <c r="A32" s="3772"/>
      <c r="B32" s="1495" t="str">
        <f t="shared" si="2"/>
        <v>2000002810</v>
      </c>
      <c r="C32" s="1493" t="s">
        <v>5628</v>
      </c>
      <c r="D32" s="2488"/>
      <c r="E32" s="1921"/>
      <c r="F32" s="1493" t="s">
        <v>18</v>
      </c>
      <c r="G32" s="2202"/>
      <c r="H32" s="1921"/>
      <c r="I32" s="1568" t="s">
        <v>65</v>
      </c>
      <c r="J32" s="1495" t="s">
        <v>164</v>
      </c>
      <c r="K32" s="1600" t="s">
        <v>5639</v>
      </c>
      <c r="L32" s="2357">
        <v>2000</v>
      </c>
      <c r="M32" s="1748" t="s">
        <v>5640</v>
      </c>
      <c r="N32" s="3787"/>
      <c r="O32" s="2590">
        <v>1</v>
      </c>
      <c r="P32" s="1548"/>
      <c r="Q32" s="1548"/>
      <c r="R32" s="1548"/>
    </row>
    <row r="33" spans="1:19" s="1548" customFormat="1" ht="50.3" customHeight="1">
      <c r="A33" s="3772"/>
      <c r="B33" s="1495" t="str">
        <f t="shared" si="2"/>
        <v>2000002799</v>
      </c>
      <c r="C33" s="1493" t="s">
        <v>5628</v>
      </c>
      <c r="D33" s="2266"/>
      <c r="E33" s="1947"/>
      <c r="F33" s="1493" t="s">
        <v>18</v>
      </c>
      <c r="G33" s="1495"/>
      <c r="H33" s="1947"/>
      <c r="I33" s="1495" t="s">
        <v>65</v>
      </c>
      <c r="J33" s="1495" t="s">
        <v>164</v>
      </c>
      <c r="K33" s="1600" t="s">
        <v>5641</v>
      </c>
      <c r="L33" s="2357">
        <v>4000</v>
      </c>
      <c r="M33" s="2196" t="s">
        <v>5230</v>
      </c>
      <c r="N33" s="1843"/>
      <c r="O33" s="2590">
        <v>1</v>
      </c>
      <c r="P33" s="1883"/>
      <c r="Q33" s="1493">
        <v>3944</v>
      </c>
      <c r="R33" s="1493">
        <v>3944</v>
      </c>
      <c r="S33" s="1493">
        <f>Q33-R33</f>
        <v>0</v>
      </c>
    </row>
    <row r="34" spans="1:19" s="1548" customFormat="1" ht="50.3" customHeight="1">
      <c r="A34" s="3772"/>
      <c r="B34" s="1495" t="str">
        <f t="shared" si="2"/>
        <v>2000002740</v>
      </c>
      <c r="C34" s="1493" t="s">
        <v>5628</v>
      </c>
      <c r="D34" s="2351"/>
      <c r="E34" s="1495"/>
      <c r="F34" s="1493" t="s">
        <v>18</v>
      </c>
      <c r="G34" s="1495"/>
      <c r="H34" s="1495"/>
      <c r="I34" s="1495" t="s">
        <v>65</v>
      </c>
      <c r="J34" s="1495" t="s">
        <v>164</v>
      </c>
      <c r="K34" s="1496" t="s">
        <v>5642</v>
      </c>
      <c r="L34" s="2357">
        <v>2000</v>
      </c>
      <c r="M34" s="1909" t="s">
        <v>5255</v>
      </c>
      <c r="N34" s="1770"/>
      <c r="O34" s="2590">
        <v>1</v>
      </c>
    </row>
    <row r="35" spans="1:19" s="1548" customFormat="1" ht="50.3" customHeight="1">
      <c r="A35" s="3772"/>
      <c r="B35" s="1495" t="str">
        <f t="shared" si="2"/>
        <v>2000002797</v>
      </c>
      <c r="C35" s="1493" t="s">
        <v>5628</v>
      </c>
      <c r="D35" s="2351"/>
      <c r="E35" s="1495"/>
      <c r="F35" s="1493" t="s">
        <v>18</v>
      </c>
      <c r="G35" s="1495"/>
      <c r="H35" s="1495"/>
      <c r="I35" s="1495" t="s">
        <v>65</v>
      </c>
      <c r="J35" s="1495" t="s">
        <v>164</v>
      </c>
      <c r="K35" s="1496" t="s">
        <v>5643</v>
      </c>
      <c r="L35" s="2357">
        <v>2000</v>
      </c>
      <c r="M35" s="1909" t="s">
        <v>5255</v>
      </c>
      <c r="N35" s="1770"/>
      <c r="O35" s="2590">
        <v>1</v>
      </c>
    </row>
    <row r="36" spans="1:19" s="1548" customFormat="1" ht="50.3" customHeight="1">
      <c r="A36" s="3772"/>
      <c r="B36" s="1495" t="str">
        <f t="shared" si="2"/>
        <v>2000002764</v>
      </c>
      <c r="C36" s="1493" t="s">
        <v>5628</v>
      </c>
      <c r="D36" s="2325"/>
      <c r="E36" s="1495"/>
      <c r="F36" s="1493" t="s">
        <v>18</v>
      </c>
      <c r="G36" s="1495"/>
      <c r="H36" s="1495"/>
      <c r="I36" s="1495" t="s">
        <v>65</v>
      </c>
      <c r="J36" s="1495" t="s">
        <v>164</v>
      </c>
      <c r="K36" s="1600" t="s">
        <v>5644</v>
      </c>
      <c r="L36" s="2357">
        <v>1000</v>
      </c>
      <c r="M36" s="2196" t="s">
        <v>5230</v>
      </c>
      <c r="N36" s="1859" t="s">
        <v>5645</v>
      </c>
      <c r="O36" s="2590">
        <v>1</v>
      </c>
      <c r="Q36" s="1493">
        <v>1060</v>
      </c>
      <c r="R36" s="1493">
        <v>1060</v>
      </c>
      <c r="S36" s="1493">
        <f>Q36-R36</f>
        <v>0</v>
      </c>
    </row>
    <row r="37" spans="1:19" s="1548" customFormat="1" ht="50.3" customHeight="1">
      <c r="A37" s="3772"/>
      <c r="B37" s="1495" t="str">
        <f t="shared" si="2"/>
        <v>2000002765</v>
      </c>
      <c r="C37" s="1493" t="s">
        <v>5628</v>
      </c>
      <c r="D37" s="2325"/>
      <c r="E37" s="1495"/>
      <c r="F37" s="1493" t="s">
        <v>18</v>
      </c>
      <c r="G37" s="1495"/>
      <c r="H37" s="1495"/>
      <c r="I37" s="1495" t="s">
        <v>65</v>
      </c>
      <c r="J37" s="1495" t="s">
        <v>164</v>
      </c>
      <c r="K37" s="1600" t="s">
        <v>5646</v>
      </c>
      <c r="L37" s="2357">
        <v>300</v>
      </c>
      <c r="M37" s="2196" t="s">
        <v>5230</v>
      </c>
      <c r="N37" s="1859" t="s">
        <v>5645</v>
      </c>
      <c r="O37" s="2590">
        <v>1</v>
      </c>
      <c r="Q37" s="1493">
        <v>304</v>
      </c>
      <c r="R37" s="1493">
        <v>304</v>
      </c>
      <c r="S37" s="1493">
        <f>Q37-R37</f>
        <v>0</v>
      </c>
    </row>
    <row r="38" spans="1:19" s="1821" customFormat="1" ht="49.6" customHeight="1">
      <c r="A38" s="3772"/>
      <c r="B38" s="1780" t="str">
        <f t="shared" si="2"/>
        <v>2200001925</v>
      </c>
      <c r="C38" s="1782" t="s">
        <v>5628</v>
      </c>
      <c r="D38" s="2578"/>
      <c r="E38" s="1780"/>
      <c r="F38" s="1782" t="s">
        <v>18</v>
      </c>
      <c r="G38" s="1780"/>
      <c r="H38" s="1780"/>
      <c r="I38" s="1780" t="s">
        <v>65</v>
      </c>
      <c r="J38" s="1780" t="s">
        <v>164</v>
      </c>
      <c r="K38" s="1496" t="s">
        <v>5647</v>
      </c>
      <c r="L38" s="2579">
        <v>570</v>
      </c>
      <c r="M38" s="1780" t="s">
        <v>5648</v>
      </c>
      <c r="N38" s="1496"/>
      <c r="O38" s="1821">
        <v>1</v>
      </c>
    </row>
    <row r="39" spans="1:19" s="1548" customFormat="1" ht="49.6" customHeight="1">
      <c r="A39" s="3772"/>
      <c r="B39" s="1495" t="str">
        <f t="shared" si="2"/>
        <v>2000002784</v>
      </c>
      <c r="C39" s="1493" t="s">
        <v>5628</v>
      </c>
      <c r="D39" s="2566"/>
      <c r="E39" s="1543"/>
      <c r="F39" s="1493" t="s">
        <v>18</v>
      </c>
      <c r="G39" s="1495"/>
      <c r="H39" s="1495"/>
      <c r="I39" s="1495" t="s">
        <v>65</v>
      </c>
      <c r="J39" s="1851" t="s">
        <v>462</v>
      </c>
      <c r="K39" s="1497" t="s">
        <v>5649</v>
      </c>
      <c r="L39" s="2361">
        <v>700</v>
      </c>
      <c r="M39" s="2447" t="s">
        <v>5230</v>
      </c>
      <c r="N39" s="1962" t="s">
        <v>5650</v>
      </c>
      <c r="O39" s="2592">
        <v>1</v>
      </c>
      <c r="P39" s="2122"/>
      <c r="Q39" s="1493">
        <v>665</v>
      </c>
      <c r="R39" s="1493">
        <v>665</v>
      </c>
      <c r="S39" s="1493">
        <f>Q39-R39</f>
        <v>0</v>
      </c>
    </row>
    <row r="40" spans="1:19" s="1548" customFormat="1" ht="49.6" customHeight="1">
      <c r="A40" s="3772"/>
      <c r="B40" s="1495" t="str">
        <f t="shared" si="2"/>
        <v>2000002761</v>
      </c>
      <c r="C40" s="1493" t="s">
        <v>5628</v>
      </c>
      <c r="D40" s="2566"/>
      <c r="E40" s="1543"/>
      <c r="F40" s="1493" t="s">
        <v>18</v>
      </c>
      <c r="G40" s="1495"/>
      <c r="H40" s="1495"/>
      <c r="I40" s="1495" t="s">
        <v>65</v>
      </c>
      <c r="J40" s="1495" t="s">
        <v>462</v>
      </c>
      <c r="K40" s="1600" t="s">
        <v>5651</v>
      </c>
      <c r="L40" s="2357">
        <v>1000</v>
      </c>
      <c r="M40" s="2448" t="s">
        <v>5230</v>
      </c>
      <c r="N40" s="1859"/>
      <c r="O40" s="2590">
        <v>1</v>
      </c>
      <c r="Q40" s="1493">
        <v>1019</v>
      </c>
      <c r="R40" s="1493">
        <v>1019</v>
      </c>
      <c r="S40" s="1493">
        <f>Q40-R40</f>
        <v>0</v>
      </c>
    </row>
    <row r="41" spans="1:19" s="1548" customFormat="1" ht="49.6" customHeight="1">
      <c r="A41" s="3773"/>
      <c r="B41" s="1495" t="str">
        <f t="shared" si="2"/>
        <v>2000002785</v>
      </c>
      <c r="C41" s="1493" t="s">
        <v>5628</v>
      </c>
      <c r="D41" s="2566"/>
      <c r="E41" s="1543"/>
      <c r="F41" s="1493" t="s">
        <v>18</v>
      </c>
      <c r="G41" s="1495"/>
      <c r="H41" s="1495"/>
      <c r="I41" s="1495" t="s">
        <v>65</v>
      </c>
      <c r="J41" s="1495" t="s">
        <v>106</v>
      </c>
      <c r="K41" s="1600" t="s">
        <v>5652</v>
      </c>
      <c r="L41" s="2357">
        <v>4080</v>
      </c>
      <c r="M41" s="2448" t="s">
        <v>5230</v>
      </c>
      <c r="N41" s="1843" t="s">
        <v>5653</v>
      </c>
      <c r="O41" s="2590">
        <v>1</v>
      </c>
      <c r="Q41" s="1493">
        <v>4053</v>
      </c>
      <c r="R41" s="1493">
        <v>4053</v>
      </c>
      <c r="S41" s="1493">
        <f>Q41-R41</f>
        <v>0</v>
      </c>
    </row>
    <row r="42" spans="1:19" s="2150" customFormat="1" ht="64.55" customHeight="1">
      <c r="A42" s="3768">
        <v>9</v>
      </c>
      <c r="B42" s="1921" t="str">
        <f t="shared" si="2"/>
        <v>2200001923</v>
      </c>
      <c r="C42" s="1902" t="s">
        <v>5654</v>
      </c>
      <c r="D42" s="2505">
        <v>4300</v>
      </c>
      <c r="E42" s="2187" t="s">
        <v>5655</v>
      </c>
      <c r="F42" s="2563" t="s">
        <v>24</v>
      </c>
      <c r="G42" s="1921" t="s">
        <v>5656</v>
      </c>
      <c r="H42" s="1921" t="s">
        <v>5657</v>
      </c>
      <c r="I42" s="1921" t="s">
        <v>65</v>
      </c>
      <c r="J42" s="1921" t="s">
        <v>1179</v>
      </c>
      <c r="K42" s="2617" t="s">
        <v>5658</v>
      </c>
      <c r="L42" s="2564">
        <v>305</v>
      </c>
      <c r="M42" s="2196" t="s">
        <v>5230</v>
      </c>
      <c r="N42" s="2565" t="s">
        <v>5659</v>
      </c>
      <c r="O42" s="2593">
        <v>1</v>
      </c>
      <c r="Q42" s="1493">
        <v>262</v>
      </c>
      <c r="R42" s="1493">
        <v>262</v>
      </c>
      <c r="S42" s="1493">
        <f>Q42-R42</f>
        <v>0</v>
      </c>
    </row>
    <row r="43" spans="1:19" s="1548" customFormat="1" ht="64.55" customHeight="1">
      <c r="A43" s="3770"/>
      <c r="B43" s="1495" t="str">
        <f t="shared" si="2"/>
        <v>2000002806</v>
      </c>
      <c r="C43" s="1493" t="s">
        <v>5654</v>
      </c>
      <c r="D43" s="2325"/>
      <c r="E43" s="1495"/>
      <c r="F43" s="1626" t="s">
        <v>24</v>
      </c>
      <c r="G43" s="1495"/>
      <c r="H43" s="1495"/>
      <c r="I43" s="1495" t="s">
        <v>65</v>
      </c>
      <c r="J43" s="1495" t="s">
        <v>1179</v>
      </c>
      <c r="K43" s="1600" t="s">
        <v>5660</v>
      </c>
      <c r="L43" s="1826">
        <v>2347</v>
      </c>
      <c r="M43" s="1748" t="s">
        <v>5622</v>
      </c>
      <c r="N43" s="1859"/>
      <c r="O43" s="2590">
        <v>1</v>
      </c>
    </row>
    <row r="44" spans="1:19" s="1548" customFormat="1" ht="64.55" customHeight="1">
      <c r="A44" s="3770"/>
      <c r="B44" s="1495" t="str">
        <f t="shared" ref="B44:B75" si="3">TEXT(LEFT(K44,10),"0000000000")</f>
        <v>2200001920</v>
      </c>
      <c r="C44" s="1493" t="s">
        <v>5654</v>
      </c>
      <c r="D44" s="2325"/>
      <c r="E44" s="1495"/>
      <c r="F44" s="1626" t="s">
        <v>24</v>
      </c>
      <c r="G44" s="1495"/>
      <c r="H44" s="1495"/>
      <c r="I44" s="1495" t="s">
        <v>65</v>
      </c>
      <c r="J44" s="1495" t="s">
        <v>1179</v>
      </c>
      <c r="K44" s="1843" t="s">
        <v>5600</v>
      </c>
      <c r="L44" s="2562">
        <v>1300</v>
      </c>
      <c r="M44" s="2196" t="s">
        <v>5230</v>
      </c>
      <c r="N44" s="1770"/>
      <c r="O44" s="2590">
        <v>1</v>
      </c>
      <c r="Q44" s="1493">
        <v>27642</v>
      </c>
      <c r="R44" s="1493">
        <v>13395</v>
      </c>
      <c r="S44" s="1493">
        <f>Q44-R44</f>
        <v>14247</v>
      </c>
    </row>
    <row r="45" spans="1:19" s="1559" customFormat="1" ht="64.55" customHeight="1">
      <c r="A45" s="3769"/>
      <c r="B45" s="1543" t="str">
        <f t="shared" si="3"/>
        <v>2000002783</v>
      </c>
      <c r="C45" s="1545" t="s">
        <v>5654</v>
      </c>
      <c r="D45" s="2566"/>
      <c r="E45" s="1543"/>
      <c r="F45" s="1601" t="s">
        <v>24</v>
      </c>
      <c r="G45" s="1543"/>
      <c r="H45" s="1543"/>
      <c r="I45" s="1543" t="s">
        <v>65</v>
      </c>
      <c r="J45" s="1543" t="s">
        <v>1179</v>
      </c>
      <c r="K45" s="1605" t="s">
        <v>5661</v>
      </c>
      <c r="L45" s="2543">
        <v>300</v>
      </c>
      <c r="M45" s="2567" t="s">
        <v>5230</v>
      </c>
      <c r="N45" s="2568"/>
      <c r="O45" s="2591">
        <v>1</v>
      </c>
      <c r="Q45" s="1545">
        <v>290</v>
      </c>
      <c r="R45" s="1545">
        <v>290</v>
      </c>
      <c r="S45" s="1493">
        <f>Q45-R45</f>
        <v>0</v>
      </c>
    </row>
    <row r="46" spans="1:19" s="2150" customFormat="1" ht="71.349999999999994" customHeight="1">
      <c r="A46" s="2436">
        <v>10</v>
      </c>
      <c r="B46" s="1921" t="str">
        <f t="shared" si="3"/>
        <v>2400001092</v>
      </c>
      <c r="C46" s="1921" t="s">
        <v>3468</v>
      </c>
      <c r="D46" s="2222">
        <v>3000</v>
      </c>
      <c r="E46" s="2507" t="s">
        <v>5662</v>
      </c>
      <c r="F46" s="1921" t="s">
        <v>524</v>
      </c>
      <c r="G46" s="1921" t="s">
        <v>5663</v>
      </c>
      <c r="H46" s="1495" t="s">
        <v>5664</v>
      </c>
      <c r="I46" s="1921" t="s">
        <v>65</v>
      </c>
      <c r="J46" s="1921" t="s">
        <v>5665</v>
      </c>
      <c r="K46" s="2194" t="s">
        <v>5666</v>
      </c>
      <c r="L46" s="2337">
        <v>3000</v>
      </c>
      <c r="M46" s="2448" t="s">
        <v>5230</v>
      </c>
      <c r="N46" s="2571" t="s">
        <v>5667</v>
      </c>
      <c r="O46" s="2223">
        <v>1</v>
      </c>
      <c r="P46" s="1548" t="s">
        <v>5578</v>
      </c>
      <c r="Q46" s="1493">
        <v>3134</v>
      </c>
      <c r="R46" s="1493">
        <v>3134</v>
      </c>
      <c r="S46" s="1493">
        <f>Q46-R46</f>
        <v>0</v>
      </c>
    </row>
    <row r="47" spans="1:19" s="2122" customFormat="1" ht="58.6" customHeight="1">
      <c r="A47" s="3771">
        <v>11</v>
      </c>
      <c r="B47" s="2118" t="str">
        <f t="shared" si="3"/>
        <v>2400001108</v>
      </c>
      <c r="C47" s="2391" t="s">
        <v>5668</v>
      </c>
      <c r="D47" s="2322">
        <v>9226</v>
      </c>
      <c r="E47" s="2118" t="s">
        <v>5669</v>
      </c>
      <c r="F47" s="2391" t="s">
        <v>3136</v>
      </c>
      <c r="G47" s="2118" t="s">
        <v>5670</v>
      </c>
      <c r="H47" s="1851" t="s">
        <v>5664</v>
      </c>
      <c r="I47" s="2118" t="s">
        <v>65</v>
      </c>
      <c r="J47" s="2118" t="s">
        <v>5671</v>
      </c>
      <c r="K47" s="2402" t="s">
        <v>5672</v>
      </c>
      <c r="L47" s="2361">
        <v>9226</v>
      </c>
      <c r="M47" s="2118" t="s">
        <v>5673</v>
      </c>
      <c r="N47" s="2574"/>
      <c r="O47" s="2594">
        <v>1</v>
      </c>
      <c r="P47" s="1883" t="s">
        <v>5578</v>
      </c>
    </row>
    <row r="48" spans="1:19" s="1883" customFormat="1" ht="58.6" customHeight="1">
      <c r="A48" s="3772"/>
      <c r="B48" s="1495" t="str">
        <f t="shared" si="3"/>
        <v>2400001110</v>
      </c>
      <c r="C48" s="1493" t="s">
        <v>5674</v>
      </c>
      <c r="D48" s="2575"/>
      <c r="E48" s="1851"/>
      <c r="F48" s="1630"/>
      <c r="G48" s="1851"/>
      <c r="H48" s="1851"/>
      <c r="I48" s="1495" t="s">
        <v>65</v>
      </c>
      <c r="J48" s="1495" t="s">
        <v>5671</v>
      </c>
      <c r="K48" s="1843" t="s">
        <v>5675</v>
      </c>
      <c r="L48" s="2361"/>
      <c r="M48" s="1748" t="s">
        <v>5676</v>
      </c>
      <c r="N48" s="2576"/>
      <c r="O48" s="2223">
        <v>1</v>
      </c>
      <c r="P48" s="1883" t="s">
        <v>5578</v>
      </c>
    </row>
    <row r="49" spans="1:127" s="1883" customFormat="1" ht="58.6" customHeight="1">
      <c r="A49" s="3773"/>
      <c r="B49" s="1495" t="str">
        <f t="shared" si="3"/>
        <v>2400001121</v>
      </c>
      <c r="C49" s="1493" t="s">
        <v>5674</v>
      </c>
      <c r="D49" s="2575"/>
      <c r="E49" s="1851"/>
      <c r="F49" s="1630"/>
      <c r="G49" s="1851"/>
      <c r="H49" s="1851"/>
      <c r="I49" s="2320" t="s">
        <v>65</v>
      </c>
      <c r="J49" s="1495" t="s">
        <v>5671</v>
      </c>
      <c r="K49" s="1497" t="s">
        <v>5677</v>
      </c>
      <c r="L49" s="2361">
        <v>425</v>
      </c>
      <c r="M49" s="2447" t="s">
        <v>5230</v>
      </c>
      <c r="N49" s="2576"/>
      <c r="O49" s="2223">
        <v>1</v>
      </c>
      <c r="P49" s="1883" t="s">
        <v>5578</v>
      </c>
      <c r="Q49" s="1630">
        <v>473</v>
      </c>
      <c r="R49" s="1630">
        <v>473</v>
      </c>
      <c r="S49" s="1493">
        <f>Q49-R49</f>
        <v>0</v>
      </c>
    </row>
    <row r="50" spans="1:127" s="2150" customFormat="1" ht="58.6" customHeight="1">
      <c r="A50" s="3771">
        <v>12</v>
      </c>
      <c r="B50" s="1921" t="str">
        <f t="shared" si="3"/>
        <v>2400001104</v>
      </c>
      <c r="C50" s="1921" t="s">
        <v>5678</v>
      </c>
      <c r="D50" s="2569">
        <v>3950</v>
      </c>
      <c r="E50" s="2570" t="s">
        <v>5679</v>
      </c>
      <c r="F50" s="2120" t="s">
        <v>2301</v>
      </c>
      <c r="G50" s="1921" t="s">
        <v>5680</v>
      </c>
      <c r="H50" s="1495" t="s">
        <v>5664</v>
      </c>
      <c r="I50" s="2344" t="s">
        <v>65</v>
      </c>
      <c r="J50" s="2120" t="s">
        <v>5681</v>
      </c>
      <c r="K50" s="2161" t="s">
        <v>5682</v>
      </c>
      <c r="L50" s="2361">
        <v>1000</v>
      </c>
      <c r="M50" s="2447" t="s">
        <v>5230</v>
      </c>
      <c r="N50" s="2571"/>
      <c r="O50" s="2590">
        <v>1</v>
      </c>
      <c r="P50" s="1883" t="s">
        <v>5578</v>
      </c>
      <c r="Q50" s="1493">
        <v>680</v>
      </c>
      <c r="R50" s="1493">
        <v>680</v>
      </c>
      <c r="S50" s="1493">
        <f>Q50-R50</f>
        <v>0</v>
      </c>
    </row>
    <row r="51" spans="1:127" s="1548" customFormat="1" ht="58.6" customHeight="1">
      <c r="A51" s="3772"/>
      <c r="B51" s="1495" t="str">
        <f t="shared" si="3"/>
        <v>2400001105</v>
      </c>
      <c r="C51" s="1495" t="s">
        <v>5678</v>
      </c>
      <c r="D51" s="2572"/>
      <c r="E51" s="1947"/>
      <c r="F51" s="1872"/>
      <c r="G51" s="1495"/>
      <c r="H51" s="1947"/>
      <c r="I51" s="2320" t="s">
        <v>65</v>
      </c>
      <c r="J51" s="1872" t="s">
        <v>5681</v>
      </c>
      <c r="K51" s="1628" t="s">
        <v>5683</v>
      </c>
      <c r="L51" s="2361">
        <v>300</v>
      </c>
      <c r="M51" s="2448" t="s">
        <v>5230</v>
      </c>
      <c r="N51" s="2573"/>
      <c r="O51" s="2590">
        <v>1</v>
      </c>
      <c r="P51" s="1883" t="s">
        <v>5578</v>
      </c>
      <c r="Q51" s="1493">
        <v>295</v>
      </c>
      <c r="R51" s="1493">
        <v>295</v>
      </c>
      <c r="S51" s="1493">
        <f>Q51-R51</f>
        <v>0</v>
      </c>
    </row>
    <row r="52" spans="1:127" s="1548" customFormat="1" ht="58.6" customHeight="1">
      <c r="A52" s="3772"/>
      <c r="B52" s="1495" t="str">
        <f t="shared" si="3"/>
        <v>2400001101</v>
      </c>
      <c r="C52" s="1495" t="s">
        <v>5678</v>
      </c>
      <c r="D52" s="2572"/>
      <c r="E52" s="1947"/>
      <c r="F52" s="1872"/>
      <c r="G52" s="1495"/>
      <c r="H52" s="1947"/>
      <c r="I52" s="2320" t="s">
        <v>65</v>
      </c>
      <c r="J52" s="1872" t="s">
        <v>5681</v>
      </c>
      <c r="K52" s="1628" t="s">
        <v>5684</v>
      </c>
      <c r="L52" s="2361">
        <v>50</v>
      </c>
      <c r="M52" s="1974" t="s">
        <v>5685</v>
      </c>
      <c r="N52" s="2573"/>
      <c r="O52" s="2590">
        <v>1</v>
      </c>
      <c r="P52" s="1883" t="s">
        <v>5578</v>
      </c>
    </row>
    <row r="53" spans="1:127" s="1548" customFormat="1" ht="58.6" customHeight="1">
      <c r="A53" s="3772"/>
      <c r="B53" s="1495" t="str">
        <f t="shared" si="3"/>
        <v>2400001102</v>
      </c>
      <c r="C53" s="1495" t="s">
        <v>5678</v>
      </c>
      <c r="D53" s="2572"/>
      <c r="E53" s="1947"/>
      <c r="F53" s="1872"/>
      <c r="G53" s="1495"/>
      <c r="H53" s="1947"/>
      <c r="I53" s="2320" t="s">
        <v>65</v>
      </c>
      <c r="J53" s="1872" t="s">
        <v>5681</v>
      </c>
      <c r="K53" s="1628" t="s">
        <v>5686</v>
      </c>
      <c r="L53" s="2361">
        <v>1050</v>
      </c>
      <c r="M53" s="2448" t="s">
        <v>5230</v>
      </c>
      <c r="N53" s="2573"/>
      <c r="O53" s="2590">
        <v>1</v>
      </c>
      <c r="P53" s="1883" t="s">
        <v>5578</v>
      </c>
      <c r="Q53" s="1493">
        <v>1038</v>
      </c>
      <c r="R53" s="1493">
        <v>1038</v>
      </c>
      <c r="S53" s="1493">
        <f t="shared" ref="S53:S59" si="4">Q53-R53</f>
        <v>0</v>
      </c>
    </row>
    <row r="54" spans="1:127" s="1548" customFormat="1" ht="58.6" customHeight="1">
      <c r="A54" s="3772"/>
      <c r="B54" s="1495" t="str">
        <f t="shared" si="3"/>
        <v>2400001103</v>
      </c>
      <c r="C54" s="1495" t="s">
        <v>5678</v>
      </c>
      <c r="D54" s="2572"/>
      <c r="E54" s="1947"/>
      <c r="F54" s="1872"/>
      <c r="G54" s="1495"/>
      <c r="H54" s="1947"/>
      <c r="I54" s="2320" t="s">
        <v>65</v>
      </c>
      <c r="J54" s="1872" t="s">
        <v>5681</v>
      </c>
      <c r="K54" s="1628" t="s">
        <v>5687</v>
      </c>
      <c r="L54" s="2361">
        <v>1100</v>
      </c>
      <c r="M54" s="2448" t="s">
        <v>5230</v>
      </c>
      <c r="N54" s="2573"/>
      <c r="O54" s="2590">
        <v>1</v>
      </c>
      <c r="P54" s="1883" t="s">
        <v>5578</v>
      </c>
      <c r="Q54" s="1493">
        <v>1114</v>
      </c>
      <c r="R54" s="1493">
        <v>1114</v>
      </c>
      <c r="S54" s="1493">
        <f t="shared" si="4"/>
        <v>0</v>
      </c>
    </row>
    <row r="55" spans="1:127" s="1548" customFormat="1" ht="58.6" customHeight="1">
      <c r="A55" s="3772"/>
      <c r="B55" s="1495" t="str">
        <f t="shared" si="3"/>
        <v>2400001106</v>
      </c>
      <c r="C55" s="1495" t="s">
        <v>5678</v>
      </c>
      <c r="D55" s="2559"/>
      <c r="E55" s="1495"/>
      <c r="F55" s="1495"/>
      <c r="G55" s="1495"/>
      <c r="H55" s="1495"/>
      <c r="I55" s="1495" t="s">
        <v>65</v>
      </c>
      <c r="J55" s="1495" t="s">
        <v>5681</v>
      </c>
      <c r="K55" s="1496" t="s">
        <v>5688</v>
      </c>
      <c r="L55" s="2357">
        <v>750</v>
      </c>
      <c r="M55" s="2448" t="s">
        <v>5689</v>
      </c>
      <c r="N55" s="2573"/>
      <c r="O55" s="2590">
        <v>1</v>
      </c>
      <c r="P55" s="1883" t="s">
        <v>5578</v>
      </c>
      <c r="Q55" s="1493">
        <v>505</v>
      </c>
      <c r="R55" s="1493">
        <v>505</v>
      </c>
      <c r="S55" s="1493">
        <f t="shared" si="4"/>
        <v>0</v>
      </c>
    </row>
    <row r="56" spans="1:127" s="1548" customFormat="1" ht="58.6" customHeight="1">
      <c r="A56" s="3772"/>
      <c r="B56" s="1495" t="str">
        <f t="shared" si="3"/>
        <v>2400001107</v>
      </c>
      <c r="C56" s="1495" t="s">
        <v>5678</v>
      </c>
      <c r="D56" s="2572"/>
      <c r="E56" s="1947"/>
      <c r="F56" s="1872"/>
      <c r="G56" s="1851"/>
      <c r="H56" s="1947"/>
      <c r="I56" s="1495" t="s">
        <v>65</v>
      </c>
      <c r="J56" s="1495" t="s">
        <v>5681</v>
      </c>
      <c r="K56" s="1628" t="s">
        <v>5690</v>
      </c>
      <c r="L56" s="2361">
        <v>550</v>
      </c>
      <c r="M56" s="2448" t="s">
        <v>5230</v>
      </c>
      <c r="N56" s="1843" t="s">
        <v>5691</v>
      </c>
      <c r="O56" s="2590">
        <v>1</v>
      </c>
      <c r="P56" s="1883" t="s">
        <v>5578</v>
      </c>
      <c r="Q56" s="1493">
        <v>543</v>
      </c>
      <c r="R56" s="1493">
        <v>543</v>
      </c>
      <c r="S56" s="1493">
        <f t="shared" si="4"/>
        <v>0</v>
      </c>
    </row>
    <row r="57" spans="1:127" s="2150" customFormat="1" ht="79.5" customHeight="1">
      <c r="A57" s="2582">
        <v>13</v>
      </c>
      <c r="B57" s="2279" t="str">
        <f t="shared" si="3"/>
        <v>2000002787</v>
      </c>
      <c r="C57" s="2279" t="s">
        <v>2947</v>
      </c>
      <c r="D57" s="2569">
        <v>3500</v>
      </c>
      <c r="E57" s="2420" t="s">
        <v>5692</v>
      </c>
      <c r="F57" s="2120" t="s">
        <v>20</v>
      </c>
      <c r="G57" s="2118" t="s">
        <v>5693</v>
      </c>
      <c r="H57" s="2159" t="s">
        <v>5694</v>
      </c>
      <c r="I57" s="1921" t="s">
        <v>65</v>
      </c>
      <c r="J57" s="1921" t="s">
        <v>66</v>
      </c>
      <c r="K57" s="2161" t="s">
        <v>5695</v>
      </c>
      <c r="L57" s="2508">
        <v>3500</v>
      </c>
      <c r="M57" s="2448" t="s">
        <v>5230</v>
      </c>
      <c r="N57" s="1862" t="s">
        <v>5696</v>
      </c>
      <c r="O57" s="2595">
        <v>1</v>
      </c>
      <c r="Q57" s="1493">
        <v>6029</v>
      </c>
      <c r="R57" s="1493">
        <v>3494</v>
      </c>
      <c r="S57" s="1493">
        <f t="shared" si="4"/>
        <v>2535</v>
      </c>
    </row>
    <row r="58" spans="1:127" s="2150" customFormat="1" ht="58.6" customHeight="1">
      <c r="A58" s="3784">
        <v>14</v>
      </c>
      <c r="B58" s="2279" t="str">
        <f t="shared" si="3"/>
        <v>2000002791</v>
      </c>
      <c r="C58" s="2279" t="s">
        <v>125</v>
      </c>
      <c r="D58" s="2577">
        <v>4300</v>
      </c>
      <c r="E58" s="1921" t="s">
        <v>5692</v>
      </c>
      <c r="F58" s="2298" t="s">
        <v>22</v>
      </c>
      <c r="G58" s="2118" t="s">
        <v>5697</v>
      </c>
      <c r="H58" s="2159"/>
      <c r="I58" s="1921" t="s">
        <v>65</v>
      </c>
      <c r="J58" s="1921" t="s">
        <v>164</v>
      </c>
      <c r="K58" s="2161" t="s">
        <v>5698</v>
      </c>
      <c r="L58" s="2508">
        <v>3300</v>
      </c>
      <c r="M58" s="2448" t="s">
        <v>5230</v>
      </c>
      <c r="N58" s="1862" t="s">
        <v>5699</v>
      </c>
      <c r="O58" s="2595">
        <v>1</v>
      </c>
      <c r="Q58" s="1493">
        <v>5398</v>
      </c>
      <c r="R58" s="1493">
        <v>3249</v>
      </c>
      <c r="S58" s="1493">
        <f t="shared" si="4"/>
        <v>2149</v>
      </c>
    </row>
    <row r="59" spans="1:127" s="2150" customFormat="1" ht="71.349999999999994" customHeight="1">
      <c r="A59" s="3784"/>
      <c r="B59" s="1568" t="str">
        <f t="shared" si="3"/>
        <v>2000002792</v>
      </c>
      <c r="C59" s="1568" t="s">
        <v>125</v>
      </c>
      <c r="D59" s="2580"/>
      <c r="E59" s="1947"/>
      <c r="F59" s="1872" t="s">
        <v>22</v>
      </c>
      <c r="G59" s="1851"/>
      <c r="H59" s="1947"/>
      <c r="I59" s="1495" t="s">
        <v>65</v>
      </c>
      <c r="J59" s="1495" t="s">
        <v>164</v>
      </c>
      <c r="K59" s="1628" t="s">
        <v>5700</v>
      </c>
      <c r="L59" s="2361">
        <v>1000</v>
      </c>
      <c r="M59" s="2448" t="s">
        <v>5701</v>
      </c>
      <c r="N59" s="1843" t="s">
        <v>5702</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 customHeight="1">
      <c r="A60" s="3796" t="s">
        <v>5703</v>
      </c>
      <c r="B60" s="1921" t="str">
        <f t="shared" si="3"/>
        <v>2400001113</v>
      </c>
      <c r="C60" s="2563" t="s">
        <v>5704</v>
      </c>
      <c r="D60" s="2488">
        <v>13025</v>
      </c>
      <c r="E60" s="1921" t="s">
        <v>5705</v>
      </c>
      <c r="F60" s="1902" t="s">
        <v>38</v>
      </c>
      <c r="G60" s="1921" t="s">
        <v>5706</v>
      </c>
      <c r="H60" s="1495" t="s">
        <v>5707</v>
      </c>
      <c r="I60" s="1921" t="s">
        <v>65</v>
      </c>
      <c r="J60" s="1921" t="s">
        <v>308</v>
      </c>
      <c r="K60" s="1911" t="s">
        <v>5708</v>
      </c>
      <c r="L60" s="2583">
        <v>1000</v>
      </c>
      <c r="M60" s="1790" t="s">
        <v>5709</v>
      </c>
      <c r="N60" s="1775"/>
      <c r="O60" s="2597">
        <v>2</v>
      </c>
      <c r="P60" s="1883" t="s">
        <v>5578</v>
      </c>
    </row>
    <row r="61" spans="1:127" s="2150" customFormat="1" ht="63.7" customHeight="1">
      <c r="A61" s="3796"/>
      <c r="B61" s="1495" t="str">
        <f t="shared" si="3"/>
        <v>2400001114</v>
      </c>
      <c r="C61" s="1626" t="s">
        <v>5704</v>
      </c>
      <c r="D61" s="2325"/>
      <c r="E61" s="1495"/>
      <c r="F61" s="1493"/>
      <c r="G61" s="1495"/>
      <c r="H61" s="1495"/>
      <c r="I61" s="1495" t="s">
        <v>65</v>
      </c>
      <c r="J61" s="1495" t="s">
        <v>308</v>
      </c>
      <c r="K61" s="1547" t="s">
        <v>5710</v>
      </c>
      <c r="L61" s="2357"/>
      <c r="M61" s="1748" t="s">
        <v>5711</v>
      </c>
      <c r="N61" s="1859"/>
      <c r="O61" s="2597">
        <v>2</v>
      </c>
      <c r="P61" s="1883" t="s">
        <v>5578</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 customHeight="1">
      <c r="A62" s="3796"/>
      <c r="B62" s="1495" t="str">
        <f t="shared" si="3"/>
        <v>2400001115</v>
      </c>
      <c r="C62" s="1626" t="s">
        <v>5704</v>
      </c>
      <c r="D62" s="2325"/>
      <c r="E62" s="1495"/>
      <c r="F62" s="1493"/>
      <c r="G62" s="1495"/>
      <c r="H62" s="1495"/>
      <c r="I62" s="1495" t="s">
        <v>65</v>
      </c>
      <c r="J62" s="1495" t="s">
        <v>308</v>
      </c>
      <c r="K62" s="1547" t="s">
        <v>5712</v>
      </c>
      <c r="L62" s="2357"/>
      <c r="M62" s="1748" t="s">
        <v>5713</v>
      </c>
      <c r="N62" s="1859"/>
      <c r="O62" s="2597">
        <v>2</v>
      </c>
      <c r="P62" s="1883" t="s">
        <v>5578</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 customHeight="1">
      <c r="A63" s="3796"/>
      <c r="B63" s="1495" t="str">
        <f t="shared" si="3"/>
        <v>2400001118</v>
      </c>
      <c r="C63" s="1626" t="s">
        <v>5704</v>
      </c>
      <c r="D63" s="2325"/>
      <c r="E63" s="1495"/>
      <c r="F63" s="1493"/>
      <c r="G63" s="1495"/>
      <c r="H63" s="1495"/>
      <c r="I63" s="1495" t="s">
        <v>65</v>
      </c>
      <c r="J63" s="1495" t="s">
        <v>308</v>
      </c>
      <c r="K63" s="1547" t="s">
        <v>5714</v>
      </c>
      <c r="L63" s="2357"/>
      <c r="M63" s="2584" t="s">
        <v>5230</v>
      </c>
      <c r="N63" s="1843" t="s">
        <v>5691</v>
      </c>
      <c r="O63" s="2597">
        <v>1</v>
      </c>
      <c r="P63" s="1883" t="s">
        <v>5578</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 customHeight="1">
      <c r="A64" s="3796"/>
      <c r="B64" s="1495" t="str">
        <f t="shared" si="3"/>
        <v>2400001119</v>
      </c>
      <c r="C64" s="1626" t="s">
        <v>5704</v>
      </c>
      <c r="D64" s="2325"/>
      <c r="E64" s="1495"/>
      <c r="F64" s="1493"/>
      <c r="G64" s="1495"/>
      <c r="H64" s="1495"/>
      <c r="I64" s="1495" t="s">
        <v>65</v>
      </c>
      <c r="J64" s="1495" t="s">
        <v>308</v>
      </c>
      <c r="K64" s="1547" t="s">
        <v>5715</v>
      </c>
      <c r="L64" s="2357">
        <v>145</v>
      </c>
      <c r="M64" s="2584" t="s">
        <v>5230</v>
      </c>
      <c r="N64" s="1843" t="s">
        <v>5691</v>
      </c>
      <c r="O64" s="2597">
        <v>1</v>
      </c>
      <c r="P64" s="1883" t="s">
        <v>5578</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 customHeight="1">
      <c r="A65" s="3796"/>
      <c r="B65" s="1495" t="str">
        <f t="shared" si="3"/>
        <v>2400001120</v>
      </c>
      <c r="C65" s="1626" t="s">
        <v>5704</v>
      </c>
      <c r="D65" s="2325"/>
      <c r="E65" s="1495"/>
      <c r="F65" s="1493"/>
      <c r="G65" s="1495"/>
      <c r="H65" s="1495"/>
      <c r="I65" s="1495" t="s">
        <v>65</v>
      </c>
      <c r="J65" s="1495" t="s">
        <v>308</v>
      </c>
      <c r="K65" s="1547" t="s">
        <v>5716</v>
      </c>
      <c r="L65" s="2357">
        <v>45</v>
      </c>
      <c r="M65" s="2584" t="s">
        <v>5230</v>
      </c>
      <c r="N65" s="1843" t="s">
        <v>5691</v>
      </c>
      <c r="O65" s="2597">
        <v>1</v>
      </c>
      <c r="P65" s="1883" t="s">
        <v>5578</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 customHeight="1">
      <c r="A66" s="3796"/>
      <c r="B66" s="1495" t="str">
        <f t="shared" si="3"/>
        <v>2400001111</v>
      </c>
      <c r="C66" s="1626" t="s">
        <v>5704</v>
      </c>
      <c r="D66" s="2325"/>
      <c r="E66" s="1495"/>
      <c r="F66" s="1493"/>
      <c r="G66" s="1495"/>
      <c r="H66" s="1495"/>
      <c r="I66" s="1495" t="s">
        <v>65</v>
      </c>
      <c r="J66" s="1495" t="s">
        <v>308</v>
      </c>
      <c r="K66" s="1547" t="s">
        <v>5717</v>
      </c>
      <c r="L66" s="2357">
        <v>300</v>
      </c>
      <c r="M66" s="1748" t="s">
        <v>5718</v>
      </c>
      <c r="N66" s="1859"/>
      <c r="O66" s="2597">
        <v>2</v>
      </c>
      <c r="P66" s="1883" t="s">
        <v>5578</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 customHeight="1">
      <c r="A67" s="3796"/>
      <c r="B67" s="1495" t="str">
        <f t="shared" si="3"/>
        <v>2400001149</v>
      </c>
      <c r="C67" s="1626" t="s">
        <v>5704</v>
      </c>
      <c r="D67" s="2325"/>
      <c r="E67" s="1495"/>
      <c r="F67" s="1493"/>
      <c r="G67" s="1495"/>
      <c r="H67" s="1495"/>
      <c r="I67" s="1495" t="s">
        <v>65</v>
      </c>
      <c r="J67" s="1495" t="s">
        <v>308</v>
      </c>
      <c r="K67" s="1547" t="s">
        <v>5719</v>
      </c>
      <c r="L67" s="2357"/>
      <c r="M67" s="2584" t="s">
        <v>5230</v>
      </c>
      <c r="N67" s="1843" t="s">
        <v>5691</v>
      </c>
      <c r="O67" s="2597">
        <v>1</v>
      </c>
      <c r="P67" s="1883" t="s">
        <v>5578</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 customHeight="1">
      <c r="A68" s="3796"/>
      <c r="B68" s="1495" t="str">
        <f t="shared" si="3"/>
        <v>2400001122</v>
      </c>
      <c r="C68" s="1626" t="s">
        <v>5704</v>
      </c>
      <c r="D68" s="2325"/>
      <c r="E68" s="1495"/>
      <c r="F68" s="1493"/>
      <c r="G68" s="1495"/>
      <c r="H68" s="1495"/>
      <c r="I68" s="1495" t="s">
        <v>65</v>
      </c>
      <c r="J68" s="1495" t="s">
        <v>308</v>
      </c>
      <c r="K68" s="1547" t="s">
        <v>5720</v>
      </c>
      <c r="L68" s="2357">
        <v>475</v>
      </c>
      <c r="M68" s="1790" t="s">
        <v>5721</v>
      </c>
      <c r="N68" s="1859"/>
      <c r="O68" s="2597">
        <v>2</v>
      </c>
      <c r="P68" s="1883" t="s">
        <v>5578</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 customHeight="1">
      <c r="A69" s="3796"/>
      <c r="B69" s="1495" t="str">
        <f t="shared" si="3"/>
        <v>2400001123</v>
      </c>
      <c r="C69" s="1626" t="s">
        <v>5704</v>
      </c>
      <c r="D69" s="2325"/>
      <c r="E69" s="1495"/>
      <c r="F69" s="1493"/>
      <c r="G69" s="1495"/>
      <c r="H69" s="1495"/>
      <c r="I69" s="1495" t="s">
        <v>65</v>
      </c>
      <c r="J69" s="1495" t="s">
        <v>308</v>
      </c>
      <c r="K69" s="1547" t="s">
        <v>5722</v>
      </c>
      <c r="L69" s="2357">
        <v>475</v>
      </c>
      <c r="M69" s="1790" t="s">
        <v>5723</v>
      </c>
      <c r="N69" s="1859"/>
      <c r="O69" s="2597">
        <v>2</v>
      </c>
      <c r="P69" s="1883" t="s">
        <v>5578</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 customHeight="1">
      <c r="A70" s="3796"/>
      <c r="B70" s="1495" t="str">
        <f t="shared" si="3"/>
        <v>2400001124</v>
      </c>
      <c r="C70" s="1626" t="s">
        <v>5704</v>
      </c>
      <c r="D70" s="2325"/>
      <c r="E70" s="1495"/>
      <c r="F70" s="1493"/>
      <c r="G70" s="1495"/>
      <c r="H70" s="1495"/>
      <c r="I70" s="1495" t="s">
        <v>65</v>
      </c>
      <c r="J70" s="1495" t="s">
        <v>308</v>
      </c>
      <c r="K70" s="1547" t="s">
        <v>5724</v>
      </c>
      <c r="L70" s="2357">
        <v>125</v>
      </c>
      <c r="M70" s="2584" t="s">
        <v>5230</v>
      </c>
      <c r="N70" s="1843" t="s">
        <v>5691</v>
      </c>
      <c r="O70" s="2597">
        <v>1</v>
      </c>
      <c r="P70" s="1883" t="s">
        <v>5578</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 customHeight="1">
      <c r="A71" s="3796"/>
      <c r="B71" s="1495" t="str">
        <f t="shared" si="3"/>
        <v>2400001125</v>
      </c>
      <c r="C71" s="1626" t="s">
        <v>5704</v>
      </c>
      <c r="D71" s="2325"/>
      <c r="E71" s="1495"/>
      <c r="F71" s="1493"/>
      <c r="G71" s="1495"/>
      <c r="H71" s="1495"/>
      <c r="I71" s="1495" t="s">
        <v>65</v>
      </c>
      <c r="J71" s="1495" t="s">
        <v>308</v>
      </c>
      <c r="K71" s="1547" t="s">
        <v>5725</v>
      </c>
      <c r="L71" s="2357">
        <v>50</v>
      </c>
      <c r="M71" s="2584" t="s">
        <v>5230</v>
      </c>
      <c r="N71" s="1843" t="s">
        <v>5691</v>
      </c>
      <c r="O71" s="2597">
        <v>1</v>
      </c>
      <c r="P71" s="1883" t="s">
        <v>5578</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 customHeight="1">
      <c r="A72" s="3796"/>
      <c r="B72" s="1495" t="str">
        <f t="shared" si="3"/>
        <v>2400001129</v>
      </c>
      <c r="C72" s="1626" t="s">
        <v>5704</v>
      </c>
      <c r="D72" s="2325"/>
      <c r="E72" s="1495"/>
      <c r="F72" s="1493"/>
      <c r="G72" s="1495"/>
      <c r="H72" s="1495"/>
      <c r="I72" s="1495" t="s">
        <v>65</v>
      </c>
      <c r="J72" s="1495" t="s">
        <v>308</v>
      </c>
      <c r="K72" s="1547" t="s">
        <v>5726</v>
      </c>
      <c r="L72" s="2357"/>
      <c r="M72" s="1790" t="s">
        <v>5255</v>
      </c>
      <c r="N72" s="1859"/>
      <c r="O72" s="2597">
        <v>2</v>
      </c>
      <c r="P72" s="1883" t="s">
        <v>5578</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 customHeight="1">
      <c r="A73" s="3796"/>
      <c r="B73" s="1495" t="str">
        <f t="shared" si="3"/>
        <v>2400001130</v>
      </c>
      <c r="C73" s="1626" t="s">
        <v>5704</v>
      </c>
      <c r="D73" s="2325"/>
      <c r="E73" s="1495"/>
      <c r="F73" s="1493"/>
      <c r="G73" s="1495"/>
      <c r="H73" s="1495"/>
      <c r="I73" s="1495" t="s">
        <v>65</v>
      </c>
      <c r="J73" s="1495" t="s">
        <v>308</v>
      </c>
      <c r="K73" s="1547" t="s">
        <v>5727</v>
      </c>
      <c r="L73" s="2357"/>
      <c r="M73" s="1790" t="s">
        <v>5255</v>
      </c>
      <c r="N73" s="1859"/>
      <c r="O73" s="2597">
        <v>2</v>
      </c>
      <c r="P73" s="1883" t="s">
        <v>5578</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96"/>
      <c r="B74" s="1495" t="str">
        <f t="shared" si="3"/>
        <v>2400001128</v>
      </c>
      <c r="C74" s="1626" t="s">
        <v>5704</v>
      </c>
      <c r="D74" s="2325"/>
      <c r="E74" s="1495"/>
      <c r="F74" s="1493"/>
      <c r="G74" s="1495"/>
      <c r="H74" s="1495"/>
      <c r="I74" s="1495" t="s">
        <v>65</v>
      </c>
      <c r="J74" s="1495" t="s">
        <v>308</v>
      </c>
      <c r="K74" s="1547" t="s">
        <v>5728</v>
      </c>
      <c r="L74" s="2357"/>
      <c r="M74" s="2584" t="s">
        <v>5230</v>
      </c>
      <c r="N74" s="1843" t="s">
        <v>5691</v>
      </c>
      <c r="O74" s="2597">
        <v>1</v>
      </c>
      <c r="P74" s="1883" t="s">
        <v>5578</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96"/>
      <c r="B75" s="1495" t="str">
        <f t="shared" si="3"/>
        <v>2400001133</v>
      </c>
      <c r="C75" s="1626" t="s">
        <v>5704</v>
      </c>
      <c r="D75" s="2325"/>
      <c r="E75" s="1495"/>
      <c r="F75" s="1493"/>
      <c r="G75" s="1495"/>
      <c r="H75" s="1495"/>
      <c r="I75" s="1495" t="s">
        <v>65</v>
      </c>
      <c r="J75" s="1495" t="s">
        <v>308</v>
      </c>
      <c r="K75" s="1547" t="s">
        <v>5729</v>
      </c>
      <c r="L75" s="2357">
        <v>140</v>
      </c>
      <c r="M75" s="2448" t="s">
        <v>5230</v>
      </c>
      <c r="N75" s="1843" t="s">
        <v>5691</v>
      </c>
      <c r="O75" s="2597">
        <v>1</v>
      </c>
      <c r="P75" s="1883" t="s">
        <v>5578</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96"/>
      <c r="B76" s="1495" t="str">
        <f t="shared" ref="B76:B107" si="5">TEXT(LEFT(K76,10),"0000000000")</f>
        <v>2400001131</v>
      </c>
      <c r="C76" s="1626" t="s">
        <v>5704</v>
      </c>
      <c r="D76" s="2325"/>
      <c r="E76" s="1495"/>
      <c r="F76" s="1493"/>
      <c r="G76" s="1495"/>
      <c r="H76" s="1495"/>
      <c r="I76" s="1495" t="s">
        <v>65</v>
      </c>
      <c r="J76" s="1495" t="s">
        <v>308</v>
      </c>
      <c r="K76" s="1547" t="s">
        <v>5730</v>
      </c>
      <c r="L76" s="2357">
        <v>43</v>
      </c>
      <c r="M76" s="2448" t="s">
        <v>5230</v>
      </c>
      <c r="N76" s="1843" t="s">
        <v>5691</v>
      </c>
      <c r="O76" s="2597">
        <v>1</v>
      </c>
      <c r="P76" s="1883" t="s">
        <v>5578</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96"/>
      <c r="B77" s="1495" t="str">
        <f t="shared" si="5"/>
        <v>2400001132</v>
      </c>
      <c r="C77" s="1626" t="s">
        <v>5704</v>
      </c>
      <c r="D77" s="2325"/>
      <c r="E77" s="1495"/>
      <c r="F77" s="1493"/>
      <c r="G77" s="1495"/>
      <c r="H77" s="1495"/>
      <c r="I77" s="1495" t="s">
        <v>65</v>
      </c>
      <c r="J77" s="1495" t="s">
        <v>308</v>
      </c>
      <c r="K77" s="1547" t="s">
        <v>5731</v>
      </c>
      <c r="L77" s="2357">
        <v>485</v>
      </c>
      <c r="M77" s="2584" t="s">
        <v>5230</v>
      </c>
      <c r="N77" s="1843" t="s">
        <v>5691</v>
      </c>
      <c r="O77" s="2597">
        <v>1</v>
      </c>
      <c r="P77" s="1883" t="s">
        <v>5578</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96"/>
      <c r="B78" s="1495" t="str">
        <f t="shared" si="5"/>
        <v>2400001134</v>
      </c>
      <c r="C78" s="1626" t="s">
        <v>5704</v>
      </c>
      <c r="D78" s="2325"/>
      <c r="E78" s="1495"/>
      <c r="F78" s="1493"/>
      <c r="G78" s="1495"/>
      <c r="H78" s="1495"/>
      <c r="I78" s="1495" t="s">
        <v>65</v>
      </c>
      <c r="J78" s="1495" t="s">
        <v>308</v>
      </c>
      <c r="K78" s="1547" t="s">
        <v>5732</v>
      </c>
      <c r="L78" s="2357">
        <v>447</v>
      </c>
      <c r="M78" s="2584" t="s">
        <v>5230</v>
      </c>
      <c r="N78" s="1843" t="s">
        <v>5691</v>
      </c>
      <c r="O78" s="2597">
        <v>1</v>
      </c>
      <c r="P78" s="1883" t="s">
        <v>5578</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96"/>
      <c r="B79" s="1495" t="str">
        <f t="shared" si="5"/>
        <v>2400001135</v>
      </c>
      <c r="C79" s="1626" t="s">
        <v>5704</v>
      </c>
      <c r="D79" s="2325"/>
      <c r="E79" s="1495"/>
      <c r="F79" s="1493"/>
      <c r="G79" s="1495"/>
      <c r="H79" s="1495"/>
      <c r="I79" s="1495" t="s">
        <v>65</v>
      </c>
      <c r="J79" s="1495" t="s">
        <v>308</v>
      </c>
      <c r="K79" s="1547" t="s">
        <v>5733</v>
      </c>
      <c r="L79" s="2357">
        <v>357</v>
      </c>
      <c r="M79" s="1790" t="s">
        <v>5734</v>
      </c>
      <c r="N79" s="1859"/>
      <c r="O79" s="2597">
        <v>2</v>
      </c>
      <c r="P79" s="1883" t="s">
        <v>5578</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96"/>
      <c r="B80" s="1495" t="str">
        <f t="shared" si="5"/>
        <v>2400001136</v>
      </c>
      <c r="C80" s="1626" t="s">
        <v>5704</v>
      </c>
      <c r="D80" s="2325"/>
      <c r="E80" s="1495"/>
      <c r="F80" s="1493"/>
      <c r="G80" s="1495"/>
      <c r="H80" s="1495"/>
      <c r="I80" s="1495" t="s">
        <v>65</v>
      </c>
      <c r="J80" s="1495" t="s">
        <v>308</v>
      </c>
      <c r="K80" s="1547" t="s">
        <v>5735</v>
      </c>
      <c r="L80" s="2357">
        <v>3065</v>
      </c>
      <c r="M80" s="1790" t="s">
        <v>5255</v>
      </c>
      <c r="N80" s="1859"/>
      <c r="O80" s="2597">
        <v>2</v>
      </c>
      <c r="P80" s="1883" t="s">
        <v>5578</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96"/>
      <c r="B81" s="1495" t="str">
        <f t="shared" si="5"/>
        <v>2400001137</v>
      </c>
      <c r="C81" s="1626" t="s">
        <v>5704</v>
      </c>
      <c r="D81" s="2325"/>
      <c r="E81" s="1495"/>
      <c r="F81" s="1493"/>
      <c r="G81" s="1495"/>
      <c r="H81" s="1495"/>
      <c r="I81" s="1495" t="s">
        <v>65</v>
      </c>
      <c r="J81" s="1495" t="s">
        <v>308</v>
      </c>
      <c r="K81" s="1547" t="s">
        <v>5736</v>
      </c>
      <c r="L81" s="2357">
        <v>4526</v>
      </c>
      <c r="M81" s="1748" t="s">
        <v>5734</v>
      </c>
      <c r="N81" s="1859"/>
      <c r="O81" s="2597">
        <v>2</v>
      </c>
      <c r="P81" s="1883" t="s">
        <v>5578</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96"/>
      <c r="B82" s="1495" t="str">
        <f t="shared" si="5"/>
        <v>2400001126</v>
      </c>
      <c r="C82" s="1626" t="s">
        <v>5704</v>
      </c>
      <c r="D82" s="2325"/>
      <c r="E82" s="1495"/>
      <c r="F82" s="1493"/>
      <c r="G82" s="1495"/>
      <c r="H82" s="1495"/>
      <c r="I82" s="1495" t="s">
        <v>65</v>
      </c>
      <c r="J82" s="1495" t="s">
        <v>308</v>
      </c>
      <c r="K82" s="1547" t="s">
        <v>5737</v>
      </c>
      <c r="L82" s="2357">
        <v>150</v>
      </c>
      <c r="M82" s="1790" t="s">
        <v>5738</v>
      </c>
      <c r="N82" s="1859"/>
      <c r="O82" s="2597">
        <v>2</v>
      </c>
      <c r="P82" s="1883" t="s">
        <v>5578</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96"/>
      <c r="B83" s="1495" t="str">
        <f t="shared" si="5"/>
        <v>2400001127</v>
      </c>
      <c r="C83" s="1626" t="s">
        <v>5704</v>
      </c>
      <c r="D83" s="2325"/>
      <c r="E83" s="1495"/>
      <c r="F83" s="1493"/>
      <c r="G83" s="1495"/>
      <c r="H83" s="1495"/>
      <c r="I83" s="1495" t="s">
        <v>65</v>
      </c>
      <c r="J83" s="1495" t="s">
        <v>308</v>
      </c>
      <c r="K83" s="1547" t="s">
        <v>5739</v>
      </c>
      <c r="L83" s="2357">
        <v>250</v>
      </c>
      <c r="M83" s="1748" t="s">
        <v>5740</v>
      </c>
      <c r="N83" s="1859"/>
      <c r="O83" s="2597">
        <v>2</v>
      </c>
      <c r="P83" s="1883" t="s">
        <v>5578</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97"/>
      <c r="B84" s="1495" t="str">
        <f t="shared" si="5"/>
        <v>2400001140</v>
      </c>
      <c r="C84" s="1626" t="s">
        <v>5704</v>
      </c>
      <c r="D84" s="2325"/>
      <c r="E84" s="1543"/>
      <c r="F84" s="1545"/>
      <c r="G84" s="1543"/>
      <c r="H84" s="1543"/>
      <c r="I84" s="1495" t="s">
        <v>65</v>
      </c>
      <c r="J84" s="1495" t="s">
        <v>308</v>
      </c>
      <c r="K84" s="1547" t="s">
        <v>5741</v>
      </c>
      <c r="L84" s="2357"/>
      <c r="M84" s="1493" t="s">
        <v>5742</v>
      </c>
      <c r="N84" s="1859"/>
      <c r="O84" s="2597">
        <v>2</v>
      </c>
      <c r="P84" s="1883" t="s">
        <v>5578</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68">
        <v>16</v>
      </c>
      <c r="B85" s="2279" t="str">
        <f t="shared" si="5"/>
        <v>2200001928</v>
      </c>
      <c r="C85" s="2323" t="s">
        <v>5567</v>
      </c>
      <c r="D85" s="2599">
        <v>1670</v>
      </c>
      <c r="E85" s="1921" t="s">
        <v>5743</v>
      </c>
      <c r="F85" s="1921" t="s">
        <v>24</v>
      </c>
      <c r="G85" s="1921"/>
      <c r="H85" s="1921" t="s">
        <v>1640</v>
      </c>
      <c r="I85" s="2419" t="s">
        <v>65</v>
      </c>
      <c r="J85" s="1921" t="s">
        <v>275</v>
      </c>
      <c r="K85" s="2161" t="s">
        <v>5744</v>
      </c>
      <c r="L85" s="2508">
        <v>1670</v>
      </c>
      <c r="M85" s="2448" t="s">
        <v>5745</v>
      </c>
      <c r="N85" s="1862"/>
      <c r="O85" s="2595">
        <v>2</v>
      </c>
      <c r="Q85" s="1902"/>
      <c r="R85" s="1902"/>
      <c r="S85" s="1902"/>
    </row>
    <row r="86" spans="1:127" s="2150" customFormat="1" ht="61.5" customHeight="1">
      <c r="A86" s="3770"/>
      <c r="B86" s="2279" t="str">
        <f t="shared" si="5"/>
        <v>2200001939</v>
      </c>
      <c r="C86" s="2323" t="s">
        <v>5567</v>
      </c>
      <c r="D86" s="2599">
        <v>190</v>
      </c>
      <c r="E86" s="2187" t="s">
        <v>5743</v>
      </c>
      <c r="F86" s="2187" t="s">
        <v>24</v>
      </c>
      <c r="G86" s="2187"/>
      <c r="H86" s="2187" t="s">
        <v>1640</v>
      </c>
      <c r="I86" s="2419" t="s">
        <v>65</v>
      </c>
      <c r="J86" s="1921" t="s">
        <v>275</v>
      </c>
      <c r="K86" s="2161" t="s">
        <v>5746</v>
      </c>
      <c r="L86" s="2508">
        <v>190</v>
      </c>
      <c r="M86" s="2448" t="s">
        <v>5392</v>
      </c>
      <c r="N86" s="1862" t="s">
        <v>5747</v>
      </c>
      <c r="O86" s="2595">
        <v>2</v>
      </c>
      <c r="Q86" s="1902"/>
      <c r="R86" s="1902"/>
      <c r="S86" s="1902"/>
    </row>
    <row r="87" spans="1:127" s="2150" customFormat="1" ht="61.5" customHeight="1">
      <c r="A87" s="3770"/>
      <c r="B87" s="2279" t="str">
        <f t="shared" si="5"/>
        <v>2200001934</v>
      </c>
      <c r="C87" s="2323" t="s">
        <v>5567</v>
      </c>
      <c r="D87" s="2222">
        <v>2780</v>
      </c>
      <c r="E87" s="1921" t="s">
        <v>5748</v>
      </c>
      <c r="F87" s="1921" t="s">
        <v>24</v>
      </c>
      <c r="G87" s="1921"/>
      <c r="H87" s="2187" t="s">
        <v>1640</v>
      </c>
      <c r="I87" s="2419" t="s">
        <v>65</v>
      </c>
      <c r="J87" s="1921" t="s">
        <v>275</v>
      </c>
      <c r="K87" s="2161" t="s">
        <v>5749</v>
      </c>
      <c r="L87" s="2508">
        <v>2780</v>
      </c>
      <c r="M87" s="2448" t="s">
        <v>5230</v>
      </c>
      <c r="N87" s="1862" t="s">
        <v>5691</v>
      </c>
      <c r="O87" s="1745">
        <v>2</v>
      </c>
      <c r="Q87" s="1902">
        <v>2780</v>
      </c>
      <c r="R87" s="1902"/>
      <c r="S87" s="1493">
        <f>Q87-R87</f>
        <v>2780</v>
      </c>
    </row>
    <row r="88" spans="1:127" s="1548" customFormat="1" ht="65.25" customHeight="1">
      <c r="A88" s="3770"/>
      <c r="B88" s="1921" t="str">
        <f t="shared" si="5"/>
        <v>2000002755</v>
      </c>
      <c r="C88" s="2323" t="s">
        <v>5567</v>
      </c>
      <c r="D88" s="2488">
        <v>1000</v>
      </c>
      <c r="E88" s="1921" t="s">
        <v>5750</v>
      </c>
      <c r="F88" s="1921" t="s">
        <v>24</v>
      </c>
      <c r="G88" s="1921"/>
      <c r="H88" s="2187" t="s">
        <v>1640</v>
      </c>
      <c r="I88" s="2279" t="s">
        <v>65</v>
      </c>
      <c r="J88" s="1921" t="s">
        <v>275</v>
      </c>
      <c r="K88" s="1845" t="s">
        <v>5751</v>
      </c>
      <c r="L88" s="2583">
        <v>1000</v>
      </c>
      <c r="M88" s="2196" t="s">
        <v>5255</v>
      </c>
      <c r="N88" s="1859"/>
      <c r="O88" s="2590">
        <v>2</v>
      </c>
    </row>
    <row r="89" spans="1:127" s="2150" customFormat="1" ht="62.35" customHeight="1">
      <c r="A89" s="3770"/>
      <c r="B89" s="1921" t="str">
        <f t="shared" si="5"/>
        <v>2000002745</v>
      </c>
      <c r="C89" s="2323" t="s">
        <v>5567</v>
      </c>
      <c r="D89" s="2619">
        <v>1000</v>
      </c>
      <c r="E89" s="2118" t="s">
        <v>5752</v>
      </c>
      <c r="F89" s="2118" t="s">
        <v>24</v>
      </c>
      <c r="G89" s="2118"/>
      <c r="H89" s="2187" t="s">
        <v>1640</v>
      </c>
      <c r="I89" s="2279" t="s">
        <v>65</v>
      </c>
      <c r="J89" s="1921" t="s">
        <v>275</v>
      </c>
      <c r="K89" s="1911" t="s">
        <v>5753</v>
      </c>
      <c r="L89" s="2583">
        <v>1000</v>
      </c>
      <c r="M89" s="2584" t="s">
        <v>5255</v>
      </c>
      <c r="N89" s="1775"/>
      <c r="O89" s="1745">
        <v>2</v>
      </c>
    </row>
    <row r="90" spans="1:127" s="2150" customFormat="1" ht="62.35" customHeight="1">
      <c r="A90" s="3770"/>
      <c r="B90" s="1921" t="str">
        <f t="shared" si="5"/>
        <v>2000002770</v>
      </c>
      <c r="C90" s="2323" t="s">
        <v>5567</v>
      </c>
      <c r="D90" s="2619">
        <v>1500</v>
      </c>
      <c r="E90" s="2118" t="s">
        <v>5754</v>
      </c>
      <c r="F90" s="2118" t="s">
        <v>24</v>
      </c>
      <c r="G90" s="2298"/>
      <c r="H90" s="1921"/>
      <c r="I90" s="2279" t="s">
        <v>65</v>
      </c>
      <c r="J90" s="1921" t="s">
        <v>275</v>
      </c>
      <c r="K90" s="1911" t="s">
        <v>5755</v>
      </c>
      <c r="L90" s="2583">
        <v>1500</v>
      </c>
      <c r="M90" s="2584" t="s">
        <v>5230</v>
      </c>
      <c r="N90" s="1775"/>
      <c r="O90" s="1745"/>
    </row>
    <row r="91" spans="1:127" s="2150" customFormat="1" ht="62.35" customHeight="1">
      <c r="A91" s="3770"/>
      <c r="B91" s="1921" t="str">
        <f t="shared" si="5"/>
        <v>2000002780</v>
      </c>
      <c r="C91" s="2323" t="s">
        <v>5567</v>
      </c>
      <c r="D91" s="2619">
        <v>1500</v>
      </c>
      <c r="E91" s="2118" t="s">
        <v>5756</v>
      </c>
      <c r="F91" s="2118" t="s">
        <v>24</v>
      </c>
      <c r="G91" s="2298"/>
      <c r="H91" s="1921"/>
      <c r="I91" s="2279" t="s">
        <v>65</v>
      </c>
      <c r="J91" s="1921" t="s">
        <v>275</v>
      </c>
      <c r="K91" s="1911" t="s">
        <v>5757</v>
      </c>
      <c r="L91" s="2583">
        <v>1500</v>
      </c>
      <c r="M91" s="2584" t="s">
        <v>5230</v>
      </c>
      <c r="N91" s="1775"/>
      <c r="O91" s="1745"/>
    </row>
    <row r="92" spans="1:127" s="2150" customFormat="1" ht="62.35" customHeight="1">
      <c r="A92" s="3770"/>
      <c r="B92" s="1921" t="str">
        <f t="shared" si="5"/>
        <v>2200001946</v>
      </c>
      <c r="C92" s="2323" t="s">
        <v>5567</v>
      </c>
      <c r="D92" s="2619">
        <v>4250</v>
      </c>
      <c r="E92" s="2118" t="s">
        <v>5758</v>
      </c>
      <c r="F92" s="2118" t="s">
        <v>24</v>
      </c>
      <c r="G92" s="2159"/>
      <c r="H92" s="2118"/>
      <c r="I92" s="2279" t="s">
        <v>65</v>
      </c>
      <c r="J92" s="1921" t="s">
        <v>275</v>
      </c>
      <c r="K92" s="1845" t="s">
        <v>5759</v>
      </c>
      <c r="L92" s="2583">
        <v>114</v>
      </c>
      <c r="M92" s="2584" t="s">
        <v>5255</v>
      </c>
      <c r="N92" s="1775"/>
      <c r="O92" s="1745">
        <v>3</v>
      </c>
    </row>
    <row r="93" spans="1:127" s="2150" customFormat="1" ht="76.599999999999994" customHeight="1">
      <c r="A93" s="2436">
        <v>17</v>
      </c>
      <c r="B93" s="2279" t="str">
        <f t="shared" si="5"/>
        <v>2000002829</v>
      </c>
      <c r="C93" s="2370" t="s">
        <v>87</v>
      </c>
      <c r="D93" s="2488">
        <v>5960</v>
      </c>
      <c r="E93" s="2118" t="s">
        <v>5760</v>
      </c>
      <c r="F93" s="2391" t="s">
        <v>16</v>
      </c>
      <c r="G93" s="2159" t="s">
        <v>5761</v>
      </c>
      <c r="H93" s="1632" t="s">
        <v>5762</v>
      </c>
      <c r="I93" s="2187" t="s">
        <v>65</v>
      </c>
      <c r="J93" s="1921" t="s">
        <v>4386</v>
      </c>
      <c r="K93" s="1845" t="s">
        <v>5763</v>
      </c>
      <c r="L93" s="2357">
        <v>6000</v>
      </c>
      <c r="M93" s="2196" t="s">
        <v>5255</v>
      </c>
      <c r="N93" s="1775"/>
      <c r="O93" s="2590">
        <v>2</v>
      </c>
    </row>
    <row r="94" spans="1:127" s="2150" customFormat="1" ht="77.3" customHeight="1">
      <c r="A94" s="2414">
        <v>18</v>
      </c>
      <c r="B94" s="1921" t="str">
        <f t="shared" si="5"/>
        <v>2000002790</v>
      </c>
      <c r="C94" s="1561" t="s">
        <v>3440</v>
      </c>
      <c r="D94" s="2222">
        <v>8800</v>
      </c>
      <c r="E94" s="1921" t="s">
        <v>5764</v>
      </c>
      <c r="F94" s="1902" t="s">
        <v>16</v>
      </c>
      <c r="G94" s="2279" t="s">
        <v>5765</v>
      </c>
      <c r="H94" s="1921"/>
      <c r="I94" s="1921" t="s">
        <v>65</v>
      </c>
      <c r="J94" s="1921" t="s">
        <v>294</v>
      </c>
      <c r="K94" s="2194" t="s">
        <v>5766</v>
      </c>
      <c r="L94" s="2583">
        <v>8800</v>
      </c>
      <c r="M94" s="2448" t="s">
        <v>5230</v>
      </c>
      <c r="N94" s="1862" t="s">
        <v>5767</v>
      </c>
      <c r="O94" s="1745">
        <v>2</v>
      </c>
      <c r="Q94" s="1493">
        <v>9606</v>
      </c>
      <c r="R94" s="1493">
        <v>7929</v>
      </c>
      <c r="S94" s="1493">
        <f>Q94-R94</f>
        <v>1677</v>
      </c>
    </row>
    <row r="95" spans="1:127" s="2150" customFormat="1" ht="77.3" customHeight="1">
      <c r="A95" s="2436">
        <v>19</v>
      </c>
      <c r="B95" s="1921" t="str">
        <f t="shared" si="5"/>
        <v>2200001920</v>
      </c>
      <c r="C95" s="1902" t="s">
        <v>5768</v>
      </c>
      <c r="D95" s="2585">
        <v>4300</v>
      </c>
      <c r="E95" s="2118" t="s">
        <v>5769</v>
      </c>
      <c r="F95" s="2391" t="s">
        <v>24</v>
      </c>
      <c r="G95" s="1921" t="s">
        <v>5770</v>
      </c>
      <c r="H95" s="1921"/>
      <c r="I95" s="1921" t="s">
        <v>65</v>
      </c>
      <c r="J95" s="1921" t="s">
        <v>1179</v>
      </c>
      <c r="K95" s="1911" t="s">
        <v>5771</v>
      </c>
      <c r="L95" s="2583">
        <v>4250</v>
      </c>
      <c r="M95" s="2196" t="s">
        <v>5230</v>
      </c>
      <c r="N95" s="1862" t="s">
        <v>1041</v>
      </c>
      <c r="O95" s="1745">
        <v>2</v>
      </c>
      <c r="Q95" s="1493">
        <v>27642</v>
      </c>
      <c r="R95" s="1493">
        <v>13395</v>
      </c>
      <c r="S95" s="1493">
        <f>Q95-R95</f>
        <v>14247</v>
      </c>
    </row>
    <row r="96" spans="1:127" s="2150" customFormat="1" ht="62.35" customHeight="1">
      <c r="A96" s="3771">
        <v>20</v>
      </c>
      <c r="B96" s="1921" t="str">
        <f t="shared" si="5"/>
        <v>2400001142</v>
      </c>
      <c r="C96" s="1902" t="s">
        <v>5772</v>
      </c>
      <c r="D96" s="2488">
        <v>6493</v>
      </c>
      <c r="E96" s="1921" t="s">
        <v>5773</v>
      </c>
      <c r="F96" s="1902" t="s">
        <v>3136</v>
      </c>
      <c r="G96" s="1921" t="s">
        <v>5774</v>
      </c>
      <c r="H96" s="1921" t="s">
        <v>5707</v>
      </c>
      <c r="I96" s="1921" t="s">
        <v>65</v>
      </c>
      <c r="J96" s="1921" t="s">
        <v>5671</v>
      </c>
      <c r="K96" s="1845" t="s">
        <v>5775</v>
      </c>
      <c r="L96" s="2583">
        <f>D96</f>
        <v>6493</v>
      </c>
      <c r="M96" s="2448" t="s">
        <v>5230</v>
      </c>
      <c r="N96" s="1843" t="s">
        <v>5691</v>
      </c>
      <c r="O96" s="2598">
        <v>2</v>
      </c>
      <c r="P96" s="2122" t="s">
        <v>5578</v>
      </c>
      <c r="Q96" s="1902">
        <v>3159</v>
      </c>
      <c r="R96" s="1902"/>
      <c r="S96" s="1902">
        <f>Q96-R96</f>
        <v>3159</v>
      </c>
    </row>
    <row r="97" spans="1:127" s="2150" customFormat="1" ht="56.25" customHeight="1">
      <c r="A97" s="3772"/>
      <c r="B97" s="1495" t="str">
        <f t="shared" si="5"/>
        <v>2400001145</v>
      </c>
      <c r="C97" s="1493" t="s">
        <v>5772</v>
      </c>
      <c r="D97" s="2325"/>
      <c r="E97" s="1495"/>
      <c r="F97" s="1493"/>
      <c r="G97" s="1495"/>
      <c r="H97" s="1495"/>
      <c r="I97" s="1495" t="s">
        <v>65</v>
      </c>
      <c r="J97" s="1495" t="s">
        <v>5671</v>
      </c>
      <c r="K97" s="1600" t="s">
        <v>5776</v>
      </c>
      <c r="L97" s="2357"/>
      <c r="M97" s="2584" t="s">
        <v>5734</v>
      </c>
      <c r="N97" s="1859"/>
      <c r="O97" s="2597">
        <v>2</v>
      </c>
      <c r="P97" s="1883" t="s">
        <v>5578</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72"/>
      <c r="B98" s="1495" t="str">
        <f t="shared" si="5"/>
        <v>2400001148</v>
      </c>
      <c r="C98" s="1493" t="s">
        <v>5772</v>
      </c>
      <c r="D98" s="2325"/>
      <c r="E98" s="1495"/>
      <c r="F98" s="1493"/>
      <c r="G98" s="1495"/>
      <c r="H98" s="1495"/>
      <c r="I98" s="1495" t="s">
        <v>65</v>
      </c>
      <c r="J98" s="1495" t="s">
        <v>5671</v>
      </c>
      <c r="K98" s="1600" t="s">
        <v>5777</v>
      </c>
      <c r="L98" s="2357"/>
      <c r="M98" s="2448" t="s">
        <v>5230</v>
      </c>
      <c r="N98" s="1843" t="s">
        <v>5691</v>
      </c>
      <c r="O98" s="2597">
        <v>2</v>
      </c>
      <c r="P98" s="1883" t="s">
        <v>5578</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72"/>
      <c r="B99" s="1495" t="str">
        <f t="shared" si="5"/>
        <v>2400001147</v>
      </c>
      <c r="C99" s="1493" t="s">
        <v>5772</v>
      </c>
      <c r="D99" s="2325"/>
      <c r="E99" s="1495"/>
      <c r="F99" s="1493"/>
      <c r="G99" s="1495"/>
      <c r="H99" s="1495"/>
      <c r="I99" s="1495" t="s">
        <v>65</v>
      </c>
      <c r="J99" s="1495" t="s">
        <v>5671</v>
      </c>
      <c r="K99" s="1600" t="s">
        <v>5778</v>
      </c>
      <c r="L99" s="2357"/>
      <c r="M99" s="2584" t="s">
        <v>5255</v>
      </c>
      <c r="N99" s="1859"/>
      <c r="O99" s="2597">
        <v>2</v>
      </c>
      <c r="P99" s="1883" t="s">
        <v>5578</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72"/>
      <c r="B100" s="1495" t="str">
        <f t="shared" si="5"/>
        <v>2400001150</v>
      </c>
      <c r="C100" s="1493" t="s">
        <v>5772</v>
      </c>
      <c r="D100" s="2325"/>
      <c r="E100" s="1495"/>
      <c r="F100" s="1493"/>
      <c r="G100" s="1495"/>
      <c r="H100" s="1495"/>
      <c r="I100" s="1495" t="s">
        <v>65</v>
      </c>
      <c r="J100" s="1495" t="s">
        <v>5671</v>
      </c>
      <c r="K100" s="1547" t="s">
        <v>5779</v>
      </c>
      <c r="L100" s="2357"/>
      <c r="M100" s="2448" t="s">
        <v>5230</v>
      </c>
      <c r="N100" s="1843" t="s">
        <v>5691</v>
      </c>
      <c r="O100" s="2597">
        <v>2</v>
      </c>
      <c r="P100" s="1883" t="s">
        <v>5578</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73"/>
      <c r="B101" s="1495" t="str">
        <f t="shared" si="5"/>
        <v>2400001139</v>
      </c>
      <c r="C101" s="1493" t="s">
        <v>5772</v>
      </c>
      <c r="D101" s="2325"/>
      <c r="E101" s="1495"/>
      <c r="F101" s="1493"/>
      <c r="G101" s="1495"/>
      <c r="H101" s="1495"/>
      <c r="I101" s="1495" t="s">
        <v>65</v>
      </c>
      <c r="J101" s="1495" t="s">
        <v>5671</v>
      </c>
      <c r="K101" s="1547" t="s">
        <v>5780</v>
      </c>
      <c r="L101" s="2357"/>
      <c r="M101" s="2506" t="s">
        <v>5781</v>
      </c>
      <c r="N101" s="1859"/>
      <c r="O101" s="2597">
        <v>2</v>
      </c>
      <c r="P101" s="1883" t="s">
        <v>5578</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68">
        <v>21</v>
      </c>
      <c r="B102" s="1495" t="str">
        <f t="shared" si="5"/>
        <v>2000002757</v>
      </c>
      <c r="C102" s="2391" t="s">
        <v>234</v>
      </c>
      <c r="D102" s="2602">
        <v>9500</v>
      </c>
      <c r="E102" s="1921" t="s">
        <v>5782</v>
      </c>
      <c r="F102" s="2563" t="s">
        <v>16</v>
      </c>
      <c r="G102" s="2118" t="s">
        <v>5783</v>
      </c>
      <c r="H102" s="2118"/>
      <c r="I102" s="2118" t="s">
        <v>65</v>
      </c>
      <c r="J102" s="2118" t="s">
        <v>4386</v>
      </c>
      <c r="K102" s="2402" t="s">
        <v>5784</v>
      </c>
      <c r="L102" s="2583">
        <v>5270</v>
      </c>
      <c r="M102" s="2448" t="s">
        <v>5230</v>
      </c>
      <c r="N102" s="1962" t="s">
        <v>5691</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5" customHeight="1">
      <c r="A103" s="3770"/>
      <c r="B103" s="1495" t="str">
        <f t="shared" si="5"/>
        <v>2000002758</v>
      </c>
      <c r="C103" s="1630" t="s">
        <v>234</v>
      </c>
      <c r="D103" s="2575"/>
      <c r="E103" s="1851"/>
      <c r="F103" s="1493" t="s">
        <v>16</v>
      </c>
      <c r="G103" s="1495"/>
      <c r="H103" s="1495"/>
      <c r="I103" s="1495" t="s">
        <v>65</v>
      </c>
      <c r="J103" s="1851" t="s">
        <v>4386</v>
      </c>
      <c r="K103" s="1600" t="s">
        <v>5785</v>
      </c>
      <c r="L103" s="2357">
        <v>730</v>
      </c>
      <c r="M103" s="2506" t="s">
        <v>5734</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5" customHeight="1">
      <c r="A104" s="3770"/>
      <c r="B104" s="1495" t="str">
        <f t="shared" si="5"/>
        <v>2000002667</v>
      </c>
      <c r="C104" s="1630" t="s">
        <v>234</v>
      </c>
      <c r="D104" s="2325"/>
      <c r="E104" s="1495"/>
      <c r="F104" s="1493" t="s">
        <v>16</v>
      </c>
      <c r="G104" s="1495"/>
      <c r="H104" s="1495"/>
      <c r="I104" s="1495" t="s">
        <v>65</v>
      </c>
      <c r="J104" s="1495" t="s">
        <v>164</v>
      </c>
      <c r="K104" s="1600" t="s">
        <v>5786</v>
      </c>
      <c r="L104" s="2357">
        <v>2865</v>
      </c>
      <c r="M104" s="1748" t="s">
        <v>5787</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69"/>
      <c r="B105" s="1495" t="str">
        <f t="shared" si="5"/>
        <v>2000002767</v>
      </c>
      <c r="C105" s="1630" t="s">
        <v>234</v>
      </c>
      <c r="D105" s="2325"/>
      <c r="E105" s="1495"/>
      <c r="F105" s="1493" t="s">
        <v>16</v>
      </c>
      <c r="G105" s="1495"/>
      <c r="H105" s="1495"/>
      <c r="I105" s="1495" t="s">
        <v>65</v>
      </c>
      <c r="J105" s="1495" t="s">
        <v>164</v>
      </c>
      <c r="K105" s="1600" t="s">
        <v>5788</v>
      </c>
      <c r="L105" s="2357">
        <v>650</v>
      </c>
      <c r="M105" s="2448" t="s">
        <v>5230</v>
      </c>
      <c r="N105" s="1859" t="s">
        <v>5691</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349999999999994" customHeight="1">
      <c r="A106" s="3768">
        <v>22</v>
      </c>
      <c r="B106" s="2279" t="str">
        <f t="shared" si="5"/>
        <v>2000002787</v>
      </c>
      <c r="C106" s="2279" t="s">
        <v>3454</v>
      </c>
      <c r="D106" s="2569">
        <v>24200</v>
      </c>
      <c r="E106" s="2159" t="s">
        <v>5789</v>
      </c>
      <c r="F106" s="2120" t="s">
        <v>14</v>
      </c>
      <c r="G106" s="2118" t="s">
        <v>5790</v>
      </c>
      <c r="H106" s="2159"/>
      <c r="I106" s="1921" t="s">
        <v>65</v>
      </c>
      <c r="J106" s="1921" t="s">
        <v>66</v>
      </c>
      <c r="K106" s="2161" t="s">
        <v>5791</v>
      </c>
      <c r="L106" s="2508">
        <v>2430</v>
      </c>
      <c r="M106" s="2448" t="s">
        <v>5230</v>
      </c>
      <c r="N106" s="1862" t="s">
        <v>5767</v>
      </c>
      <c r="O106" s="2596">
        <v>2</v>
      </c>
      <c r="Q106" s="1493">
        <v>6029</v>
      </c>
      <c r="R106" s="1493">
        <v>3494</v>
      </c>
      <c r="S106" s="1493">
        <f>Q106-R106</f>
        <v>2535</v>
      </c>
    </row>
    <row r="107" spans="1:127" s="1548" customFormat="1" ht="58.6" customHeight="1">
      <c r="A107" s="3770"/>
      <c r="B107" s="1568" t="str">
        <f t="shared" si="5"/>
        <v>2000002788</v>
      </c>
      <c r="C107" s="1568" t="s">
        <v>3454</v>
      </c>
      <c r="D107" s="2572"/>
      <c r="E107" s="1947"/>
      <c r="F107" s="1872" t="s">
        <v>14</v>
      </c>
      <c r="G107" s="1851"/>
      <c r="H107" s="1947"/>
      <c r="I107" s="1495" t="s">
        <v>65</v>
      </c>
      <c r="J107" s="1495" t="s">
        <v>66</v>
      </c>
      <c r="K107" s="1628" t="s">
        <v>5792</v>
      </c>
      <c r="L107" s="2361">
        <v>13797</v>
      </c>
      <c r="M107" s="2448" t="s">
        <v>5230</v>
      </c>
      <c r="N107" s="1843" t="s">
        <v>5793</v>
      </c>
      <c r="O107" s="2596">
        <v>2</v>
      </c>
      <c r="Q107" s="1493">
        <v>13767</v>
      </c>
      <c r="R107" s="1493"/>
      <c r="S107" s="1493">
        <f>Q107-R107</f>
        <v>13767</v>
      </c>
    </row>
    <row r="108" spans="1:127" s="1548" customFormat="1" ht="68.95" customHeight="1">
      <c r="A108" s="3770"/>
      <c r="B108" s="1495" t="str">
        <f t="shared" ref="B108:B139" si="6">TEXT(LEFT(K108,10),"0000000000")</f>
        <v>2000002766</v>
      </c>
      <c r="C108" s="1568" t="s">
        <v>3454</v>
      </c>
      <c r="D108" s="2325"/>
      <c r="E108" s="1495"/>
      <c r="F108" s="1872" t="s">
        <v>14</v>
      </c>
      <c r="G108" s="1495"/>
      <c r="H108" s="1495"/>
      <c r="I108" s="1495" t="s">
        <v>65</v>
      </c>
      <c r="J108" s="1495" t="s">
        <v>1000</v>
      </c>
      <c r="K108" s="1600" t="s">
        <v>5794</v>
      </c>
      <c r="L108" s="2357">
        <v>5000</v>
      </c>
      <c r="M108" s="2196" t="s">
        <v>5734</v>
      </c>
      <c r="N108" s="1859"/>
      <c r="O108" s="2590">
        <v>2</v>
      </c>
    </row>
    <row r="109" spans="1:127" s="1548" customFormat="1" ht="66.099999999999994" customHeight="1">
      <c r="A109" s="3770"/>
      <c r="B109" s="1495" t="str">
        <f t="shared" si="6"/>
        <v>2000002803</v>
      </c>
      <c r="C109" s="1568" t="s">
        <v>3454</v>
      </c>
      <c r="D109" s="2325"/>
      <c r="E109" s="1495"/>
      <c r="F109" s="1872" t="s">
        <v>14</v>
      </c>
      <c r="G109" s="1495"/>
      <c r="H109" s="1495"/>
      <c r="I109" s="1495" t="s">
        <v>65</v>
      </c>
      <c r="J109" s="1495" t="s">
        <v>1000</v>
      </c>
      <c r="K109" s="1600" t="s">
        <v>5795</v>
      </c>
      <c r="L109" s="2357">
        <v>2000</v>
      </c>
      <c r="M109" s="2196" t="s">
        <v>5230</v>
      </c>
      <c r="N109" s="1843" t="s">
        <v>5796</v>
      </c>
      <c r="O109" s="2590">
        <v>2</v>
      </c>
      <c r="Q109" s="1493">
        <v>417</v>
      </c>
      <c r="R109" s="1493"/>
      <c r="S109" s="1493">
        <f>Q109-R109</f>
        <v>417</v>
      </c>
    </row>
    <row r="110" spans="1:127" s="1548" customFormat="1" ht="58.6" customHeight="1">
      <c r="A110" s="3770"/>
      <c r="B110" s="1495" t="str">
        <f t="shared" si="6"/>
        <v>2200001926</v>
      </c>
      <c r="C110" s="1568" t="s">
        <v>3454</v>
      </c>
      <c r="D110" s="2266"/>
      <c r="E110" s="1947"/>
      <c r="F110" s="1872" t="s">
        <v>14</v>
      </c>
      <c r="G110" s="1851"/>
      <c r="H110" s="1947"/>
      <c r="I110" s="1495" t="s">
        <v>65</v>
      </c>
      <c r="J110" s="1495" t="s">
        <v>1000</v>
      </c>
      <c r="K110" s="1497" t="s">
        <v>5797</v>
      </c>
      <c r="L110" s="2361">
        <v>821</v>
      </c>
      <c r="M110" s="1748" t="s">
        <v>5255</v>
      </c>
      <c r="N110" s="1859"/>
      <c r="O110" s="2596">
        <v>2</v>
      </c>
    </row>
    <row r="111" spans="1:127" s="1548" customFormat="1" ht="58.6" customHeight="1">
      <c r="A111" s="3771">
        <v>23</v>
      </c>
      <c r="B111" s="2279" t="str">
        <f t="shared" si="6"/>
        <v>2000002791</v>
      </c>
      <c r="C111" s="2279" t="s">
        <v>3499</v>
      </c>
      <c r="D111" s="2569">
        <v>3240</v>
      </c>
      <c r="E111" s="2159" t="s">
        <v>5798</v>
      </c>
      <c r="F111" s="2120" t="s">
        <v>20</v>
      </c>
      <c r="G111" s="2118" t="s">
        <v>5799</v>
      </c>
      <c r="H111" s="2159"/>
      <c r="I111" s="1921" t="s">
        <v>65</v>
      </c>
      <c r="J111" s="1921" t="s">
        <v>164</v>
      </c>
      <c r="K111" s="2161" t="s">
        <v>5800</v>
      </c>
      <c r="L111" s="2508">
        <v>2280</v>
      </c>
      <c r="M111" s="2448" t="s">
        <v>5230</v>
      </c>
      <c r="N111" s="1862" t="s">
        <v>5767</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6" customHeight="1">
      <c r="A112" s="3772"/>
      <c r="B112" s="1495" t="str">
        <f t="shared" si="6"/>
        <v>2000002744</v>
      </c>
      <c r="C112" s="1568" t="s">
        <v>3499</v>
      </c>
      <c r="D112" s="1808"/>
      <c r="E112" s="1748" t="s">
        <v>5801</v>
      </c>
      <c r="F112" s="1872" t="s">
        <v>20</v>
      </c>
      <c r="G112" s="1495"/>
      <c r="H112" s="1495"/>
      <c r="I112" s="1495" t="s">
        <v>65</v>
      </c>
      <c r="J112" s="1495" t="s">
        <v>5802</v>
      </c>
      <c r="K112" s="1600" t="s">
        <v>5803</v>
      </c>
      <c r="L112" s="2357">
        <v>500</v>
      </c>
      <c r="M112" s="2196" t="s">
        <v>5804</v>
      </c>
      <c r="N112" s="1859" t="s">
        <v>5691</v>
      </c>
      <c r="O112" s="2590">
        <v>2</v>
      </c>
      <c r="Q112" s="1493"/>
      <c r="R112" s="1493"/>
      <c r="S112" s="1493">
        <v>467</v>
      </c>
    </row>
    <row r="113" spans="1:127" s="1548" customFormat="1" ht="58.6" customHeight="1">
      <c r="A113" s="3773"/>
      <c r="B113" s="1495" t="str">
        <f t="shared" si="6"/>
        <v>2000002708</v>
      </c>
      <c r="C113" s="1568" t="s">
        <v>3499</v>
      </c>
      <c r="D113" s="1808"/>
      <c r="E113" s="1495"/>
      <c r="F113" s="1872" t="s">
        <v>20</v>
      </c>
      <c r="G113" s="1495"/>
      <c r="H113" s="1495"/>
      <c r="I113" s="1495" t="s">
        <v>65</v>
      </c>
      <c r="J113" s="1495" t="s">
        <v>5802</v>
      </c>
      <c r="K113" s="1600" t="s">
        <v>5805</v>
      </c>
      <c r="L113" s="2357">
        <v>500</v>
      </c>
      <c r="M113" s="2196" t="s">
        <v>5806</v>
      </c>
      <c r="N113" s="1859" t="s">
        <v>5691</v>
      </c>
      <c r="O113" s="2590">
        <v>2</v>
      </c>
      <c r="Q113" s="1493"/>
      <c r="R113" s="1493"/>
      <c r="S113" s="1493">
        <v>563</v>
      </c>
    </row>
    <row r="114" spans="1:127" s="1548" customFormat="1" ht="58.6" customHeight="1">
      <c r="A114" s="3771">
        <v>24</v>
      </c>
      <c r="B114" s="1921" t="str">
        <f t="shared" si="6"/>
        <v>2000002830</v>
      </c>
      <c r="C114" s="1902" t="s">
        <v>97</v>
      </c>
      <c r="D114" s="2488">
        <v>3200</v>
      </c>
      <c r="E114" s="1921" t="s">
        <v>5807</v>
      </c>
      <c r="F114" s="2601" t="s">
        <v>18</v>
      </c>
      <c r="G114" s="1921" t="s">
        <v>5808</v>
      </c>
      <c r="H114" s="1921"/>
      <c r="I114" s="1921" t="s">
        <v>65</v>
      </c>
      <c r="J114" s="1921" t="s">
        <v>117</v>
      </c>
      <c r="K114" s="2194" t="s">
        <v>5809</v>
      </c>
      <c r="L114" s="2583">
        <v>2400</v>
      </c>
      <c r="M114" s="2584" t="s">
        <v>5255</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6" customHeight="1">
      <c r="A115" s="3772"/>
      <c r="B115" s="1495" t="str">
        <f t="shared" si="6"/>
        <v>2200001929</v>
      </c>
      <c r="C115" s="1493" t="s">
        <v>97</v>
      </c>
      <c r="D115" s="2325"/>
      <c r="E115" s="1748" t="s">
        <v>5810</v>
      </c>
      <c r="F115" s="1601" t="s">
        <v>18</v>
      </c>
      <c r="G115" s="1495"/>
      <c r="H115" s="1921"/>
      <c r="I115" s="1495" t="s">
        <v>65</v>
      </c>
      <c r="J115" s="1495" t="s">
        <v>117</v>
      </c>
      <c r="K115" s="1497" t="s">
        <v>5811</v>
      </c>
      <c r="L115" s="2583">
        <v>468</v>
      </c>
      <c r="M115" s="2584" t="s">
        <v>5255</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6" customHeight="1">
      <c r="A116" s="3772"/>
      <c r="B116" s="1495" t="str">
        <f t="shared" si="6"/>
        <v>2000002800</v>
      </c>
      <c r="C116" s="1493" t="s">
        <v>97</v>
      </c>
      <c r="D116" s="2325"/>
      <c r="E116" s="1495"/>
      <c r="F116" s="1601" t="s">
        <v>18</v>
      </c>
      <c r="G116" s="1495"/>
      <c r="H116" s="1495"/>
      <c r="I116" s="1495" t="s">
        <v>65</v>
      </c>
      <c r="J116" s="1495" t="s">
        <v>106</v>
      </c>
      <c r="K116" s="1600" t="s">
        <v>5812</v>
      </c>
      <c r="L116" s="2357">
        <v>300</v>
      </c>
      <c r="M116" s="2196" t="s">
        <v>5813</v>
      </c>
      <c r="N116" s="1859"/>
      <c r="O116" s="2590">
        <v>2</v>
      </c>
    </row>
    <row r="117" spans="1:127" s="1548" customFormat="1" ht="58.6" customHeight="1">
      <c r="A117" s="3773"/>
      <c r="B117" s="1495" t="str">
        <f t="shared" si="6"/>
        <v>2200001930</v>
      </c>
      <c r="C117" s="1493" t="s">
        <v>97</v>
      </c>
      <c r="D117" s="2266"/>
      <c r="E117" s="1947"/>
      <c r="F117" s="1601" t="s">
        <v>18</v>
      </c>
      <c r="G117" s="1851"/>
      <c r="H117" s="1947"/>
      <c r="I117" s="1495" t="s">
        <v>65</v>
      </c>
      <c r="J117" s="1495" t="s">
        <v>106</v>
      </c>
      <c r="K117" s="1497" t="s">
        <v>5814</v>
      </c>
      <c r="L117" s="2361">
        <v>48</v>
      </c>
      <c r="M117" s="2584" t="s">
        <v>5255</v>
      </c>
      <c r="N117" s="1859"/>
      <c r="O117" s="2596">
        <v>2</v>
      </c>
    </row>
    <row r="118" spans="1:127" s="1548" customFormat="1" ht="58.6" customHeight="1">
      <c r="A118" s="3771">
        <v>25</v>
      </c>
      <c r="B118" s="1921" t="str">
        <f t="shared" si="6"/>
        <v>2400001099</v>
      </c>
      <c r="C118" s="1902" t="s">
        <v>119</v>
      </c>
      <c r="D118" s="2488">
        <v>10000</v>
      </c>
      <c r="E118" s="1921" t="s">
        <v>5815</v>
      </c>
      <c r="F118" s="1902"/>
      <c r="G118" s="1921" t="s">
        <v>5816</v>
      </c>
      <c r="H118" s="1921" t="s">
        <v>5707</v>
      </c>
      <c r="I118" s="1921" t="s">
        <v>65</v>
      </c>
      <c r="J118" s="1921" t="s">
        <v>4845</v>
      </c>
      <c r="K118" s="1911" t="s">
        <v>5817</v>
      </c>
      <c r="L118" s="2583">
        <f>D118</f>
        <v>10000</v>
      </c>
      <c r="M118" s="2448" t="s">
        <v>5230</v>
      </c>
      <c r="N118" s="1845" t="s">
        <v>5691</v>
      </c>
      <c r="O118" s="2604">
        <v>2</v>
      </c>
      <c r="P118" s="2122" t="s">
        <v>5578</v>
      </c>
      <c r="Q118" s="1493">
        <v>8795</v>
      </c>
      <c r="R118" s="1493"/>
      <c r="S118" s="1493">
        <f>Q118-R118</f>
        <v>8795</v>
      </c>
      <c r="T118" s="1916" t="s">
        <v>5818</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6" customHeight="1">
      <c r="A119" s="3772"/>
      <c r="B119" s="1921" t="str">
        <f t="shared" si="6"/>
        <v>2400001156</v>
      </c>
      <c r="C119" s="1902" t="s">
        <v>119</v>
      </c>
      <c r="D119" s="2488"/>
      <c r="E119" s="1921"/>
      <c r="F119" s="1902"/>
      <c r="G119" s="1921"/>
      <c r="H119" s="1921"/>
      <c r="I119" s="1921" t="s">
        <v>65</v>
      </c>
      <c r="J119" s="1921" t="s">
        <v>4845</v>
      </c>
      <c r="K119" s="1845" t="s">
        <v>5819</v>
      </c>
      <c r="L119" s="2583"/>
      <c r="M119" s="2448" t="s">
        <v>5230</v>
      </c>
      <c r="N119" s="1845" t="s">
        <v>5691</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6" customHeight="1">
      <c r="A120" s="3772"/>
      <c r="B120" s="1921" t="str">
        <f t="shared" si="6"/>
        <v>2400001100</v>
      </c>
      <c r="C120" s="1902" t="s">
        <v>119</v>
      </c>
      <c r="D120" s="2325"/>
      <c r="E120" s="1495"/>
      <c r="F120" s="1493"/>
      <c r="G120" s="1495"/>
      <c r="H120" s="1495"/>
      <c r="I120" s="1495" t="s">
        <v>65</v>
      </c>
      <c r="J120" s="1495" t="s">
        <v>4845</v>
      </c>
      <c r="K120" s="1547" t="s">
        <v>5820</v>
      </c>
      <c r="L120" s="2357"/>
      <c r="M120" s="2448" t="s">
        <v>5230</v>
      </c>
      <c r="N120" s="1600" t="s">
        <v>5691</v>
      </c>
      <c r="O120" s="2605">
        <v>2</v>
      </c>
      <c r="P120" s="1883" t="s">
        <v>5578</v>
      </c>
      <c r="Q120" s="1493">
        <v>974</v>
      </c>
      <c r="R120" s="1493"/>
      <c r="S120" s="1493">
        <f>Q120-R120</f>
        <v>974</v>
      </c>
    </row>
    <row r="121" spans="1:127" s="1548" customFormat="1" ht="58.6" customHeight="1">
      <c r="A121" s="3773"/>
      <c r="B121" s="1921" t="str">
        <f t="shared" si="6"/>
        <v>2400001155</v>
      </c>
      <c r="C121" s="1902" t="s">
        <v>119</v>
      </c>
      <c r="D121" s="2325"/>
      <c r="E121" s="1495"/>
      <c r="F121" s="1601"/>
      <c r="G121" s="1495"/>
      <c r="H121" s="1495"/>
      <c r="I121" s="1495" t="s">
        <v>65</v>
      </c>
      <c r="J121" s="1495" t="s">
        <v>4845</v>
      </c>
      <c r="K121" s="1547" t="s">
        <v>5821</v>
      </c>
      <c r="L121" s="2357"/>
      <c r="M121" s="2448" t="s">
        <v>5230</v>
      </c>
      <c r="N121" s="1845" t="s">
        <v>5691</v>
      </c>
      <c r="O121" s="2604">
        <v>2</v>
      </c>
      <c r="P121" s="1883"/>
      <c r="Q121" s="1493">
        <v>1205</v>
      </c>
      <c r="R121" s="1493"/>
      <c r="S121" s="1493"/>
    </row>
    <row r="122" spans="1:127" s="1548" customFormat="1" ht="58.6" customHeight="1">
      <c r="A122" s="3768">
        <v>26</v>
      </c>
      <c r="B122" s="2279" t="str">
        <f t="shared" si="6"/>
        <v>2200001933</v>
      </c>
      <c r="C122" s="2279" t="s">
        <v>114</v>
      </c>
      <c r="D122" s="2606">
        <v>3720</v>
      </c>
      <c r="E122" s="2298" t="s">
        <v>5822</v>
      </c>
      <c r="F122" s="1921" t="s">
        <v>22</v>
      </c>
      <c r="G122" s="2159" t="s">
        <v>5823</v>
      </c>
      <c r="H122" s="2159"/>
      <c r="I122" s="1921" t="s">
        <v>65</v>
      </c>
      <c r="J122" s="1921" t="s">
        <v>1000</v>
      </c>
      <c r="K122" s="2402" t="s">
        <v>5824</v>
      </c>
      <c r="L122" s="2508">
        <v>3146</v>
      </c>
      <c r="M122" s="2196" t="s">
        <v>5230</v>
      </c>
      <c r="N122" s="1859" t="s">
        <v>5825</v>
      </c>
      <c r="O122" s="2590">
        <v>2</v>
      </c>
      <c r="Q122" s="1493">
        <v>3971</v>
      </c>
    </row>
    <row r="123" spans="1:127" s="1548" customFormat="1" ht="58.6" customHeight="1">
      <c r="A123" s="3769"/>
      <c r="B123" s="1568" t="str">
        <f t="shared" si="6"/>
        <v>2200001936</v>
      </c>
      <c r="C123" s="1568" t="s">
        <v>114</v>
      </c>
      <c r="D123" s="2266"/>
      <c r="E123" s="1947"/>
      <c r="F123" s="1872" t="s">
        <v>22</v>
      </c>
      <c r="G123" s="1851"/>
      <c r="H123" s="1947"/>
      <c r="I123" s="1495" t="s">
        <v>65</v>
      </c>
      <c r="J123" s="1495" t="s">
        <v>1000</v>
      </c>
      <c r="K123" s="1497" t="s">
        <v>5826</v>
      </c>
      <c r="L123" s="2361">
        <v>567</v>
      </c>
      <c r="M123" s="2196" t="s">
        <v>5230</v>
      </c>
      <c r="N123" s="1859" t="s">
        <v>5691</v>
      </c>
      <c r="O123" s="2590">
        <v>2</v>
      </c>
      <c r="Q123" s="1493">
        <v>567</v>
      </c>
    </row>
    <row r="124" spans="1:127" s="1548" customFormat="1" ht="58.6" customHeight="1">
      <c r="A124" s="3770">
        <v>27</v>
      </c>
      <c r="B124" s="2279" t="str">
        <f t="shared" si="6"/>
        <v>2000002789</v>
      </c>
      <c r="C124" s="2279" t="s">
        <v>3440</v>
      </c>
      <c r="D124" s="2569">
        <v>7000</v>
      </c>
      <c r="E124" s="2159" t="s">
        <v>5827</v>
      </c>
      <c r="F124" s="2120" t="s">
        <v>16</v>
      </c>
      <c r="G124" s="2118" t="s">
        <v>5828</v>
      </c>
      <c r="H124" s="2611" t="s">
        <v>5829</v>
      </c>
      <c r="I124" s="1921" t="s">
        <v>65</v>
      </c>
      <c r="J124" s="1921" t="s">
        <v>294</v>
      </c>
      <c r="K124" s="2161" t="s">
        <v>5830</v>
      </c>
      <c r="L124" s="2508">
        <v>6500</v>
      </c>
      <c r="M124" s="2196" t="s">
        <v>5230</v>
      </c>
      <c r="N124" s="1862" t="s">
        <v>5793</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69"/>
      <c r="B125" s="1568" t="str">
        <f t="shared" si="6"/>
        <v>2000002790</v>
      </c>
      <c r="C125" s="1568" t="s">
        <v>3440</v>
      </c>
      <c r="D125" s="2107"/>
      <c r="E125" s="1947"/>
      <c r="F125" s="1872" t="s">
        <v>16</v>
      </c>
      <c r="G125" s="1851"/>
      <c r="H125" s="1947"/>
      <c r="I125" s="1495" t="s">
        <v>65</v>
      </c>
      <c r="J125" s="1495" t="s">
        <v>294</v>
      </c>
      <c r="K125" s="1496" t="s">
        <v>5831</v>
      </c>
      <c r="L125" s="2357">
        <v>700</v>
      </c>
      <c r="M125" s="2196" t="s">
        <v>5230</v>
      </c>
      <c r="N125" s="1843" t="s">
        <v>5691</v>
      </c>
      <c r="O125" s="2596">
        <v>2</v>
      </c>
      <c r="Q125" s="1493">
        <v>9606</v>
      </c>
      <c r="R125" s="1493">
        <v>7929</v>
      </c>
      <c r="S125" s="1493">
        <f>Q125-R125</f>
        <v>1677</v>
      </c>
    </row>
    <row r="126" spans="1:127" s="1548" customFormat="1" ht="58.6" customHeight="1">
      <c r="A126" s="3768">
        <v>28</v>
      </c>
      <c r="B126" s="2279" t="str">
        <f t="shared" si="6"/>
        <v>2200001940</v>
      </c>
      <c r="C126" s="1902" t="s">
        <v>5832</v>
      </c>
      <c r="D126" s="2607">
        <v>4350</v>
      </c>
      <c r="E126" s="1921" t="s">
        <v>5833</v>
      </c>
      <c r="F126" s="1902" t="s">
        <v>22</v>
      </c>
      <c r="G126" s="1921" t="s">
        <v>5834</v>
      </c>
      <c r="H126" s="1921"/>
      <c r="I126" s="1921" t="s">
        <v>65</v>
      </c>
      <c r="J126" s="1921" t="s">
        <v>1000</v>
      </c>
      <c r="K126" s="1845" t="s">
        <v>5835</v>
      </c>
      <c r="L126" s="2608">
        <v>857</v>
      </c>
      <c r="M126" s="1790" t="s">
        <v>5836</v>
      </c>
      <c r="N126" s="2609"/>
      <c r="O126" s="2590">
        <v>2</v>
      </c>
    </row>
    <row r="127" spans="1:127" s="1548" customFormat="1" ht="58.6" customHeight="1">
      <c r="A127" s="3770"/>
      <c r="B127" s="1568" t="str">
        <f t="shared" si="6"/>
        <v>2200001941</v>
      </c>
      <c r="C127" s="1493" t="s">
        <v>5832</v>
      </c>
      <c r="D127" s="1808"/>
      <c r="E127" s="1909"/>
      <c r="F127" s="1493" t="s">
        <v>22</v>
      </c>
      <c r="G127" s="1495"/>
      <c r="H127" s="1495"/>
      <c r="I127" s="1495" t="s">
        <v>65</v>
      </c>
      <c r="J127" s="1495" t="s">
        <v>1000</v>
      </c>
      <c r="K127" s="1600" t="s">
        <v>5837</v>
      </c>
      <c r="L127" s="2610">
        <v>1200</v>
      </c>
      <c r="M127" s="1790" t="s">
        <v>5836</v>
      </c>
      <c r="N127" s="2609"/>
      <c r="O127" s="2590">
        <v>2</v>
      </c>
    </row>
    <row r="128" spans="1:127" s="1548" customFormat="1" ht="58.6" customHeight="1">
      <c r="A128" s="3770"/>
      <c r="B128" s="1568" t="str">
        <f t="shared" si="6"/>
        <v>2200001943</v>
      </c>
      <c r="C128" s="1493" t="s">
        <v>5832</v>
      </c>
      <c r="D128" s="1808"/>
      <c r="E128" s="1909"/>
      <c r="F128" s="1493" t="s">
        <v>22</v>
      </c>
      <c r="G128" s="1495"/>
      <c r="H128" s="1495"/>
      <c r="I128" s="1495" t="s">
        <v>65</v>
      </c>
      <c r="J128" s="1495" t="s">
        <v>1000</v>
      </c>
      <c r="K128" s="1600" t="s">
        <v>5838</v>
      </c>
      <c r="L128" s="2610">
        <v>724</v>
      </c>
      <c r="M128" s="1790" t="s">
        <v>5836</v>
      </c>
      <c r="N128" s="2688" t="s">
        <v>5839</v>
      </c>
      <c r="O128" s="2590">
        <v>2</v>
      </c>
    </row>
    <row r="129" spans="1:127" s="1548" customFormat="1" ht="58.6" customHeight="1">
      <c r="A129" s="3770"/>
      <c r="B129" s="1495" t="str">
        <f t="shared" si="6"/>
        <v>2200001862</v>
      </c>
      <c r="C129" s="1493" t="s">
        <v>5832</v>
      </c>
      <c r="D129" s="1808"/>
      <c r="E129" s="1495"/>
      <c r="F129" s="1493" t="s">
        <v>22</v>
      </c>
      <c r="G129" s="1495"/>
      <c r="H129" s="1495"/>
      <c r="I129" s="1495" t="s">
        <v>65</v>
      </c>
      <c r="J129" s="1495" t="s">
        <v>1000</v>
      </c>
      <c r="K129" s="1600" t="s">
        <v>5840</v>
      </c>
      <c r="L129" s="2299">
        <v>300</v>
      </c>
      <c r="M129" s="2196" t="s">
        <v>5841</v>
      </c>
      <c r="N129" s="1859"/>
      <c r="O129" s="2590">
        <v>2</v>
      </c>
      <c r="Q129" s="1493"/>
      <c r="R129" s="1493"/>
      <c r="S129" s="1493"/>
    </row>
    <row r="130" spans="1:127" s="1548" customFormat="1" ht="52.5" customHeight="1">
      <c r="A130" s="3769"/>
      <c r="B130" s="1568" t="str">
        <f t="shared" si="6"/>
        <v>2200001942</v>
      </c>
      <c r="C130" s="1493" t="s">
        <v>5832</v>
      </c>
      <c r="D130" s="1808"/>
      <c r="E130" s="1748"/>
      <c r="F130" s="1493" t="s">
        <v>22</v>
      </c>
      <c r="G130" s="1495"/>
      <c r="H130" s="1495"/>
      <c r="I130" s="1495" t="s">
        <v>65</v>
      </c>
      <c r="J130" s="1495" t="s">
        <v>1000</v>
      </c>
      <c r="K130" s="1600" t="s">
        <v>5842</v>
      </c>
      <c r="L130" s="2610">
        <v>1128</v>
      </c>
      <c r="M130" s="1790" t="s">
        <v>5836</v>
      </c>
      <c r="N130" s="2609"/>
      <c r="O130" s="2590">
        <v>2</v>
      </c>
    </row>
    <row r="131" spans="1:127" s="2150" customFormat="1" ht="54" customHeight="1">
      <c r="A131" s="3768">
        <v>29</v>
      </c>
      <c r="B131" s="2279" t="str">
        <f t="shared" si="6"/>
        <v>2200001927</v>
      </c>
      <c r="C131" s="1921" t="s">
        <v>92</v>
      </c>
      <c r="D131" s="2607">
        <v>4250</v>
      </c>
      <c r="E131" s="1921" t="s">
        <v>5843</v>
      </c>
      <c r="F131" s="1902" t="s">
        <v>16</v>
      </c>
      <c r="G131" s="2118" t="s">
        <v>5844</v>
      </c>
      <c r="H131" s="2611" t="s">
        <v>5845</v>
      </c>
      <c r="I131" s="1921" t="s">
        <v>65</v>
      </c>
      <c r="J131" s="1921" t="s">
        <v>1000</v>
      </c>
      <c r="K131" s="2402" t="s">
        <v>5846</v>
      </c>
      <c r="L131" s="2508">
        <v>940</v>
      </c>
      <c r="M131" s="1748" t="s">
        <v>5255</v>
      </c>
      <c r="N131" s="1775"/>
      <c r="O131" s="2595">
        <v>2</v>
      </c>
    </row>
    <row r="132" spans="1:127" s="1548" customFormat="1" ht="45.7" customHeight="1">
      <c r="A132" s="3770"/>
      <c r="B132" s="1568" t="str">
        <f t="shared" si="6"/>
        <v>2200001938</v>
      </c>
      <c r="C132" s="1493" t="s">
        <v>92</v>
      </c>
      <c r="D132" s="2612"/>
      <c r="E132" s="1947"/>
      <c r="F132" s="1493" t="s">
        <v>16</v>
      </c>
      <c r="G132" s="1851"/>
      <c r="H132" s="1947"/>
      <c r="I132" s="1495" t="s">
        <v>65</v>
      </c>
      <c r="J132" s="1495" t="s">
        <v>1000</v>
      </c>
      <c r="K132" s="1497" t="s">
        <v>5847</v>
      </c>
      <c r="L132" s="2361">
        <v>500</v>
      </c>
      <c r="M132" s="1748" t="s">
        <v>5255</v>
      </c>
      <c r="N132" s="1843" t="s">
        <v>5848</v>
      </c>
      <c r="O132" s="2596">
        <v>2</v>
      </c>
    </row>
    <row r="133" spans="1:127" s="2150" customFormat="1" ht="65.25" customHeight="1">
      <c r="A133" s="3770"/>
      <c r="B133" s="1568" t="str">
        <f t="shared" si="6"/>
        <v>2200001932</v>
      </c>
      <c r="C133" s="1493" t="s">
        <v>92</v>
      </c>
      <c r="D133" s="2266"/>
      <c r="E133" s="1947"/>
      <c r="F133" s="1493" t="s">
        <v>16</v>
      </c>
      <c r="G133" s="2118"/>
      <c r="H133" s="2159"/>
      <c r="I133" s="1495" t="s">
        <v>65</v>
      </c>
      <c r="J133" s="1495" t="s">
        <v>1000</v>
      </c>
      <c r="K133" s="1497" t="s">
        <v>5849</v>
      </c>
      <c r="L133" s="2361">
        <v>235</v>
      </c>
      <c r="M133" s="2196" t="s">
        <v>5841</v>
      </c>
      <c r="N133" s="1775"/>
      <c r="O133" s="2595">
        <v>2</v>
      </c>
    </row>
    <row r="134" spans="1:127" s="1548" customFormat="1" ht="63.7" customHeight="1">
      <c r="A134" s="3770"/>
      <c r="B134" s="1568" t="str">
        <f t="shared" si="6"/>
        <v>2200001931</v>
      </c>
      <c r="C134" s="1493" t="s">
        <v>92</v>
      </c>
      <c r="D134" s="2266"/>
      <c r="E134" s="1947"/>
      <c r="F134" s="1493" t="s">
        <v>16</v>
      </c>
      <c r="G134" s="1851"/>
      <c r="H134" s="1947"/>
      <c r="I134" s="1495" t="s">
        <v>65</v>
      </c>
      <c r="J134" s="1495" t="s">
        <v>1000</v>
      </c>
      <c r="K134" s="1497" t="s">
        <v>5850</v>
      </c>
      <c r="L134" s="2361">
        <v>930</v>
      </c>
      <c r="M134" s="2196" t="s">
        <v>5255</v>
      </c>
      <c r="N134" s="1859"/>
      <c r="O134" s="2596">
        <v>2</v>
      </c>
    </row>
    <row r="135" spans="1:127" s="1548" customFormat="1" ht="58.6" customHeight="1">
      <c r="A135" s="3770"/>
      <c r="B135" s="1568" t="str">
        <f t="shared" si="6"/>
        <v>2200001935</v>
      </c>
      <c r="C135" s="1493" t="s">
        <v>92</v>
      </c>
      <c r="D135" s="2266"/>
      <c r="E135" s="1947"/>
      <c r="F135" s="1493" t="s">
        <v>16</v>
      </c>
      <c r="G135" s="1851"/>
      <c r="H135" s="1947"/>
      <c r="I135" s="1495" t="s">
        <v>65</v>
      </c>
      <c r="J135" s="1495" t="s">
        <v>1000</v>
      </c>
      <c r="K135" s="1497" t="s">
        <v>5851</v>
      </c>
      <c r="L135" s="2361">
        <v>830</v>
      </c>
      <c r="M135" s="2196" t="s">
        <v>5230</v>
      </c>
      <c r="N135" s="1859" t="s">
        <v>5691</v>
      </c>
      <c r="O135" s="2590">
        <v>2</v>
      </c>
      <c r="Q135" s="1493">
        <v>877</v>
      </c>
    </row>
    <row r="136" spans="1:127" s="1548" customFormat="1" ht="58.6" customHeight="1">
      <c r="A136" s="3769"/>
      <c r="B136" s="1568" t="str">
        <f t="shared" si="6"/>
        <v>2200001933</v>
      </c>
      <c r="C136" s="1493" t="s">
        <v>92</v>
      </c>
      <c r="D136" s="2266"/>
      <c r="E136" s="1947"/>
      <c r="F136" s="1493" t="s">
        <v>16</v>
      </c>
      <c r="G136" s="1851"/>
      <c r="H136" s="1947"/>
      <c r="I136" s="1495" t="s">
        <v>65</v>
      </c>
      <c r="J136" s="1495" t="s">
        <v>1000</v>
      </c>
      <c r="K136" s="1497" t="s">
        <v>5824</v>
      </c>
      <c r="L136" s="2361">
        <v>821</v>
      </c>
      <c r="M136" s="2196" t="s">
        <v>5230</v>
      </c>
      <c r="N136" s="1859" t="s">
        <v>5825</v>
      </c>
      <c r="O136" s="2590">
        <v>2</v>
      </c>
      <c r="Q136" s="1493">
        <v>4038</v>
      </c>
    </row>
    <row r="137" spans="1:127" s="1548" customFormat="1" ht="58.6" customHeight="1">
      <c r="A137" s="3768">
        <v>30</v>
      </c>
      <c r="B137" s="2279" t="str">
        <f t="shared" si="6"/>
        <v>2200001940</v>
      </c>
      <c r="C137" s="1902" t="s">
        <v>3546</v>
      </c>
      <c r="D137" s="2607">
        <v>4400</v>
      </c>
      <c r="E137" s="1921" t="s">
        <v>5843</v>
      </c>
      <c r="F137" s="1902" t="s">
        <v>20</v>
      </c>
      <c r="G137" s="1921" t="s">
        <v>5852</v>
      </c>
      <c r="H137" s="1909" t="s">
        <v>5853</v>
      </c>
      <c r="I137" s="1921" t="s">
        <v>65</v>
      </c>
      <c r="J137" s="1921" t="s">
        <v>1000</v>
      </c>
      <c r="K137" s="1845" t="s">
        <v>5835</v>
      </c>
      <c r="L137" s="2583">
        <v>4400</v>
      </c>
      <c r="M137" s="1790" t="s">
        <v>5836</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6" customHeight="1">
      <c r="A138" s="3769"/>
      <c r="B138" s="1568" t="str">
        <f t="shared" si="6"/>
        <v>2200001919</v>
      </c>
      <c r="C138" s="1493" t="s">
        <v>3546</v>
      </c>
      <c r="D138" s="2613"/>
      <c r="E138" s="1493" t="s">
        <v>20</v>
      </c>
      <c r="F138" s="1545"/>
      <c r="G138" s="1543"/>
      <c r="H138" s="2051"/>
      <c r="I138" s="1495" t="s">
        <v>65</v>
      </c>
      <c r="J138" s="1495" t="s">
        <v>1000</v>
      </c>
      <c r="K138" s="1605" t="s">
        <v>5854</v>
      </c>
      <c r="L138" s="2543">
        <v>100</v>
      </c>
      <c r="M138" s="1852" t="s">
        <v>5855</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6" customHeight="1">
      <c r="A139" s="3768">
        <v>31</v>
      </c>
      <c r="B139" s="1921" t="str">
        <f t="shared" si="6"/>
        <v>2000002844</v>
      </c>
      <c r="C139" s="2263" t="s">
        <v>3668</v>
      </c>
      <c r="D139" s="2456">
        <v>24200</v>
      </c>
      <c r="E139" s="2187" t="s">
        <v>5843</v>
      </c>
      <c r="F139" s="2263" t="s">
        <v>14</v>
      </c>
      <c r="G139" s="2187" t="s">
        <v>5856</v>
      </c>
      <c r="H139" s="2261" t="s">
        <v>5857</v>
      </c>
      <c r="I139" s="1921" t="s">
        <v>65</v>
      </c>
      <c r="J139" s="2187" t="s">
        <v>5858</v>
      </c>
      <c r="K139" s="2617" t="s">
        <v>5859</v>
      </c>
      <c r="L139" s="2564">
        <v>7140</v>
      </c>
      <c r="M139" s="2196" t="s">
        <v>5230</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6" customHeight="1">
      <c r="A140" s="3770"/>
      <c r="B140" s="1495" t="str">
        <f t="shared" ref="B140:B171" si="7">TEXT(LEFT(K140,10),"0000000000")</f>
        <v>2200001944</v>
      </c>
      <c r="C140" s="1545" t="s">
        <v>3668</v>
      </c>
      <c r="D140" s="1808"/>
      <c r="E140" s="1495"/>
      <c r="F140" s="1545" t="s">
        <v>14</v>
      </c>
      <c r="G140" s="1495"/>
      <c r="H140" s="1495"/>
      <c r="I140" s="1495" t="s">
        <v>65</v>
      </c>
      <c r="J140" s="1543" t="s">
        <v>5858</v>
      </c>
      <c r="K140" s="1600" t="s">
        <v>5860</v>
      </c>
      <c r="L140" s="2299">
        <v>4231</v>
      </c>
      <c r="M140" s="2196" t="s">
        <v>5230</v>
      </c>
      <c r="N140" s="1859"/>
      <c r="O140" s="2590">
        <v>2</v>
      </c>
      <c r="Q140" s="1493">
        <v>3971</v>
      </c>
      <c r="S140" s="1902">
        <f>Q140-R140</f>
        <v>3971</v>
      </c>
    </row>
    <row r="141" spans="1:127" s="1548" customFormat="1" ht="58.6" customHeight="1">
      <c r="A141" s="3770"/>
      <c r="B141" s="1495" t="str">
        <f t="shared" si="7"/>
        <v>2200001945</v>
      </c>
      <c r="C141" s="1545" t="s">
        <v>3668</v>
      </c>
      <c r="D141" s="1808"/>
      <c r="E141" s="1495"/>
      <c r="F141" s="1545" t="s">
        <v>14</v>
      </c>
      <c r="G141" s="1495"/>
      <c r="H141" s="1495"/>
      <c r="I141" s="1495" t="s">
        <v>65</v>
      </c>
      <c r="J141" s="1543" t="s">
        <v>5858</v>
      </c>
      <c r="K141" s="1600" t="s">
        <v>5861</v>
      </c>
      <c r="L141" s="2299">
        <v>4000</v>
      </c>
      <c r="M141" s="2196" t="s">
        <v>5230</v>
      </c>
      <c r="N141" s="1859"/>
      <c r="O141" s="2590">
        <v>2</v>
      </c>
      <c r="Q141" s="1493">
        <v>3998</v>
      </c>
      <c r="S141" s="1493">
        <f>Q141-R141</f>
        <v>3998</v>
      </c>
    </row>
    <row r="142" spans="1:127" s="1548" customFormat="1" ht="58.6" customHeight="1">
      <c r="A142" s="3770"/>
      <c r="B142" s="1495" t="str">
        <f t="shared" si="7"/>
        <v>2000002827</v>
      </c>
      <c r="C142" s="1545" t="s">
        <v>3668</v>
      </c>
      <c r="D142" s="1808"/>
      <c r="E142" s="1495"/>
      <c r="F142" s="1545" t="s">
        <v>14</v>
      </c>
      <c r="G142" s="1495"/>
      <c r="H142" s="1495"/>
      <c r="I142" s="1495" t="s">
        <v>65</v>
      </c>
      <c r="J142" s="1543" t="s">
        <v>5858</v>
      </c>
      <c r="K142" s="1600" t="s">
        <v>5862</v>
      </c>
      <c r="L142" s="2357">
        <v>400</v>
      </c>
      <c r="M142" s="2196" t="s">
        <v>5230</v>
      </c>
      <c r="N142" s="1859"/>
      <c r="O142" s="2590">
        <v>2</v>
      </c>
      <c r="Q142" s="1493">
        <v>366</v>
      </c>
      <c r="R142" s="1493"/>
      <c r="S142" s="1493">
        <f>Q142-R142</f>
        <v>366</v>
      </c>
    </row>
    <row r="143" spans="1:127" s="1548" customFormat="1" ht="58.6" customHeight="1">
      <c r="A143" s="3770"/>
      <c r="B143" s="1495" t="str">
        <f t="shared" si="7"/>
        <v>2000002835</v>
      </c>
      <c r="C143" s="1545" t="s">
        <v>3668</v>
      </c>
      <c r="D143" s="1808"/>
      <c r="E143" s="1495"/>
      <c r="F143" s="1545" t="s">
        <v>14</v>
      </c>
      <c r="G143" s="1495"/>
      <c r="H143" s="1495"/>
      <c r="I143" s="1495" t="s">
        <v>65</v>
      </c>
      <c r="J143" s="1543" t="s">
        <v>5858</v>
      </c>
      <c r="K143" s="1600" t="s">
        <v>5863</v>
      </c>
      <c r="L143" s="2357">
        <v>5000</v>
      </c>
      <c r="M143" s="1748" t="s">
        <v>5864</v>
      </c>
      <c r="N143" s="1859"/>
      <c r="O143" s="2590">
        <v>3</v>
      </c>
    </row>
    <row r="144" spans="1:127" s="1548" customFormat="1" ht="58.6" customHeight="1">
      <c r="A144" s="3770"/>
      <c r="B144" s="1495" t="str">
        <f t="shared" si="7"/>
        <v>2000002798</v>
      </c>
      <c r="C144" s="1545" t="s">
        <v>3668</v>
      </c>
      <c r="D144" s="2325"/>
      <c r="E144" s="1495"/>
      <c r="F144" s="1545" t="s">
        <v>14</v>
      </c>
      <c r="G144" s="1495"/>
      <c r="H144" s="1495"/>
      <c r="I144" s="1495" t="s">
        <v>65</v>
      </c>
      <c r="J144" s="1543" t="s">
        <v>5858</v>
      </c>
      <c r="K144" s="1600" t="s">
        <v>5865</v>
      </c>
      <c r="L144" s="2357">
        <v>350</v>
      </c>
      <c r="M144" s="2584" t="s">
        <v>5255</v>
      </c>
      <c r="N144" s="1859"/>
      <c r="O144" s="2590">
        <v>3</v>
      </c>
    </row>
    <row r="145" spans="1:127" s="1548" customFormat="1" ht="58.6" customHeight="1">
      <c r="A145" s="3770"/>
      <c r="B145" s="1495" t="str">
        <f t="shared" si="7"/>
        <v>2200001920</v>
      </c>
      <c r="C145" s="1545" t="s">
        <v>3668</v>
      </c>
      <c r="D145" s="1808"/>
      <c r="E145" s="1495"/>
      <c r="F145" s="1545" t="s">
        <v>14</v>
      </c>
      <c r="G145" s="1495"/>
      <c r="H145" s="1495"/>
      <c r="I145" s="1495" t="s">
        <v>65</v>
      </c>
      <c r="J145" s="1543" t="s">
        <v>5858</v>
      </c>
      <c r="K145" s="1600" t="s">
        <v>5866</v>
      </c>
      <c r="L145" s="2299">
        <v>3000</v>
      </c>
      <c r="M145" s="2196" t="s">
        <v>5230</v>
      </c>
      <c r="N145" s="1859"/>
      <c r="O145" s="2590">
        <v>2</v>
      </c>
      <c r="Q145" s="1493">
        <v>27642</v>
      </c>
      <c r="R145" s="1493">
        <v>13395</v>
      </c>
      <c r="S145" s="1493">
        <f>Q145-R145</f>
        <v>14247</v>
      </c>
    </row>
    <row r="146" spans="1:127" s="1548" customFormat="1" ht="58.6" customHeight="1">
      <c r="A146" s="3768">
        <v>32</v>
      </c>
      <c r="B146" s="1921" t="str">
        <f t="shared" si="7"/>
        <v>2000002852</v>
      </c>
      <c r="C146" s="1902" t="s">
        <v>258</v>
      </c>
      <c r="D146" s="2607">
        <v>4250</v>
      </c>
      <c r="E146" s="1921" t="s">
        <v>5867</v>
      </c>
      <c r="F146" s="1902" t="s">
        <v>16</v>
      </c>
      <c r="G146" s="1921" t="s">
        <v>5868</v>
      </c>
      <c r="H146" s="1909" t="s">
        <v>5853</v>
      </c>
      <c r="I146" s="1921" t="s">
        <v>65</v>
      </c>
      <c r="J146" s="1902" t="s">
        <v>164</v>
      </c>
      <c r="K146" s="1916" t="s">
        <v>5869</v>
      </c>
      <c r="L146" s="2179">
        <v>4000</v>
      </c>
      <c r="M146" s="1632" t="s">
        <v>5255</v>
      </c>
      <c r="N146" s="1862" t="s">
        <v>5870</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6" customHeight="1">
      <c r="A147" s="3769"/>
      <c r="B147" s="1495" t="str">
        <f t="shared" si="7"/>
        <v>2200001870</v>
      </c>
      <c r="C147" s="1493" t="s">
        <v>258</v>
      </c>
      <c r="D147" s="1808"/>
      <c r="E147" s="1495"/>
      <c r="F147" s="1493" t="s">
        <v>16</v>
      </c>
      <c r="G147" s="1495"/>
      <c r="H147" s="1495"/>
      <c r="I147" s="1495" t="s">
        <v>65</v>
      </c>
      <c r="J147" s="1495" t="s">
        <v>142</v>
      </c>
      <c r="K147" s="1600" t="s">
        <v>5871</v>
      </c>
      <c r="L147" s="2299">
        <v>200</v>
      </c>
      <c r="M147" s="2196" t="s">
        <v>5841</v>
      </c>
      <c r="N147" s="1859"/>
      <c r="O147" s="1745">
        <v>2</v>
      </c>
      <c r="Q147" s="1493"/>
      <c r="R147" s="1493"/>
      <c r="S147" s="1493"/>
    </row>
    <row r="148" spans="1:127" s="1548" customFormat="1" ht="69.8" customHeight="1">
      <c r="A148" s="3768">
        <v>33</v>
      </c>
      <c r="B148" s="1921" t="str">
        <f t="shared" si="7"/>
        <v>2000002814</v>
      </c>
      <c r="C148" s="1902" t="s">
        <v>134</v>
      </c>
      <c r="D148" s="2607">
        <v>3000</v>
      </c>
      <c r="E148" s="1921" t="s">
        <v>5867</v>
      </c>
      <c r="F148" s="1902" t="s">
        <v>22</v>
      </c>
      <c r="G148" s="1921" t="s">
        <v>5872</v>
      </c>
      <c r="H148" s="1909" t="s">
        <v>5873</v>
      </c>
      <c r="I148" s="1921" t="s">
        <v>65</v>
      </c>
      <c r="J148" s="1921" t="s">
        <v>117</v>
      </c>
      <c r="K148" s="1845" t="s">
        <v>5874</v>
      </c>
      <c r="L148" s="2583">
        <v>1000</v>
      </c>
      <c r="M148" s="2196" t="s">
        <v>5230</v>
      </c>
      <c r="N148" s="1859" t="s">
        <v>5691</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6" customHeight="1">
      <c r="A149" s="3770"/>
      <c r="B149" s="1495" t="str">
        <f t="shared" si="7"/>
        <v>2000002833</v>
      </c>
      <c r="C149" s="1493" t="s">
        <v>134</v>
      </c>
      <c r="D149" s="1808"/>
      <c r="E149" s="1495"/>
      <c r="F149" s="1493" t="s">
        <v>22</v>
      </c>
      <c r="G149" s="1495"/>
      <c r="H149" s="1495"/>
      <c r="I149" s="1495" t="s">
        <v>65</v>
      </c>
      <c r="J149" s="1495" t="s">
        <v>117</v>
      </c>
      <c r="K149" s="1600" t="s">
        <v>5875</v>
      </c>
      <c r="L149" s="2357">
        <v>500</v>
      </c>
      <c r="M149" s="2196" t="s">
        <v>5230</v>
      </c>
      <c r="N149" s="1859" t="s">
        <v>5691</v>
      </c>
      <c r="O149" s="1745">
        <v>2</v>
      </c>
      <c r="Q149" s="1493">
        <v>526</v>
      </c>
      <c r="R149" s="1493"/>
      <c r="S149" s="1493">
        <f>Q149-R149</f>
        <v>526</v>
      </c>
    </row>
    <row r="150" spans="1:127" s="1548" customFormat="1" ht="58.6" customHeight="1">
      <c r="A150" s="3769"/>
      <c r="B150" s="1495" t="str">
        <f t="shared" si="7"/>
        <v>2000002786</v>
      </c>
      <c r="C150" s="1493" t="s">
        <v>134</v>
      </c>
      <c r="D150" s="1808"/>
      <c r="E150" s="1495"/>
      <c r="F150" s="1493" t="s">
        <v>22</v>
      </c>
      <c r="G150" s="1495"/>
      <c r="H150" s="1495"/>
      <c r="I150" s="1495" t="s">
        <v>65</v>
      </c>
      <c r="J150" s="1495" t="s">
        <v>117</v>
      </c>
      <c r="K150" s="1600" t="s">
        <v>5876</v>
      </c>
      <c r="L150" s="2357">
        <v>1500</v>
      </c>
      <c r="M150" s="2584" t="s">
        <v>5230</v>
      </c>
      <c r="N150" s="1859" t="s">
        <v>5691</v>
      </c>
      <c r="O150" s="1745">
        <v>2</v>
      </c>
      <c r="Q150" s="1493">
        <v>2319</v>
      </c>
      <c r="R150" s="1493"/>
      <c r="S150" s="1493">
        <f>Q150-R150</f>
        <v>2319</v>
      </c>
    </row>
    <row r="151" spans="1:127" s="2150" customFormat="1" ht="68.95" customHeight="1">
      <c r="A151" s="3782">
        <v>34</v>
      </c>
      <c r="B151" s="1921" t="str">
        <f t="shared" si="7"/>
        <v>2000002746</v>
      </c>
      <c r="C151" s="1921" t="s">
        <v>3440</v>
      </c>
      <c r="D151" s="2614">
        <v>8500</v>
      </c>
      <c r="E151" s="1921" t="s">
        <v>5877</v>
      </c>
      <c r="F151" s="1921" t="s">
        <v>16</v>
      </c>
      <c r="G151" s="1921" t="s">
        <v>5878</v>
      </c>
      <c r="H151" s="1909" t="s">
        <v>5879</v>
      </c>
      <c r="I151" s="1921" t="s">
        <v>65</v>
      </c>
      <c r="J151" s="1921" t="s">
        <v>164</v>
      </c>
      <c r="K151" s="1845" t="s">
        <v>5880</v>
      </c>
      <c r="L151" s="2615">
        <v>500</v>
      </c>
      <c r="M151" s="2584" t="s">
        <v>5881</v>
      </c>
      <c r="N151" s="1916"/>
      <c r="O151" s="2590">
        <v>3</v>
      </c>
    </row>
    <row r="152" spans="1:127" s="1548" customFormat="1" ht="73.55" customHeight="1">
      <c r="A152" s="3782"/>
      <c r="B152" s="1921" t="str">
        <f t="shared" si="7"/>
        <v>2000002791</v>
      </c>
      <c r="C152" s="1495" t="s">
        <v>3440</v>
      </c>
      <c r="D152" s="2572"/>
      <c r="E152" s="1947"/>
      <c r="F152" s="1872" t="s">
        <v>16</v>
      </c>
      <c r="G152" s="2118"/>
      <c r="H152" s="2611"/>
      <c r="I152" s="1921" t="s">
        <v>65</v>
      </c>
      <c r="J152" s="1921" t="s">
        <v>164</v>
      </c>
      <c r="K152" s="2402" t="s">
        <v>5882</v>
      </c>
      <c r="L152" s="2616">
        <v>134</v>
      </c>
      <c r="M152" s="2196" t="s">
        <v>5230</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83"/>
      <c r="B153" s="1495" t="str">
        <f t="shared" si="7"/>
        <v>2000002792</v>
      </c>
      <c r="C153" s="1495" t="s">
        <v>3440</v>
      </c>
      <c r="D153" s="2572"/>
      <c r="E153" s="1947"/>
      <c r="F153" s="1872" t="s">
        <v>16</v>
      </c>
      <c r="G153" s="1851"/>
      <c r="H153" s="1947"/>
      <c r="I153" s="1495" t="s">
        <v>65</v>
      </c>
      <c r="J153" s="1495" t="s">
        <v>164</v>
      </c>
      <c r="K153" s="1628" t="s">
        <v>5883</v>
      </c>
      <c r="L153" s="2361">
        <v>7990</v>
      </c>
      <c r="M153" s="2448" t="s">
        <v>5230</v>
      </c>
      <c r="N153" s="1843" t="s">
        <v>5884</v>
      </c>
      <c r="O153" s="2596">
        <v>3</v>
      </c>
      <c r="Q153" s="1493">
        <v>8927</v>
      </c>
      <c r="R153" s="1493">
        <v>995</v>
      </c>
      <c r="S153" s="1493">
        <f>Q153-R153</f>
        <v>7932</v>
      </c>
    </row>
    <row r="154" spans="1:127" s="2150" customFormat="1" ht="68.95" customHeight="1">
      <c r="A154" s="3768">
        <v>35</v>
      </c>
      <c r="B154" s="1921" t="str">
        <f t="shared" si="7"/>
        <v>2000002834</v>
      </c>
      <c r="C154" s="1902" t="s">
        <v>252</v>
      </c>
      <c r="D154" s="2607">
        <v>4000</v>
      </c>
      <c r="E154" s="1921" t="s">
        <v>5885</v>
      </c>
      <c r="F154" s="1902" t="s">
        <v>20</v>
      </c>
      <c r="G154" s="1921" t="s">
        <v>5886</v>
      </c>
      <c r="H154" s="1909" t="s">
        <v>5853</v>
      </c>
      <c r="I154" s="1921" t="s">
        <v>65</v>
      </c>
      <c r="J154" s="1921" t="s">
        <v>1179</v>
      </c>
      <c r="K154" s="1845" t="s">
        <v>5887</v>
      </c>
      <c r="L154" s="2583">
        <v>3000</v>
      </c>
      <c r="M154" s="1790" t="s">
        <v>5255</v>
      </c>
      <c r="N154" s="1775"/>
      <c r="O154" s="1745">
        <v>2</v>
      </c>
    </row>
    <row r="155" spans="1:127" s="1548" customFormat="1" ht="58.6" customHeight="1">
      <c r="A155" s="3770"/>
      <c r="B155" s="1568" t="str">
        <f t="shared" si="7"/>
        <v>2200001937</v>
      </c>
      <c r="C155" s="1493" t="s">
        <v>252</v>
      </c>
      <c r="D155" s="1808"/>
      <c r="E155" s="1748"/>
      <c r="F155" s="1902" t="s">
        <v>20</v>
      </c>
      <c r="G155" s="1495"/>
      <c r="H155" s="1495"/>
      <c r="I155" s="1495" t="s">
        <v>65</v>
      </c>
      <c r="J155" s="1495" t="s">
        <v>1179</v>
      </c>
      <c r="K155" s="1600" t="s">
        <v>5888</v>
      </c>
      <c r="L155" s="2357">
        <v>530</v>
      </c>
      <c r="M155" s="1790" t="s">
        <v>5255</v>
      </c>
      <c r="N155" s="1843" t="s">
        <v>5889</v>
      </c>
      <c r="O155" s="2590">
        <v>2</v>
      </c>
    </row>
    <row r="156" spans="1:127" s="1548" customFormat="1" ht="58.6" customHeight="1">
      <c r="A156" s="3769"/>
      <c r="B156" s="1568" t="str">
        <f t="shared" si="7"/>
        <v>2200001940</v>
      </c>
      <c r="C156" s="1493" t="s">
        <v>252</v>
      </c>
      <c r="D156" s="1808"/>
      <c r="E156" s="1748"/>
      <c r="F156" s="1902" t="s">
        <v>20</v>
      </c>
      <c r="G156" s="1495"/>
      <c r="H156" s="1495"/>
      <c r="I156" s="1495" t="s">
        <v>65</v>
      </c>
      <c r="J156" s="1495" t="s">
        <v>1179</v>
      </c>
      <c r="K156" s="1600" t="s">
        <v>5890</v>
      </c>
      <c r="L156" s="2357">
        <v>500</v>
      </c>
      <c r="M156" s="1790" t="s">
        <v>5836</v>
      </c>
      <c r="N156" s="1843"/>
      <c r="O156" s="2590">
        <v>2</v>
      </c>
    </row>
    <row r="157" spans="1:127" s="1548" customFormat="1" ht="58.6" customHeight="1">
      <c r="A157" s="3768">
        <v>36</v>
      </c>
      <c r="B157" s="1568" t="str">
        <f t="shared" si="7"/>
        <v>2200001920</v>
      </c>
      <c r="C157" s="1902" t="s">
        <v>3530</v>
      </c>
      <c r="D157" s="2607">
        <v>4350</v>
      </c>
      <c r="E157" s="1921" t="s">
        <v>5891</v>
      </c>
      <c r="F157" s="1902" t="s">
        <v>16</v>
      </c>
      <c r="G157" s="1921" t="s">
        <v>5892</v>
      </c>
      <c r="H157" s="1909" t="s">
        <v>5893</v>
      </c>
      <c r="I157" s="1921" t="s">
        <v>65</v>
      </c>
      <c r="J157" s="1921" t="s">
        <v>1179</v>
      </c>
      <c r="K157" s="2617" t="s">
        <v>5894</v>
      </c>
      <c r="L157" s="2337">
        <v>1080</v>
      </c>
      <c r="M157" s="2196" t="s">
        <v>5230</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6" customHeight="1">
      <c r="A158" s="3769"/>
      <c r="B158" s="1568" t="str">
        <f t="shared" si="7"/>
        <v>2200001948</v>
      </c>
      <c r="C158" s="1493" t="s">
        <v>3530</v>
      </c>
      <c r="D158" s="1494"/>
      <c r="E158" s="1495"/>
      <c r="F158" s="1493" t="s">
        <v>16</v>
      </c>
      <c r="G158" s="1495"/>
      <c r="H158" s="1748"/>
      <c r="I158" s="1495" t="s">
        <v>65</v>
      </c>
      <c r="J158" s="1495" t="s">
        <v>1179</v>
      </c>
      <c r="K158" s="1770" t="s">
        <v>5895</v>
      </c>
      <c r="L158" s="2183">
        <v>3265</v>
      </c>
      <c r="M158" s="1493" t="s">
        <v>5392</v>
      </c>
      <c r="N158" s="1859"/>
      <c r="O158" s="2590">
        <v>3</v>
      </c>
      <c r="Q158" s="1493"/>
      <c r="R158" s="1493"/>
      <c r="S158" s="1493"/>
    </row>
    <row r="159" spans="1:127" s="1548" customFormat="1" ht="58.6" customHeight="1">
      <c r="A159" s="3768">
        <v>37</v>
      </c>
      <c r="B159" s="1921" t="str">
        <f t="shared" si="7"/>
        <v>2000002839</v>
      </c>
      <c r="C159" s="1902" t="s">
        <v>5896</v>
      </c>
      <c r="D159" s="2607">
        <v>11940</v>
      </c>
      <c r="E159" s="1921" t="s">
        <v>5897</v>
      </c>
      <c r="F159" s="1902" t="s">
        <v>16</v>
      </c>
      <c r="G159" s="1921" t="s">
        <v>5898</v>
      </c>
      <c r="H159" s="1909" t="s">
        <v>5899</v>
      </c>
      <c r="I159" s="1921" t="s">
        <v>65</v>
      </c>
      <c r="J159" s="1921" t="s">
        <v>106</v>
      </c>
      <c r="K159" s="1845" t="s">
        <v>5900</v>
      </c>
      <c r="L159" s="2583">
        <v>10000</v>
      </c>
      <c r="M159" s="1909" t="s">
        <v>5255</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6" customHeight="1">
      <c r="A160" s="3770"/>
      <c r="B160" s="1495" t="str">
        <f t="shared" si="7"/>
        <v>2000002840</v>
      </c>
      <c r="C160" s="1493" t="s">
        <v>5896</v>
      </c>
      <c r="D160" s="1808"/>
      <c r="E160" s="1495"/>
      <c r="F160" s="1493" t="s">
        <v>16</v>
      </c>
      <c r="G160" s="1495"/>
      <c r="H160" s="1495"/>
      <c r="I160" s="1495" t="s">
        <v>65</v>
      </c>
      <c r="J160" s="1495" t="s">
        <v>106</v>
      </c>
      <c r="K160" s="1600" t="s">
        <v>5901</v>
      </c>
      <c r="L160" s="2357">
        <v>1000</v>
      </c>
      <c r="M160" s="2196" t="s">
        <v>5230</v>
      </c>
      <c r="N160" s="1775" t="s">
        <v>5691</v>
      </c>
      <c r="O160" s="2590">
        <v>3</v>
      </c>
      <c r="Q160" s="1493">
        <v>971</v>
      </c>
      <c r="R160" s="1493"/>
      <c r="S160" s="1493">
        <f>Q160-R160</f>
        <v>971</v>
      </c>
    </row>
    <row r="161" spans="1:127" s="1548" customFormat="1" ht="58.6" customHeight="1">
      <c r="A161" s="3769"/>
      <c r="B161" s="1495" t="str">
        <f t="shared" si="7"/>
        <v>2000002841</v>
      </c>
      <c r="C161" s="1493" t="s">
        <v>5896</v>
      </c>
      <c r="D161" s="1808"/>
      <c r="E161" s="1495"/>
      <c r="F161" s="1493" t="s">
        <v>16</v>
      </c>
      <c r="G161" s="1495"/>
      <c r="H161" s="1495"/>
      <c r="I161" s="1495" t="s">
        <v>65</v>
      </c>
      <c r="J161" s="1495" t="s">
        <v>106</v>
      </c>
      <c r="K161" s="1600" t="s">
        <v>5902</v>
      </c>
      <c r="L161" s="2357">
        <v>1000</v>
      </c>
      <c r="M161" s="2196" t="s">
        <v>5230</v>
      </c>
      <c r="N161" s="1775" t="s">
        <v>5691</v>
      </c>
      <c r="O161" s="2590">
        <v>3</v>
      </c>
      <c r="Q161" s="1493">
        <v>1014</v>
      </c>
      <c r="R161" s="1493"/>
      <c r="S161" s="1493">
        <f>Q161-R161</f>
        <v>1014</v>
      </c>
    </row>
    <row r="162" spans="1:127" s="1548" customFormat="1" ht="58.6" customHeight="1">
      <c r="A162" s="3770">
        <v>38</v>
      </c>
      <c r="B162" s="1568" t="str">
        <f t="shared" si="7"/>
        <v>2000002832</v>
      </c>
      <c r="C162" s="1902" t="s">
        <v>4824</v>
      </c>
      <c r="D162" s="2488">
        <v>5850</v>
      </c>
      <c r="E162" s="1921" t="s">
        <v>5903</v>
      </c>
      <c r="F162" s="1902" t="s">
        <v>18</v>
      </c>
      <c r="G162" s="1921" t="s">
        <v>5904</v>
      </c>
      <c r="H162" s="1909" t="s">
        <v>5905</v>
      </c>
      <c r="I162" s="1921" t="s">
        <v>65</v>
      </c>
      <c r="J162" s="1921" t="s">
        <v>106</v>
      </c>
      <c r="K162" s="1845" t="s">
        <v>5906</v>
      </c>
      <c r="L162" s="2583">
        <v>500</v>
      </c>
      <c r="M162" s="2196" t="s">
        <v>5230</v>
      </c>
      <c r="N162" s="1859" t="s">
        <v>5691</v>
      </c>
      <c r="O162" s="2590">
        <v>3</v>
      </c>
      <c r="Q162" s="1493">
        <v>512</v>
      </c>
      <c r="R162" s="1493"/>
      <c r="S162" s="1493">
        <f>Q162-R162</f>
        <v>512</v>
      </c>
    </row>
    <row r="163" spans="1:127" s="1548" customFormat="1" ht="58.6" customHeight="1">
      <c r="A163" s="3770"/>
      <c r="B163" s="1568" t="str">
        <f t="shared" si="7"/>
        <v>2000002849</v>
      </c>
      <c r="C163" s="1493" t="s">
        <v>4824</v>
      </c>
      <c r="D163" s="1808"/>
      <c r="E163" s="1495"/>
      <c r="F163" s="1493" t="s">
        <v>18</v>
      </c>
      <c r="G163" s="1495"/>
      <c r="H163" s="1495"/>
      <c r="I163" s="1495" t="s">
        <v>65</v>
      </c>
      <c r="J163" s="1495" t="s">
        <v>106</v>
      </c>
      <c r="K163" s="1600" t="s">
        <v>5907</v>
      </c>
      <c r="L163" s="2357">
        <v>2410</v>
      </c>
      <c r="M163" s="1495" t="s">
        <v>5255</v>
      </c>
      <c r="N163" s="1859"/>
      <c r="O163" s="2590">
        <v>3</v>
      </c>
      <c r="Q163" s="1493"/>
      <c r="R163" s="1493"/>
      <c r="S163" s="1493"/>
    </row>
    <row r="164" spans="1:127" s="1548" customFormat="1" ht="58.6" customHeight="1">
      <c r="A164" s="3770"/>
      <c r="B164" s="1568" t="str">
        <f t="shared" si="7"/>
        <v>2000002851</v>
      </c>
      <c r="C164" s="1493" t="s">
        <v>4824</v>
      </c>
      <c r="D164" s="1808"/>
      <c r="E164" s="1495"/>
      <c r="F164" s="1493" t="s">
        <v>18</v>
      </c>
      <c r="G164" s="1495"/>
      <c r="H164" s="1495"/>
      <c r="I164" s="1495" t="s">
        <v>65</v>
      </c>
      <c r="J164" s="1495" t="s">
        <v>106</v>
      </c>
      <c r="K164" s="1600" t="s">
        <v>5908</v>
      </c>
      <c r="L164" s="2357">
        <v>1500</v>
      </c>
      <c r="M164" s="1495" t="s">
        <v>5255</v>
      </c>
      <c r="N164" s="1859"/>
      <c r="O164" s="2590">
        <v>3</v>
      </c>
      <c r="Q164" s="1493"/>
      <c r="R164" s="1493"/>
      <c r="S164" s="1493"/>
    </row>
    <row r="165" spans="1:127" s="1548" customFormat="1" ht="58.6" customHeight="1">
      <c r="A165" s="3770"/>
      <c r="B165" s="1568" t="str">
        <f t="shared" si="7"/>
        <v>2000002848</v>
      </c>
      <c r="C165" s="1493" t="s">
        <v>4824</v>
      </c>
      <c r="D165" s="1808"/>
      <c r="E165" s="1495"/>
      <c r="F165" s="1493" t="s">
        <v>18</v>
      </c>
      <c r="G165" s="1495"/>
      <c r="H165" s="1495"/>
      <c r="I165" s="1495" t="s">
        <v>65</v>
      </c>
      <c r="J165" s="1495" t="s">
        <v>164</v>
      </c>
      <c r="K165" s="1600" t="s">
        <v>5909</v>
      </c>
      <c r="L165" s="2357">
        <v>1100</v>
      </c>
      <c r="M165" s="1495" t="s">
        <v>5255</v>
      </c>
      <c r="N165" s="1859"/>
      <c r="O165" s="2590">
        <v>3</v>
      </c>
      <c r="Q165" s="1493"/>
      <c r="R165" s="1493"/>
      <c r="S165" s="1493"/>
    </row>
    <row r="166" spans="1:127" s="1548" customFormat="1" ht="75.75" customHeight="1">
      <c r="A166" s="3770"/>
      <c r="B166" s="1568" t="str">
        <f t="shared" si="7"/>
        <v>2000002847</v>
      </c>
      <c r="C166" s="1493" t="s">
        <v>4824</v>
      </c>
      <c r="D166" s="1808"/>
      <c r="E166" s="1495"/>
      <c r="F166" s="1493" t="s">
        <v>18</v>
      </c>
      <c r="G166" s="1495"/>
      <c r="H166" s="1495"/>
      <c r="I166" s="1495" t="s">
        <v>65</v>
      </c>
      <c r="J166" s="1495" t="s">
        <v>164</v>
      </c>
      <c r="K166" s="1600" t="s">
        <v>5910</v>
      </c>
      <c r="L166" s="2357">
        <v>500</v>
      </c>
      <c r="M166" s="1495" t="s">
        <v>5255</v>
      </c>
      <c r="N166" s="1859"/>
      <c r="O166" s="2590">
        <v>3</v>
      </c>
      <c r="Q166" s="1493"/>
      <c r="R166" s="1493"/>
      <c r="S166" s="1493"/>
    </row>
    <row r="167" spans="1:127" s="1548" customFormat="1" ht="75.75" customHeight="1">
      <c r="A167" s="2436">
        <v>39</v>
      </c>
      <c r="B167" s="1568" t="str">
        <f t="shared" si="7"/>
        <v>2200001920</v>
      </c>
      <c r="C167" s="1902" t="s">
        <v>125</v>
      </c>
      <c r="D167" s="2607">
        <v>4250</v>
      </c>
      <c r="E167" s="1921" t="s">
        <v>5911</v>
      </c>
      <c r="F167" s="1902" t="s">
        <v>22</v>
      </c>
      <c r="G167" s="1921" t="s">
        <v>5912</v>
      </c>
      <c r="H167" s="1909" t="s">
        <v>5913</v>
      </c>
      <c r="I167" s="1921" t="s">
        <v>65</v>
      </c>
      <c r="J167" s="1921" t="s">
        <v>1179</v>
      </c>
      <c r="K167" s="1845" t="s">
        <v>5914</v>
      </c>
      <c r="L167" s="2337">
        <v>4250</v>
      </c>
      <c r="M167" s="2196" t="s">
        <v>5230</v>
      </c>
      <c r="N167" s="1862" t="s">
        <v>5915</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76">
        <v>40</v>
      </c>
      <c r="B168" s="2279" t="str">
        <f t="shared" si="7"/>
        <v>2200001953</v>
      </c>
      <c r="C168" s="1902" t="s">
        <v>3963</v>
      </c>
      <c r="D168" s="2607">
        <v>7000</v>
      </c>
      <c r="E168" s="1921" t="s">
        <v>5916</v>
      </c>
      <c r="F168" s="1902" t="s">
        <v>16</v>
      </c>
      <c r="G168" s="1921" t="s">
        <v>5917</v>
      </c>
      <c r="H168" s="1909" t="s">
        <v>5913</v>
      </c>
      <c r="I168" s="1921" t="s">
        <v>65</v>
      </c>
      <c r="J168" s="1921" t="s">
        <v>1179</v>
      </c>
      <c r="K168" s="2003" t="s">
        <v>5918</v>
      </c>
      <c r="L168" s="2179">
        <v>1000</v>
      </c>
      <c r="M168" s="2196" t="s">
        <v>5230</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35" customHeight="1">
      <c r="A169" s="3776"/>
      <c r="B169" s="1568" t="str">
        <f t="shared" si="7"/>
        <v>2200001949</v>
      </c>
      <c r="C169" s="1493" t="s">
        <v>3963</v>
      </c>
      <c r="D169" s="1494"/>
      <c r="E169" s="1495" t="s">
        <v>166</v>
      </c>
      <c r="F169" s="1493" t="s">
        <v>16</v>
      </c>
      <c r="G169" s="1495"/>
      <c r="H169" s="1909"/>
      <c r="I169" s="1495" t="s">
        <v>65</v>
      </c>
      <c r="J169" s="1773" t="s">
        <v>1179</v>
      </c>
      <c r="K169" s="1770" t="s">
        <v>5919</v>
      </c>
      <c r="L169" s="2622">
        <v>1709</v>
      </c>
      <c r="M169" s="2196" t="s">
        <v>5230</v>
      </c>
      <c r="O169" s="1548">
        <v>3</v>
      </c>
      <c r="Q169" s="1493"/>
      <c r="R169" s="1493"/>
      <c r="S169" s="1493"/>
    </row>
    <row r="170" spans="1:127" s="1548" customFormat="1" ht="58.6" customHeight="1">
      <c r="A170" s="3776"/>
      <c r="B170" s="1568" t="str">
        <f t="shared" si="7"/>
        <v>2200001950</v>
      </c>
      <c r="C170" s="1493" t="s">
        <v>3963</v>
      </c>
      <c r="D170" s="1494"/>
      <c r="E170" s="1495"/>
      <c r="F170" s="1493" t="s">
        <v>16</v>
      </c>
      <c r="G170" s="1495"/>
      <c r="H170" s="1909"/>
      <c r="I170" s="1495" t="s">
        <v>65</v>
      </c>
      <c r="J170" s="1773" t="s">
        <v>1179</v>
      </c>
      <c r="K170" s="1770" t="s">
        <v>5920</v>
      </c>
      <c r="L170" s="2622">
        <v>3172</v>
      </c>
      <c r="M170" s="2196" t="s">
        <v>5230</v>
      </c>
      <c r="O170" s="1548">
        <v>3</v>
      </c>
      <c r="Q170" s="1493"/>
      <c r="R170" s="1493"/>
      <c r="S170" s="1493"/>
    </row>
    <row r="171" spans="1:127" s="1548" customFormat="1" ht="57.1" customHeight="1">
      <c r="A171" s="3776"/>
      <c r="B171" s="1568" t="str">
        <f t="shared" si="7"/>
        <v>2200001952</v>
      </c>
      <c r="C171" s="1493" t="s">
        <v>3963</v>
      </c>
      <c r="D171" s="1494"/>
      <c r="E171" s="1495"/>
      <c r="F171" s="1493" t="s">
        <v>16</v>
      </c>
      <c r="G171" s="1495"/>
      <c r="H171" s="1909"/>
      <c r="I171" s="1495" t="s">
        <v>65</v>
      </c>
      <c r="J171" s="1495" t="s">
        <v>1179</v>
      </c>
      <c r="K171" s="1994" t="s">
        <v>5921</v>
      </c>
      <c r="L171" s="2183">
        <v>916</v>
      </c>
      <c r="M171" s="2196" t="s">
        <v>5230</v>
      </c>
      <c r="O171" s="1548">
        <v>3</v>
      </c>
      <c r="Q171" s="1493"/>
      <c r="R171" s="1493"/>
      <c r="S171" s="1493"/>
    </row>
    <row r="172" spans="1:127" s="1548" customFormat="1" ht="75.75" customHeight="1">
      <c r="A172" s="2582">
        <v>41</v>
      </c>
      <c r="B172" s="1568" t="str">
        <f t="shared" ref="B172:B206" si="8">TEXT(LEFT(K172,10),"0000000000")</f>
        <v>2200001920</v>
      </c>
      <c r="C172" s="1902" t="s">
        <v>2962</v>
      </c>
      <c r="D172" s="2607">
        <v>6080</v>
      </c>
      <c r="E172" s="1921" t="s">
        <v>5922</v>
      </c>
      <c r="F172" s="1902" t="s">
        <v>16</v>
      </c>
      <c r="G172" s="1921" t="s">
        <v>5923</v>
      </c>
      <c r="H172" s="1909" t="s">
        <v>5913</v>
      </c>
      <c r="I172" s="1921" t="s">
        <v>65</v>
      </c>
      <c r="J172" s="1921" t="s">
        <v>1179</v>
      </c>
      <c r="K172" s="1845" t="s">
        <v>5894</v>
      </c>
      <c r="L172" s="2337">
        <v>6000</v>
      </c>
      <c r="M172" s="2196" t="s">
        <v>5230</v>
      </c>
      <c r="O172" s="1548">
        <v>3</v>
      </c>
      <c r="Q172" s="1902">
        <v>27642</v>
      </c>
      <c r="R172" s="1902">
        <v>13395</v>
      </c>
      <c r="S172" s="1902">
        <f>Q172-R172</f>
        <v>14247</v>
      </c>
    </row>
    <row r="173" spans="1:127" s="2150" customFormat="1" ht="58.6" customHeight="1">
      <c r="A173" s="3768">
        <v>42</v>
      </c>
      <c r="B173" s="1921" t="str">
        <f t="shared" si="8"/>
        <v>2000002842</v>
      </c>
      <c r="C173" s="1902" t="s">
        <v>260</v>
      </c>
      <c r="D173" s="2607">
        <v>3750</v>
      </c>
      <c r="E173" s="1921" t="s">
        <v>5924</v>
      </c>
      <c r="F173" s="1902" t="s">
        <v>20</v>
      </c>
      <c r="G173" s="1921" t="s">
        <v>5925</v>
      </c>
      <c r="H173" s="2261" t="s">
        <v>5926</v>
      </c>
      <c r="I173" s="1921" t="s">
        <v>65</v>
      </c>
      <c r="J173" s="1921" t="s">
        <v>240</v>
      </c>
      <c r="K173" s="1845" t="s">
        <v>5927</v>
      </c>
      <c r="L173" s="2583">
        <v>2000</v>
      </c>
      <c r="M173" s="2196" t="s">
        <v>5230</v>
      </c>
      <c r="N173" s="1862"/>
      <c r="O173" s="1745">
        <v>3</v>
      </c>
      <c r="Q173" s="1902">
        <v>4549</v>
      </c>
      <c r="R173" s="1902"/>
      <c r="S173" s="1902">
        <f>Q173-R173</f>
        <v>4549</v>
      </c>
    </row>
    <row r="174" spans="1:127" s="1559" customFormat="1" ht="73.55" customHeight="1">
      <c r="A174" s="3770"/>
      <c r="B174" s="1543" t="str">
        <f t="shared" si="8"/>
        <v>2000002877</v>
      </c>
      <c r="C174" s="1545" t="s">
        <v>260</v>
      </c>
      <c r="D174" s="2621"/>
      <c r="E174" s="1543"/>
      <c r="F174" s="1545" t="s">
        <v>20</v>
      </c>
      <c r="G174" s="1899"/>
      <c r="H174" s="2051"/>
      <c r="I174" s="1900" t="s">
        <v>65</v>
      </c>
      <c r="J174" s="1543" t="s">
        <v>142</v>
      </c>
      <c r="K174" s="1605" t="s">
        <v>5928</v>
      </c>
      <c r="L174" s="2543">
        <v>1750</v>
      </c>
      <c r="M174" s="2051" t="s">
        <v>5929</v>
      </c>
      <c r="N174" s="2544"/>
      <c r="O174" s="2591">
        <v>3</v>
      </c>
    </row>
    <row r="175" spans="1:127" s="1559" customFormat="1" ht="73.55" customHeight="1">
      <c r="A175" s="3768">
        <v>43</v>
      </c>
      <c r="B175" s="1568" t="str">
        <f t="shared" si="8"/>
        <v>2000002872</v>
      </c>
      <c r="C175" s="1902" t="s">
        <v>4935</v>
      </c>
      <c r="D175" s="2607">
        <v>3600</v>
      </c>
      <c r="E175" s="1921" t="s">
        <v>5930</v>
      </c>
      <c r="F175" s="1902" t="s">
        <v>24</v>
      </c>
      <c r="G175" s="1921" t="s">
        <v>5931</v>
      </c>
      <c r="H175" s="1909" t="s">
        <v>5926</v>
      </c>
      <c r="I175" s="1921" t="s">
        <v>65</v>
      </c>
      <c r="J175" s="1921" t="s">
        <v>117</v>
      </c>
      <c r="K175" s="2194" t="s">
        <v>5932</v>
      </c>
      <c r="L175" s="2583">
        <v>2400</v>
      </c>
      <c r="M175" s="2584" t="s">
        <v>5255</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5" customHeight="1">
      <c r="A176" s="3770"/>
      <c r="B176" s="1568" t="str">
        <f t="shared" si="8"/>
        <v>2000002802</v>
      </c>
      <c r="C176" s="1493" t="s">
        <v>4935</v>
      </c>
      <c r="D176" s="2325"/>
      <c r="E176" s="1495"/>
      <c r="F176" s="1493" t="s">
        <v>24</v>
      </c>
      <c r="G176" s="1495"/>
      <c r="H176" s="1495"/>
      <c r="I176" s="1495" t="s">
        <v>65</v>
      </c>
      <c r="J176" s="1495" t="s">
        <v>117</v>
      </c>
      <c r="K176" s="1770" t="s">
        <v>5933</v>
      </c>
      <c r="L176" s="2357">
        <v>400</v>
      </c>
      <c r="M176" s="2196" t="s">
        <v>5230</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5" customHeight="1">
      <c r="A177" s="3769"/>
      <c r="B177" s="1568" t="str">
        <f t="shared" si="8"/>
        <v>2000002877</v>
      </c>
      <c r="C177" s="1493" t="s">
        <v>4935</v>
      </c>
      <c r="D177" s="1808"/>
      <c r="E177" s="1495"/>
      <c r="F177" s="1493" t="s">
        <v>24</v>
      </c>
      <c r="G177" s="1495"/>
      <c r="H177" s="1495"/>
      <c r="I177" s="1495" t="s">
        <v>65</v>
      </c>
      <c r="J177" s="1495" t="s">
        <v>142</v>
      </c>
      <c r="K177" s="1600" t="s">
        <v>5934</v>
      </c>
      <c r="L177" s="2357">
        <v>750</v>
      </c>
      <c r="M177" s="2051" t="s">
        <v>5929</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5" customHeight="1">
      <c r="A178" s="3776" t="s">
        <v>2092</v>
      </c>
      <c r="B178" s="1568" t="str">
        <f t="shared" si="8"/>
        <v>2000002793</v>
      </c>
      <c r="C178" s="1902" t="s">
        <v>234</v>
      </c>
      <c r="D178" s="2607">
        <v>11800</v>
      </c>
      <c r="E178" s="1921" t="s">
        <v>5924</v>
      </c>
      <c r="F178" s="1902" t="s">
        <v>14</v>
      </c>
      <c r="G178" s="1921" t="s">
        <v>5935</v>
      </c>
      <c r="H178" s="1909" t="s">
        <v>5936</v>
      </c>
      <c r="I178" s="1921" t="s">
        <v>65</v>
      </c>
      <c r="J178" s="1921" t="s">
        <v>1179</v>
      </c>
      <c r="K178" s="1600" t="s">
        <v>5937</v>
      </c>
      <c r="L178" s="2483">
        <v>500</v>
      </c>
      <c r="M178" s="1493" t="s">
        <v>5392</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8" customHeight="1">
      <c r="A179" s="3776"/>
      <c r="B179" s="1568" t="str">
        <f t="shared" si="8"/>
        <v>2000002828</v>
      </c>
      <c r="C179" s="1493" t="s">
        <v>234</v>
      </c>
      <c r="D179" s="1494"/>
      <c r="E179" s="1495"/>
      <c r="F179" s="1493" t="s">
        <v>14</v>
      </c>
      <c r="G179" s="1495"/>
      <c r="H179" s="1748"/>
      <c r="I179" s="1495" t="s">
        <v>65</v>
      </c>
      <c r="J179" s="1495" t="s">
        <v>1179</v>
      </c>
      <c r="K179" s="1600" t="s">
        <v>5938</v>
      </c>
      <c r="L179" s="2483">
        <v>900</v>
      </c>
      <c r="M179" s="1493" t="s">
        <v>5392</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8" customHeight="1">
      <c r="A180" s="3776"/>
      <c r="B180" s="1568" t="str">
        <f t="shared" si="8"/>
        <v>2000002835</v>
      </c>
      <c r="C180" s="1493" t="s">
        <v>234</v>
      </c>
      <c r="D180" s="1494"/>
      <c r="E180" s="1495"/>
      <c r="F180" s="1493" t="s">
        <v>14</v>
      </c>
      <c r="G180" s="1495"/>
      <c r="H180" s="1748"/>
      <c r="I180" s="1495" t="s">
        <v>65</v>
      </c>
      <c r="J180" s="1495" t="s">
        <v>1179</v>
      </c>
      <c r="K180" s="1497" t="s">
        <v>5939</v>
      </c>
      <c r="L180" s="2357">
        <v>7000</v>
      </c>
      <c r="M180" s="1632" t="s">
        <v>5255</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8" customHeight="1">
      <c r="A181" s="3776"/>
      <c r="B181" s="1568" t="str">
        <f t="shared" si="8"/>
        <v>2200001920</v>
      </c>
      <c r="C181" s="1493" t="s">
        <v>234</v>
      </c>
      <c r="D181" s="1494"/>
      <c r="E181" s="1495"/>
      <c r="F181" s="1493" t="s">
        <v>14</v>
      </c>
      <c r="G181" s="1495"/>
      <c r="H181" s="1748"/>
      <c r="I181" s="1495" t="s">
        <v>65</v>
      </c>
      <c r="J181" s="1495" t="s">
        <v>1179</v>
      </c>
      <c r="K181" s="1600" t="s">
        <v>5940</v>
      </c>
      <c r="L181" s="2299">
        <v>600</v>
      </c>
      <c r="M181" s="2196" t="s">
        <v>5230</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8" customHeight="1">
      <c r="A182" s="3776"/>
      <c r="B182" s="1568" t="str">
        <f t="shared" si="8"/>
        <v>2000002823</v>
      </c>
      <c r="C182" s="1493" t="s">
        <v>234</v>
      </c>
      <c r="D182" s="1808"/>
      <c r="E182" s="1495"/>
      <c r="F182" s="1493" t="s">
        <v>14</v>
      </c>
      <c r="G182" s="1495"/>
      <c r="H182" s="1495"/>
      <c r="I182" s="1495" t="s">
        <v>65</v>
      </c>
      <c r="J182" s="1495" t="s">
        <v>1179</v>
      </c>
      <c r="K182" s="1600" t="s">
        <v>5941</v>
      </c>
      <c r="L182" s="2463">
        <v>853</v>
      </c>
      <c r="M182" s="1748" t="s">
        <v>5942</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8" customHeight="1">
      <c r="A183" s="3776"/>
      <c r="B183" s="1568" t="str">
        <f t="shared" si="8"/>
        <v>2200001953</v>
      </c>
      <c r="C183" s="1493" t="s">
        <v>234</v>
      </c>
      <c r="D183" s="1808"/>
      <c r="E183" s="1495"/>
      <c r="F183" s="1493" t="s">
        <v>14</v>
      </c>
      <c r="G183" s="1495"/>
      <c r="H183" s="1495"/>
      <c r="I183" s="1495" t="s">
        <v>65</v>
      </c>
      <c r="J183" s="1495" t="s">
        <v>1179</v>
      </c>
      <c r="K183" s="1600" t="s">
        <v>5943</v>
      </c>
      <c r="L183" s="2463">
        <v>1000</v>
      </c>
      <c r="M183" s="2196" t="s">
        <v>5230</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5" customHeight="1">
      <c r="A184" s="3776"/>
      <c r="B184" s="1568" t="str">
        <f t="shared" si="8"/>
        <v>2000002888</v>
      </c>
      <c r="C184" s="1493" t="s">
        <v>234</v>
      </c>
      <c r="D184" s="1808"/>
      <c r="E184" s="1495"/>
      <c r="F184" s="1493" t="s">
        <v>14</v>
      </c>
      <c r="G184" s="1495"/>
      <c r="H184" s="1495"/>
      <c r="I184" s="1495" t="s">
        <v>65</v>
      </c>
      <c r="J184" s="1495" t="s">
        <v>1179</v>
      </c>
      <c r="K184" s="1600" t="s">
        <v>5944</v>
      </c>
      <c r="L184" s="2357">
        <v>1130</v>
      </c>
      <c r="M184" s="1748" t="s">
        <v>5945</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76">
        <v>45</v>
      </c>
      <c r="B185" s="1495" t="str">
        <f t="shared" si="8"/>
        <v>2400001151</v>
      </c>
      <c r="C185" s="1902" t="s">
        <v>5946</v>
      </c>
      <c r="D185" s="2488">
        <f>SUM(L185:L187)</f>
        <v>35300</v>
      </c>
      <c r="E185" s="1921" t="s">
        <v>5947</v>
      </c>
      <c r="F185" s="1902"/>
      <c r="G185" s="1921" t="s">
        <v>5948</v>
      </c>
      <c r="H185" s="1909" t="s">
        <v>5949</v>
      </c>
      <c r="I185" s="1921" t="s">
        <v>65</v>
      </c>
      <c r="J185" s="1921" t="s">
        <v>85</v>
      </c>
      <c r="K185" s="1911" t="s">
        <v>5950</v>
      </c>
      <c r="L185" s="2583">
        <v>10250</v>
      </c>
      <c r="M185" s="2584" t="s">
        <v>5230</v>
      </c>
      <c r="N185" s="1862" t="s">
        <v>5951</v>
      </c>
      <c r="O185" s="1745">
        <v>3</v>
      </c>
      <c r="P185" s="2150" t="s">
        <v>5578</v>
      </c>
      <c r="Q185" s="1902">
        <v>10437</v>
      </c>
      <c r="R185" s="1902"/>
      <c r="S185" s="1902">
        <f>Q185-R185</f>
        <v>10437</v>
      </c>
    </row>
    <row r="186" spans="1:127" s="1548" customFormat="1" ht="69.8" customHeight="1">
      <c r="A186" s="3776"/>
      <c r="B186" s="1495" t="str">
        <f t="shared" si="8"/>
        <v>2400001152</v>
      </c>
      <c r="C186" s="1493" t="s">
        <v>5946</v>
      </c>
      <c r="D186" s="2325"/>
      <c r="E186" s="1495"/>
      <c r="F186" s="1493"/>
      <c r="G186" s="1495"/>
      <c r="H186" s="1495"/>
      <c r="I186" s="1495" t="s">
        <v>65</v>
      </c>
      <c r="J186" s="1495" t="s">
        <v>85</v>
      </c>
      <c r="K186" s="1547" t="s">
        <v>5952</v>
      </c>
      <c r="L186" s="2357">
        <v>3600</v>
      </c>
      <c r="M186" s="2584" t="s">
        <v>5230</v>
      </c>
      <c r="N186" s="1843"/>
      <c r="O186" s="2590">
        <v>3</v>
      </c>
      <c r="P186" s="1548" t="s">
        <v>5578</v>
      </c>
      <c r="Q186" s="1493">
        <v>3590</v>
      </c>
      <c r="R186" s="1493"/>
      <c r="S186" s="1493">
        <f>Q186-R186</f>
        <v>3590</v>
      </c>
    </row>
    <row r="187" spans="1:127" s="1548" customFormat="1" ht="58.6" customHeight="1">
      <c r="A187" s="3776"/>
      <c r="B187" s="1495" t="str">
        <f t="shared" si="8"/>
        <v>2400001153</v>
      </c>
      <c r="C187" s="1493" t="s">
        <v>5946</v>
      </c>
      <c r="D187" s="2325"/>
      <c r="E187" s="1495"/>
      <c r="F187" s="1493"/>
      <c r="G187" s="1495"/>
      <c r="H187" s="1495"/>
      <c r="I187" s="1495" t="s">
        <v>65</v>
      </c>
      <c r="J187" s="1495" t="s">
        <v>85</v>
      </c>
      <c r="K187" s="1547" t="s">
        <v>5953</v>
      </c>
      <c r="L187" s="2357">
        <v>21450</v>
      </c>
      <c r="M187" s="1748" t="s">
        <v>5954</v>
      </c>
      <c r="N187" s="1843"/>
      <c r="O187" s="2590">
        <v>3</v>
      </c>
      <c r="P187" s="1548" t="s">
        <v>5578</v>
      </c>
    </row>
    <row r="188" spans="1:127" s="1883" customFormat="1" ht="72.7" customHeight="1">
      <c r="A188" s="3768">
        <v>46</v>
      </c>
      <c r="B188" s="1947" t="str">
        <f t="shared" si="8"/>
        <v>2400001141</v>
      </c>
      <c r="C188" s="1630" t="s">
        <v>5955</v>
      </c>
      <c r="D188" s="2575">
        <v>9300</v>
      </c>
      <c r="E188" s="1851" t="s">
        <v>5956</v>
      </c>
      <c r="F188" s="1630"/>
      <c r="G188" s="1851" t="s">
        <v>5957</v>
      </c>
      <c r="H188" s="1632" t="s">
        <v>5958</v>
      </c>
      <c r="I188" s="1851" t="s">
        <v>65</v>
      </c>
      <c r="J188" s="1851" t="s">
        <v>5959</v>
      </c>
      <c r="K188" s="1881" t="s">
        <v>5960</v>
      </c>
      <c r="L188" s="2361">
        <f>D188-L189-L190</f>
        <v>6667</v>
      </c>
      <c r="M188" s="2625" t="s">
        <v>5230</v>
      </c>
      <c r="N188" s="1962"/>
      <c r="O188" s="2603">
        <v>3</v>
      </c>
      <c r="P188" s="1883" t="s">
        <v>5578</v>
      </c>
      <c r="Q188" s="1630">
        <v>9129</v>
      </c>
      <c r="R188" s="1630"/>
      <c r="S188" s="1630">
        <f>Q188-R188</f>
        <v>9129</v>
      </c>
    </row>
    <row r="189" spans="1:127" s="1883" customFormat="1" ht="72.7" customHeight="1">
      <c r="A189" s="3770"/>
      <c r="B189" s="1947" t="str">
        <f t="shared" si="8"/>
        <v>2400001178</v>
      </c>
      <c r="C189" s="1630" t="s">
        <v>5955</v>
      </c>
      <c r="D189" s="2575"/>
      <c r="E189" s="1851"/>
      <c r="F189" s="1630"/>
      <c r="G189" s="1851"/>
      <c r="H189" s="1632"/>
      <c r="I189" s="1851" t="s">
        <v>65</v>
      </c>
      <c r="J189" s="1851" t="s">
        <v>5959</v>
      </c>
      <c r="K189" s="1881">
        <v>2400001178</v>
      </c>
      <c r="L189" s="2361">
        <v>1964</v>
      </c>
      <c r="M189" s="2625" t="s">
        <v>5230</v>
      </c>
      <c r="N189" s="1962"/>
      <c r="O189" s="2603"/>
      <c r="Q189" s="1630"/>
      <c r="R189" s="1630"/>
      <c r="S189" s="1630"/>
    </row>
    <row r="190" spans="1:127" s="1883" customFormat="1" ht="72.7" customHeight="1">
      <c r="A190" s="3769"/>
      <c r="B190" s="1947" t="str">
        <f t="shared" si="8"/>
        <v>2400001179</v>
      </c>
      <c r="C190" s="1630" t="s">
        <v>5955</v>
      </c>
      <c r="D190" s="2575"/>
      <c r="E190" s="1851"/>
      <c r="F190" s="1630"/>
      <c r="G190" s="1851"/>
      <c r="H190" s="1632"/>
      <c r="I190" s="1851" t="s">
        <v>65</v>
      </c>
      <c r="J190" s="1851" t="s">
        <v>5959</v>
      </c>
      <c r="K190" s="1881">
        <v>2400001179</v>
      </c>
      <c r="L190" s="2361">
        <v>669</v>
      </c>
      <c r="M190" s="2625" t="s">
        <v>5230</v>
      </c>
      <c r="N190" s="1962"/>
      <c r="O190" s="2603"/>
      <c r="Q190" s="1630"/>
      <c r="R190" s="1630"/>
      <c r="S190" s="1630"/>
    </row>
    <row r="191" spans="1:127" s="1548" customFormat="1" ht="69.8" customHeight="1">
      <c r="A191" s="3776">
        <v>47</v>
      </c>
      <c r="B191" s="1568" t="str">
        <f t="shared" si="8"/>
        <v>2000002852</v>
      </c>
      <c r="C191" s="1902" t="s">
        <v>4868</v>
      </c>
      <c r="D191" s="2607">
        <v>4370</v>
      </c>
      <c r="E191" s="1921" t="s">
        <v>5961</v>
      </c>
      <c r="F191" s="1902" t="s">
        <v>20</v>
      </c>
      <c r="G191" s="1921" t="s">
        <v>5962</v>
      </c>
      <c r="H191" s="2689" t="s">
        <v>5926</v>
      </c>
      <c r="I191" s="1921" t="s">
        <v>65</v>
      </c>
      <c r="J191" s="1902" t="s">
        <v>164</v>
      </c>
      <c r="K191" s="1916" t="s">
        <v>5963</v>
      </c>
      <c r="L191" s="2179">
        <v>1500</v>
      </c>
      <c r="M191" s="1632" t="s">
        <v>5255</v>
      </c>
      <c r="N191" s="1843" t="s">
        <v>5870</v>
      </c>
      <c r="O191" s="2590">
        <v>2</v>
      </c>
      <c r="Q191" s="1493"/>
      <c r="R191" s="1493"/>
      <c r="S191" s="1493"/>
    </row>
    <row r="192" spans="1:127" s="1548" customFormat="1" ht="58.6" customHeight="1">
      <c r="A192" s="3776"/>
      <c r="B192" s="1568" t="str">
        <f t="shared" si="8"/>
        <v>2000002873</v>
      </c>
      <c r="C192" s="1493" t="s">
        <v>4868</v>
      </c>
      <c r="D192" s="1808"/>
      <c r="E192" s="1495"/>
      <c r="F192" s="1493" t="s">
        <v>20</v>
      </c>
      <c r="G192" s="1495"/>
      <c r="H192" s="1495"/>
      <c r="I192" s="1495" t="s">
        <v>65</v>
      </c>
      <c r="J192" s="1495" t="s">
        <v>164</v>
      </c>
      <c r="K192" s="1600" t="s">
        <v>5964</v>
      </c>
      <c r="L192" s="2357">
        <v>1300</v>
      </c>
      <c r="M192" s="1632" t="s">
        <v>5255</v>
      </c>
      <c r="N192" s="1859"/>
      <c r="O192" s="2590">
        <v>3</v>
      </c>
      <c r="Q192" s="1493"/>
      <c r="R192" s="1493"/>
      <c r="S192" s="1493"/>
    </row>
    <row r="193" spans="1:127" s="1548" customFormat="1" ht="58.6" customHeight="1">
      <c r="A193" s="3776"/>
      <c r="B193" s="1568" t="str">
        <f t="shared" si="8"/>
        <v>2000002853</v>
      </c>
      <c r="C193" s="1493" t="s">
        <v>4868</v>
      </c>
      <c r="D193" s="1808"/>
      <c r="E193" s="1495"/>
      <c r="F193" s="1493" t="s">
        <v>20</v>
      </c>
      <c r="G193" s="1495"/>
      <c r="H193" s="1495"/>
      <c r="I193" s="1495" t="s">
        <v>65</v>
      </c>
      <c r="J193" s="1495" t="s">
        <v>164</v>
      </c>
      <c r="K193" s="1770" t="s">
        <v>5965</v>
      </c>
      <c r="L193" s="2357">
        <v>1600</v>
      </c>
      <c r="M193" s="1632" t="s">
        <v>5966</v>
      </c>
      <c r="N193" s="1859" t="s">
        <v>5967</v>
      </c>
      <c r="O193" s="2590">
        <v>3</v>
      </c>
      <c r="Q193" s="1493"/>
      <c r="R193" s="1493"/>
      <c r="S193" s="1493"/>
    </row>
    <row r="194" spans="1:127" s="2150" customFormat="1" ht="75.099999999999994" customHeight="1">
      <c r="A194" s="2436">
        <v>48</v>
      </c>
      <c r="B194" s="1921" t="str">
        <f t="shared" si="8"/>
        <v>2000002888</v>
      </c>
      <c r="C194" s="1902" t="s">
        <v>5239</v>
      </c>
      <c r="D194" s="2607">
        <v>3950</v>
      </c>
      <c r="E194" s="1921" t="s">
        <v>5968</v>
      </c>
      <c r="F194" s="1902" t="s">
        <v>22</v>
      </c>
      <c r="G194" s="1921" t="s">
        <v>5969</v>
      </c>
      <c r="H194" s="1909" t="s">
        <v>5970</v>
      </c>
      <c r="I194" s="1921" t="s">
        <v>65</v>
      </c>
      <c r="J194" s="1921" t="s">
        <v>1179</v>
      </c>
      <c r="K194" s="1845" t="s">
        <v>5971</v>
      </c>
      <c r="L194" s="2583">
        <v>3950</v>
      </c>
      <c r="M194" s="2429" t="s">
        <v>5945</v>
      </c>
      <c r="O194" s="1745">
        <v>3</v>
      </c>
      <c r="Q194" s="1902"/>
      <c r="R194" s="1902"/>
      <c r="S194" s="1902"/>
    </row>
    <row r="195" spans="1:127" s="2150" customFormat="1" ht="62.35" customHeight="1">
      <c r="A195" s="3780">
        <v>49</v>
      </c>
      <c r="B195" s="1921" t="str">
        <f t="shared" si="8"/>
        <v>2200001920</v>
      </c>
      <c r="C195" s="1921" t="s">
        <v>5972</v>
      </c>
      <c r="D195" s="2607">
        <v>8900</v>
      </c>
      <c r="E195" s="1921" t="s">
        <v>5973</v>
      </c>
      <c r="F195" s="1902" t="s">
        <v>16</v>
      </c>
      <c r="G195" s="1921" t="s">
        <v>5974</v>
      </c>
      <c r="H195" s="1909" t="s">
        <v>5975</v>
      </c>
      <c r="I195" s="1921" t="s">
        <v>65</v>
      </c>
      <c r="J195" s="1921" t="s">
        <v>1179</v>
      </c>
      <c r="K195" s="1845" t="s">
        <v>5976</v>
      </c>
      <c r="L195" s="2337">
        <v>3000</v>
      </c>
      <c r="M195" s="2196" t="s">
        <v>5230</v>
      </c>
      <c r="O195" s="2150">
        <v>3</v>
      </c>
      <c r="Q195" s="1902">
        <v>27642</v>
      </c>
      <c r="R195" s="1493">
        <v>13395</v>
      </c>
      <c r="S195" s="1493">
        <f>Q195-R195</f>
        <v>14247</v>
      </c>
    </row>
    <row r="196" spans="1:127" s="1883" customFormat="1" ht="58.6" customHeight="1">
      <c r="A196" s="3798"/>
      <c r="B196" s="1872" t="str">
        <f t="shared" si="8"/>
        <v>2200001954</v>
      </c>
      <c r="C196" s="1630" t="s">
        <v>3538</v>
      </c>
      <c r="D196" s="1631"/>
      <c r="E196" s="1851"/>
      <c r="F196" s="1630" t="s">
        <v>16</v>
      </c>
      <c r="G196" s="1851"/>
      <c r="H196" s="2030"/>
      <c r="I196" s="1851" t="s">
        <v>65</v>
      </c>
      <c r="J196" s="1947" t="s">
        <v>1179</v>
      </c>
      <c r="K196" s="1873" t="s">
        <v>5977</v>
      </c>
      <c r="L196" s="2368">
        <v>490</v>
      </c>
      <c r="M196" s="2160" t="s">
        <v>5230</v>
      </c>
      <c r="O196" s="1883">
        <v>3</v>
      </c>
      <c r="Q196" s="1630"/>
      <c r="R196" s="1630"/>
      <c r="S196" s="1630"/>
    </row>
    <row r="197" spans="1:127" s="1548" customFormat="1" ht="58.6" customHeight="1">
      <c r="A197" s="3776"/>
      <c r="B197" s="2025" t="str">
        <f t="shared" si="8"/>
        <v>2200001947</v>
      </c>
      <c r="C197" s="1630" t="s">
        <v>3538</v>
      </c>
      <c r="D197" s="1631"/>
      <c r="E197" s="1851"/>
      <c r="F197" s="1630" t="s">
        <v>16</v>
      </c>
      <c r="G197" s="1851"/>
      <c r="H197" s="1632"/>
      <c r="I197" s="1851" t="s">
        <v>65</v>
      </c>
      <c r="J197" s="1851" t="s">
        <v>1179</v>
      </c>
      <c r="K197" s="1497" t="s">
        <v>5978</v>
      </c>
      <c r="L197" s="2483">
        <v>1142</v>
      </c>
      <c r="M197" s="1790" t="s">
        <v>5979</v>
      </c>
      <c r="N197" s="1859"/>
      <c r="O197" s="2590">
        <v>3</v>
      </c>
      <c r="Q197" s="1493"/>
      <c r="R197" s="1493"/>
      <c r="S197" s="1493"/>
    </row>
    <row r="198" spans="1:127" s="1548" customFormat="1" ht="58.6" customHeight="1">
      <c r="A198" s="3776"/>
      <c r="B198" s="1937" t="str">
        <f t="shared" si="8"/>
        <v>2200001953</v>
      </c>
      <c r="C198" s="1493" t="s">
        <v>3538</v>
      </c>
      <c r="D198" s="1494"/>
      <c r="E198" s="1495"/>
      <c r="F198" s="1493" t="s">
        <v>16</v>
      </c>
      <c r="G198" s="1495"/>
      <c r="H198" s="1748"/>
      <c r="I198" s="1495" t="s">
        <v>65</v>
      </c>
      <c r="J198" s="1495" t="s">
        <v>1179</v>
      </c>
      <c r="K198" s="1600" t="s">
        <v>5980</v>
      </c>
      <c r="L198" s="2483">
        <v>4200</v>
      </c>
      <c r="M198" s="2196" t="s">
        <v>5230</v>
      </c>
      <c r="N198" s="2690" t="s">
        <v>5981</v>
      </c>
      <c r="O198" s="1548">
        <v>3</v>
      </c>
      <c r="Q198" s="1493"/>
      <c r="R198" s="1493"/>
      <c r="S198" s="1493"/>
    </row>
    <row r="199" spans="1:127" s="1548" customFormat="1" ht="66.75" customHeight="1">
      <c r="A199" s="3768">
        <v>50</v>
      </c>
      <c r="B199" s="1921" t="str">
        <f t="shared" si="8"/>
        <v>2000002786</v>
      </c>
      <c r="C199" s="1902" t="s">
        <v>5579</v>
      </c>
      <c r="D199" s="2607">
        <v>4200</v>
      </c>
      <c r="E199" s="1921" t="s">
        <v>5982</v>
      </c>
      <c r="F199" s="1902" t="s">
        <v>24</v>
      </c>
      <c r="G199" s="1921" t="s">
        <v>5983</v>
      </c>
      <c r="H199" s="1909" t="s">
        <v>5926</v>
      </c>
      <c r="I199" s="1921" t="s">
        <v>65</v>
      </c>
      <c r="J199" s="1921" t="s">
        <v>117</v>
      </c>
      <c r="K199" s="1845" t="s">
        <v>5984</v>
      </c>
      <c r="L199" s="2624">
        <v>800</v>
      </c>
      <c r="M199" s="2584" t="s">
        <v>5230</v>
      </c>
      <c r="N199" s="1775" t="s">
        <v>5691</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6" customHeight="1">
      <c r="A200" s="3770"/>
      <c r="B200" s="1495" t="str">
        <f t="shared" si="8"/>
        <v>2000002845</v>
      </c>
      <c r="C200" s="1493" t="s">
        <v>5579</v>
      </c>
      <c r="D200" s="1808"/>
      <c r="E200" s="1495"/>
      <c r="F200" s="1493" t="s">
        <v>24</v>
      </c>
      <c r="G200" s="1495"/>
      <c r="H200" s="1748"/>
      <c r="I200" s="1495" t="s">
        <v>65</v>
      </c>
      <c r="J200" s="1495" t="s">
        <v>117</v>
      </c>
      <c r="K200" s="1600" t="s">
        <v>5985</v>
      </c>
      <c r="L200" s="1826">
        <v>500</v>
      </c>
      <c r="M200" s="1748" t="s">
        <v>5966</v>
      </c>
      <c r="N200" s="1859"/>
      <c r="O200" s="2590">
        <v>3</v>
      </c>
    </row>
    <row r="201" spans="1:127" s="1548" customFormat="1" ht="58.6" customHeight="1">
      <c r="A201" s="3769"/>
      <c r="B201" s="1495" t="str">
        <f t="shared" si="8"/>
        <v>2000002842</v>
      </c>
      <c r="C201" s="1493" t="s">
        <v>5579</v>
      </c>
      <c r="D201" s="1808"/>
      <c r="E201" s="1495"/>
      <c r="F201" s="1493" t="s">
        <v>24</v>
      </c>
      <c r="G201" s="1495"/>
      <c r="H201" s="1748"/>
      <c r="I201" s="1495" t="s">
        <v>65</v>
      </c>
      <c r="J201" s="1495" t="s">
        <v>240</v>
      </c>
      <c r="K201" s="1600" t="s">
        <v>5986</v>
      </c>
      <c r="L201" s="2357">
        <v>3000</v>
      </c>
      <c r="M201" s="2196" t="s">
        <v>5230</v>
      </c>
      <c r="N201" s="1862"/>
      <c r="O201" s="2590">
        <v>3</v>
      </c>
      <c r="Q201" s="1902">
        <v>4549</v>
      </c>
      <c r="R201" s="1493"/>
      <c r="S201" s="1493">
        <f>Q201-R201</f>
        <v>4549</v>
      </c>
    </row>
    <row r="202" spans="1:127" s="1548" customFormat="1" ht="70.5" customHeight="1">
      <c r="A202" s="3768">
        <v>51</v>
      </c>
      <c r="B202" s="1568" t="str">
        <f t="shared" si="8"/>
        <v>2000002859</v>
      </c>
      <c r="C202" s="1902" t="s">
        <v>3499</v>
      </c>
      <c r="D202" s="2607">
        <v>4000</v>
      </c>
      <c r="E202" s="1921" t="s">
        <v>5987</v>
      </c>
      <c r="F202" s="1902" t="s">
        <v>20</v>
      </c>
      <c r="G202" s="1921" t="s">
        <v>5988</v>
      </c>
      <c r="H202" s="1909" t="s">
        <v>5989</v>
      </c>
      <c r="I202" s="1921" t="s">
        <v>65</v>
      </c>
      <c r="J202" s="1921" t="s">
        <v>117</v>
      </c>
      <c r="K202" s="1916" t="s">
        <v>5990</v>
      </c>
      <c r="L202" s="2583">
        <v>1500</v>
      </c>
      <c r="M202" s="2429" t="s">
        <v>5255</v>
      </c>
      <c r="N202" s="1775" t="s">
        <v>5967</v>
      </c>
      <c r="O202" s="1745">
        <v>3</v>
      </c>
      <c r="P202" s="2150"/>
      <c r="Q202" s="1902"/>
      <c r="R202" s="1902"/>
      <c r="S202" s="1902"/>
    </row>
    <row r="203" spans="1:127" s="1548" customFormat="1" ht="58.6" customHeight="1">
      <c r="A203" s="3770"/>
      <c r="B203" s="1568" t="str">
        <f t="shared" si="8"/>
        <v>2000002846</v>
      </c>
      <c r="C203" s="1493" t="s">
        <v>3499</v>
      </c>
      <c r="D203" s="1808"/>
      <c r="E203" s="1495"/>
      <c r="F203" s="1493" t="s">
        <v>20</v>
      </c>
      <c r="G203" s="1495"/>
      <c r="H203" s="1748"/>
      <c r="I203" s="1495" t="s">
        <v>65</v>
      </c>
      <c r="J203" s="1495" t="s">
        <v>117</v>
      </c>
      <c r="K203" s="1770" t="s">
        <v>5991</v>
      </c>
      <c r="L203" s="2357">
        <v>600</v>
      </c>
      <c r="M203" s="1493" t="s">
        <v>5255</v>
      </c>
      <c r="N203" s="1859"/>
      <c r="O203" s="2590">
        <v>3</v>
      </c>
    </row>
    <row r="204" spans="1:127" s="1548" customFormat="1" ht="72" customHeight="1">
      <c r="A204" s="3769"/>
      <c r="B204" s="1568" t="str">
        <f t="shared" si="8"/>
        <v>2000002867</v>
      </c>
      <c r="C204" s="1493" t="s">
        <v>3499</v>
      </c>
      <c r="D204" s="1808"/>
      <c r="E204" s="1495"/>
      <c r="F204" s="1493" t="s">
        <v>20</v>
      </c>
      <c r="G204" s="1495"/>
      <c r="H204" s="1748"/>
      <c r="I204" s="1495" t="s">
        <v>65</v>
      </c>
      <c r="J204" s="1495" t="s">
        <v>117</v>
      </c>
      <c r="K204" s="1600" t="s">
        <v>5992</v>
      </c>
      <c r="L204" s="2357">
        <v>2000</v>
      </c>
      <c r="M204" s="2429" t="s">
        <v>5255</v>
      </c>
      <c r="N204" s="1859" t="s">
        <v>5993</v>
      </c>
      <c r="O204" s="2590">
        <v>3</v>
      </c>
    </row>
    <row r="205" spans="1:127" s="1548" customFormat="1" ht="104.3" customHeight="1">
      <c r="A205" s="2582">
        <v>52</v>
      </c>
      <c r="B205" s="2419" t="str">
        <f t="shared" si="8"/>
        <v>2000002867</v>
      </c>
      <c r="C205" s="2187" t="s">
        <v>2947</v>
      </c>
      <c r="D205" s="2456">
        <v>3500</v>
      </c>
      <c r="E205" s="2187" t="s">
        <v>5994</v>
      </c>
      <c r="F205" s="2263" t="s">
        <v>20</v>
      </c>
      <c r="G205" s="2187" t="s">
        <v>5995</v>
      </c>
      <c r="H205" s="2261" t="s">
        <v>5996</v>
      </c>
      <c r="I205" s="2187" t="s">
        <v>65</v>
      </c>
      <c r="J205" s="2187" t="s">
        <v>117</v>
      </c>
      <c r="K205" s="2617" t="s">
        <v>5997</v>
      </c>
      <c r="L205" s="2564">
        <v>3500</v>
      </c>
      <c r="M205" s="2626" t="s">
        <v>5255</v>
      </c>
      <c r="N205" s="1775" t="s">
        <v>5993</v>
      </c>
      <c r="O205" s="1745">
        <v>3</v>
      </c>
      <c r="P205" s="2150"/>
      <c r="Q205" s="2150"/>
      <c r="R205" s="2150"/>
      <c r="S205" s="2150"/>
    </row>
    <row r="206" spans="1:127" s="1548" customFormat="1" ht="102.1" customHeight="1">
      <c r="A206" s="2582">
        <v>53</v>
      </c>
      <c r="B206" s="2187" t="str">
        <f t="shared" si="8"/>
        <v>2000002867</v>
      </c>
      <c r="C206" s="2187" t="s">
        <v>5998</v>
      </c>
      <c r="D206" s="2456">
        <v>4300</v>
      </c>
      <c r="E206" s="2187" t="s">
        <v>5999</v>
      </c>
      <c r="F206" s="2263" t="s">
        <v>24</v>
      </c>
      <c r="G206" s="2187" t="s">
        <v>6000</v>
      </c>
      <c r="H206" s="2261" t="s">
        <v>5996</v>
      </c>
      <c r="I206" s="2187" t="s">
        <v>65</v>
      </c>
      <c r="J206" s="2187" t="s">
        <v>117</v>
      </c>
      <c r="K206" s="2617" t="s">
        <v>6001</v>
      </c>
      <c r="L206" s="2564">
        <v>4350</v>
      </c>
      <c r="M206" s="2626" t="s">
        <v>5255</v>
      </c>
      <c r="N206" s="2627" t="s">
        <v>5993</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6"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6"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6"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6"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6"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6"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6"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6"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6"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6"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6"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6"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6"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6"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6"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6"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6"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6"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6"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6"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6"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88" priority="1158"/>
  </conditionalFormatting>
  <conditionalFormatting sqref="B1:B1048576">
    <cfRule type="duplicateValues" dxfId="387" priority="1162"/>
  </conditionalFormatting>
  <conditionalFormatting sqref="B208:B1048576 B129 B149:B150 B139:B147 B157:B159 B202:B205 B162:B172 B175:B184 B191:B199">
    <cfRule type="duplicateValues" dxfId="386" priority="1219"/>
    <cfRule type="duplicateValues" dxfId="385"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375" style="2260" customWidth="1"/>
    <col min="15" max="15" width="46.375" style="2225" customWidth="1"/>
    <col min="16" max="16" width="46.375" style="3" customWidth="1"/>
    <col min="17" max="16384" width="32.125" style="3"/>
  </cols>
  <sheetData>
    <row r="1" spans="1:127" ht="50.3" customHeight="1">
      <c r="A1" s="3788" t="s">
        <v>6002</v>
      </c>
      <c r="B1" s="3788"/>
      <c r="C1" s="3788"/>
      <c r="D1" s="3788"/>
      <c r="E1" s="3788"/>
      <c r="F1" s="3788"/>
      <c r="G1" s="3788"/>
      <c r="H1" s="3788"/>
      <c r="I1" s="3788"/>
      <c r="J1" s="3788"/>
      <c r="K1" s="3788"/>
      <c r="L1" s="3788"/>
      <c r="M1" s="3788"/>
      <c r="N1" s="3788"/>
      <c r="O1" s="3788"/>
      <c r="P1" s="3788"/>
    </row>
    <row r="2" spans="1:127" ht="39.75" customHeight="1">
      <c r="A2" s="2271" t="s">
        <v>3429</v>
      </c>
      <c r="B2" s="2472"/>
      <c r="C2" s="2472"/>
      <c r="D2" s="2215">
        <f>SUBTOTAL(9,D3:D705)</f>
        <v>462366</v>
      </c>
      <c r="E2" s="1932"/>
      <c r="F2" s="2092"/>
      <c r="G2" s="2269" t="s">
        <v>6003</v>
      </c>
      <c r="H2" s="1932"/>
      <c r="I2" s="1932"/>
      <c r="J2" s="1932"/>
      <c r="K2" s="2093">
        <f ca="1">TODAY()</f>
        <v>45988</v>
      </c>
      <c r="L2" s="2272">
        <f>SUBTOTAL(9,L4:L705)</f>
        <v>466868</v>
      </c>
      <c r="M2" s="2339" t="s">
        <v>5210</v>
      </c>
      <c r="N2" s="2099" t="s">
        <v>5211</v>
      </c>
      <c r="O2" s="2099"/>
      <c r="P2" s="1777"/>
    </row>
    <row r="3" spans="1:127" s="2175" customFormat="1" ht="79.5" customHeight="1">
      <c r="A3" s="2109" t="s">
        <v>48</v>
      </c>
      <c r="B3" s="2111" t="s">
        <v>5213</v>
      </c>
      <c r="C3" s="2111" t="s">
        <v>5214</v>
      </c>
      <c r="D3" s="2090" t="s">
        <v>5215</v>
      </c>
      <c r="E3" s="1970" t="s">
        <v>3430</v>
      </c>
      <c r="F3" s="1970" t="s">
        <v>52</v>
      </c>
      <c r="G3" s="1970" t="s">
        <v>3431</v>
      </c>
      <c r="H3" s="1970" t="s">
        <v>6004</v>
      </c>
      <c r="I3" s="1970" t="s">
        <v>55</v>
      </c>
      <c r="J3" s="1970" t="s">
        <v>56</v>
      </c>
      <c r="K3" s="1970" t="s">
        <v>6005</v>
      </c>
      <c r="L3" s="2346" t="s">
        <v>5561</v>
      </c>
      <c r="M3" s="2377" t="s">
        <v>5562</v>
      </c>
      <c r="N3" s="2100" t="s">
        <v>58</v>
      </c>
      <c r="O3" s="2375" t="s">
        <v>5221</v>
      </c>
      <c r="P3" s="2220" t="s">
        <v>5222</v>
      </c>
    </row>
    <row r="4" spans="1:127" s="2003" customFormat="1" ht="60.8" customHeight="1">
      <c r="A4" s="2296">
        <v>1</v>
      </c>
      <c r="B4" s="2232" t="str">
        <f t="shared" ref="B4:B35" si="0">TEXT(LEFT(K4,10),"0000000000")</f>
        <v>2000002640</v>
      </c>
      <c r="C4" s="2232" t="s">
        <v>5628</v>
      </c>
      <c r="D4" s="2449">
        <v>23000</v>
      </c>
      <c r="E4" s="2232" t="s">
        <v>6006</v>
      </c>
      <c r="F4" s="2232" t="s">
        <v>18</v>
      </c>
      <c r="G4" s="2232" t="s">
        <v>6007</v>
      </c>
      <c r="H4" s="2232" t="s">
        <v>394</v>
      </c>
      <c r="I4" s="2232" t="s">
        <v>65</v>
      </c>
      <c r="J4" s="2232" t="s">
        <v>5400</v>
      </c>
      <c r="K4" s="2234" t="s">
        <v>6008</v>
      </c>
      <c r="L4" s="2236">
        <v>23000</v>
      </c>
      <c r="M4" s="2378" t="s">
        <v>6009</v>
      </c>
      <c r="N4" s="2259" t="s">
        <v>6010</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6" customHeight="1">
      <c r="A5" s="2268">
        <v>2</v>
      </c>
      <c r="B5" s="2232" t="str">
        <f t="shared" si="0"/>
        <v>2000002655</v>
      </c>
      <c r="C5" s="2232" t="s">
        <v>5654</v>
      </c>
      <c r="D5" s="2449">
        <v>4300</v>
      </c>
      <c r="E5" s="2232" t="s">
        <v>6011</v>
      </c>
      <c r="F5" s="2232" t="s">
        <v>24</v>
      </c>
      <c r="G5" s="2232" t="s">
        <v>6012</v>
      </c>
      <c r="H5" s="2233" t="s">
        <v>6013</v>
      </c>
      <c r="I5" s="2232" t="s">
        <v>65</v>
      </c>
      <c r="J5" s="2232" t="s">
        <v>117</v>
      </c>
      <c r="K5" s="2234" t="s">
        <v>6014</v>
      </c>
      <c r="L5" s="2236">
        <v>1600</v>
      </c>
      <c r="M5" s="2378" t="s">
        <v>6009</v>
      </c>
      <c r="N5" s="2259" t="s">
        <v>6010</v>
      </c>
      <c r="O5" s="2235">
        <v>1</v>
      </c>
    </row>
    <row r="6" spans="1:127" s="2003" customFormat="1" ht="58.6" customHeight="1">
      <c r="A6" s="2476"/>
      <c r="B6" s="1972" t="str">
        <f t="shared" si="0"/>
        <v>2000002653</v>
      </c>
      <c r="C6" s="1972" t="s">
        <v>5654</v>
      </c>
      <c r="D6" s="1973"/>
      <c r="E6" s="1972"/>
      <c r="F6" s="1972" t="s">
        <v>24</v>
      </c>
      <c r="G6" s="1972"/>
      <c r="H6" s="1972"/>
      <c r="I6" s="1972"/>
      <c r="J6" s="1972" t="s">
        <v>117</v>
      </c>
      <c r="K6" s="1979" t="s">
        <v>6015</v>
      </c>
      <c r="L6" s="2236">
        <v>400</v>
      </c>
      <c r="M6" s="2378" t="s">
        <v>6009</v>
      </c>
      <c r="N6" s="1891" t="s">
        <v>6010</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6" customHeight="1">
      <c r="A7" s="2476"/>
      <c r="B7" s="1972" t="str">
        <f t="shared" si="0"/>
        <v>2000002654</v>
      </c>
      <c r="C7" s="1972" t="s">
        <v>5654</v>
      </c>
      <c r="D7" s="1973"/>
      <c r="E7" s="1972"/>
      <c r="F7" s="1972" t="s">
        <v>24</v>
      </c>
      <c r="G7" s="1972"/>
      <c r="H7" s="1972"/>
      <c r="I7" s="1972"/>
      <c r="J7" s="1972" t="s">
        <v>117</v>
      </c>
      <c r="K7" s="1979" t="s">
        <v>6016</v>
      </c>
      <c r="L7" s="2236">
        <v>1900</v>
      </c>
      <c r="M7" s="2378" t="s">
        <v>6009</v>
      </c>
      <c r="N7" s="1891" t="s">
        <v>6010</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6" customHeight="1">
      <c r="A8" s="2477"/>
      <c r="B8" s="1972" t="str">
        <f t="shared" si="0"/>
        <v>2000002645</v>
      </c>
      <c r="C8" s="1972" t="s">
        <v>5654</v>
      </c>
      <c r="D8" s="1973"/>
      <c r="E8" s="1972"/>
      <c r="F8" s="1972" t="s">
        <v>24</v>
      </c>
      <c r="G8" s="1972"/>
      <c r="H8" s="1972"/>
      <c r="I8" s="1972"/>
      <c r="J8" s="1972" t="s">
        <v>117</v>
      </c>
      <c r="K8" s="1979" t="s">
        <v>6017</v>
      </c>
      <c r="L8" s="2236">
        <v>400</v>
      </c>
      <c r="M8" s="2378" t="s">
        <v>6009</v>
      </c>
      <c r="N8" s="1891" t="s">
        <v>6010</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3963</v>
      </c>
      <c r="D9" s="2449">
        <v>7200</v>
      </c>
      <c r="E9" s="2232" t="s">
        <v>6018</v>
      </c>
      <c r="F9" s="2232" t="s">
        <v>16</v>
      </c>
      <c r="G9" s="2232" t="s">
        <v>6019</v>
      </c>
      <c r="H9" s="2233" t="s">
        <v>6013</v>
      </c>
      <c r="I9" s="2232" t="s">
        <v>65</v>
      </c>
      <c r="J9" s="2232" t="s">
        <v>1179</v>
      </c>
      <c r="K9" s="2234" t="s">
        <v>6020</v>
      </c>
      <c r="L9" s="2236">
        <v>2700</v>
      </c>
      <c r="M9" s="2378" t="s">
        <v>6009</v>
      </c>
      <c r="N9" s="2259" t="s">
        <v>6010</v>
      </c>
      <c r="O9" s="2235">
        <v>1</v>
      </c>
    </row>
    <row r="10" spans="1:127" s="1774" customFormat="1" ht="56.25" customHeight="1">
      <c r="A10" s="2476"/>
      <c r="B10" s="1972" t="str">
        <f t="shared" si="0"/>
        <v>2000002624</v>
      </c>
      <c r="C10" s="1972" t="s">
        <v>3963</v>
      </c>
      <c r="D10" s="1973"/>
      <c r="E10" s="1972"/>
      <c r="F10" s="1972" t="s">
        <v>16</v>
      </c>
      <c r="G10" s="1972"/>
      <c r="H10" s="1972"/>
      <c r="I10" s="1972"/>
      <c r="J10" s="1972" t="s">
        <v>1179</v>
      </c>
      <c r="K10" s="1979" t="s">
        <v>6021</v>
      </c>
      <c r="L10" s="2236">
        <v>2000</v>
      </c>
      <c r="M10" s="2378" t="s">
        <v>6009</v>
      </c>
      <c r="N10" s="1891" t="s">
        <v>6022</v>
      </c>
      <c r="O10" s="2235">
        <v>1</v>
      </c>
    </row>
    <row r="11" spans="1:127" s="1774" customFormat="1" ht="56.25" customHeight="1">
      <c r="A11" s="2476"/>
      <c r="B11" s="1972" t="str">
        <f t="shared" si="0"/>
        <v>2200001872</v>
      </c>
      <c r="C11" s="1972" t="s">
        <v>3963</v>
      </c>
      <c r="D11" s="1973"/>
      <c r="E11" s="1972"/>
      <c r="F11" s="1972" t="s">
        <v>16</v>
      </c>
      <c r="G11" s="1972"/>
      <c r="H11" s="1972"/>
      <c r="I11" s="1972"/>
      <c r="J11" s="1972" t="s">
        <v>1179</v>
      </c>
      <c r="K11" s="1496" t="s">
        <v>6023</v>
      </c>
      <c r="L11" s="2266">
        <v>400</v>
      </c>
      <c r="M11" s="2030" t="s">
        <v>6024</v>
      </c>
      <c r="N11" s="2282"/>
      <c r="O11" s="2292">
        <v>1</v>
      </c>
      <c r="P11" s="2283"/>
    </row>
    <row r="12" spans="1:127" s="1774" customFormat="1" ht="56.25" customHeight="1">
      <c r="A12" s="2477"/>
      <c r="B12" s="1972" t="str">
        <f t="shared" si="0"/>
        <v>2200001858</v>
      </c>
      <c r="C12" s="1972" t="s">
        <v>3963</v>
      </c>
      <c r="D12" s="1973"/>
      <c r="E12" s="1972"/>
      <c r="F12" s="1972" t="s">
        <v>16</v>
      </c>
      <c r="G12" s="1972"/>
      <c r="H12" s="1972"/>
      <c r="I12" s="1972"/>
      <c r="J12" s="1972" t="s">
        <v>1179</v>
      </c>
      <c r="K12" s="1979" t="s">
        <v>6025</v>
      </c>
      <c r="L12" s="2236">
        <v>2200</v>
      </c>
      <c r="M12" s="2030" t="s">
        <v>5392</v>
      </c>
      <c r="N12" s="1891"/>
      <c r="O12" s="2291">
        <v>1</v>
      </c>
    </row>
    <row r="13" spans="1:127" s="2003" customFormat="1" ht="56.25" customHeight="1">
      <c r="A13" s="2268">
        <v>4</v>
      </c>
      <c r="B13" s="2232" t="str">
        <f t="shared" si="0"/>
        <v>2000002641</v>
      </c>
      <c r="C13" s="2232" t="s">
        <v>3440</v>
      </c>
      <c r="D13" s="2449">
        <v>9250</v>
      </c>
      <c r="E13" s="2232" t="s">
        <v>6026</v>
      </c>
      <c r="F13" s="2232" t="s">
        <v>16</v>
      </c>
      <c r="G13" s="2232" t="s">
        <v>6027</v>
      </c>
      <c r="H13" s="2233" t="s">
        <v>6013</v>
      </c>
      <c r="I13" s="2232" t="s">
        <v>65</v>
      </c>
      <c r="J13" s="2232" t="s">
        <v>164</v>
      </c>
      <c r="K13" s="2234" t="s">
        <v>6028</v>
      </c>
      <c r="L13" s="2236">
        <v>300</v>
      </c>
      <c r="M13" s="2378" t="s">
        <v>6009</v>
      </c>
      <c r="N13" s="2259" t="s">
        <v>6010</v>
      </c>
      <c r="O13" s="2235">
        <v>1</v>
      </c>
    </row>
    <row r="14" spans="1:127" s="1774" customFormat="1" ht="56.25" customHeight="1">
      <c r="A14" s="2476"/>
      <c r="B14" s="1972" t="str">
        <f t="shared" si="0"/>
        <v>2000002642</v>
      </c>
      <c r="C14" s="1972" t="s">
        <v>3440</v>
      </c>
      <c r="D14" s="1973"/>
      <c r="E14" s="1972"/>
      <c r="F14" s="1972" t="s">
        <v>16</v>
      </c>
      <c r="G14" s="1972"/>
      <c r="H14" s="1972"/>
      <c r="I14" s="1972"/>
      <c r="J14" s="1972" t="s">
        <v>164</v>
      </c>
      <c r="K14" s="1979" t="s">
        <v>6029</v>
      </c>
      <c r="L14" s="2236">
        <v>250</v>
      </c>
      <c r="M14" s="2378" t="s">
        <v>6009</v>
      </c>
      <c r="N14" s="1891" t="s">
        <v>6010</v>
      </c>
      <c r="O14" s="2235">
        <v>1</v>
      </c>
    </row>
    <row r="15" spans="1:127" s="1774" customFormat="1" ht="56.25" customHeight="1">
      <c r="A15" s="2476"/>
      <c r="B15" s="1972" t="str">
        <f t="shared" si="0"/>
        <v>2000002665</v>
      </c>
      <c r="C15" s="1972" t="s">
        <v>3440</v>
      </c>
      <c r="D15" s="1973"/>
      <c r="E15" s="1972"/>
      <c r="F15" s="1972" t="s">
        <v>16</v>
      </c>
      <c r="G15" s="1972"/>
      <c r="H15" s="1972"/>
      <c r="I15" s="1972"/>
      <c r="J15" s="1972" t="s">
        <v>106</v>
      </c>
      <c r="K15" s="1979" t="s">
        <v>6030</v>
      </c>
      <c r="L15" s="2236">
        <v>7600</v>
      </c>
      <c r="M15" s="2378" t="s">
        <v>6009</v>
      </c>
      <c r="N15" s="1891" t="s">
        <v>6031</v>
      </c>
      <c r="O15" s="2235">
        <v>1</v>
      </c>
    </row>
    <row r="16" spans="1:127" s="1774" customFormat="1" ht="56.25" customHeight="1">
      <c r="A16" s="2477"/>
      <c r="B16" s="1972" t="str">
        <f t="shared" si="0"/>
        <v>2000002622</v>
      </c>
      <c r="C16" s="1972" t="s">
        <v>3440</v>
      </c>
      <c r="D16" s="1973"/>
      <c r="E16" s="1972"/>
      <c r="F16" s="1972" t="s">
        <v>16</v>
      </c>
      <c r="G16" s="1972"/>
      <c r="H16" s="1972"/>
      <c r="I16" s="1972"/>
      <c r="J16" s="1972" t="s">
        <v>106</v>
      </c>
      <c r="K16" s="1979" t="s">
        <v>6032</v>
      </c>
      <c r="L16" s="2236">
        <v>500</v>
      </c>
      <c r="M16" s="2378" t="s">
        <v>6009</v>
      </c>
      <c r="N16" s="1891" t="s">
        <v>6010</v>
      </c>
      <c r="O16" s="2235">
        <v>1</v>
      </c>
    </row>
    <row r="17" spans="1:127" s="1774" customFormat="1" ht="56.25" customHeight="1">
      <c r="A17" s="2268">
        <v>5</v>
      </c>
      <c r="B17" s="2232" t="str">
        <f t="shared" si="0"/>
        <v>2000002599</v>
      </c>
      <c r="C17" s="2232" t="s">
        <v>97</v>
      </c>
      <c r="D17" s="2449">
        <v>4620</v>
      </c>
      <c r="E17" s="2232" t="s">
        <v>6033</v>
      </c>
      <c r="F17" s="2232" t="s">
        <v>18</v>
      </c>
      <c r="G17" s="2232" t="s">
        <v>6034</v>
      </c>
      <c r="H17" s="2232" t="s">
        <v>5618</v>
      </c>
      <c r="I17" s="2232" t="s">
        <v>65</v>
      </c>
      <c r="J17" s="2232" t="s">
        <v>1179</v>
      </c>
      <c r="K17" s="2234" t="s">
        <v>6035</v>
      </c>
      <c r="L17" s="2236">
        <v>300</v>
      </c>
      <c r="M17" s="2378" t="s">
        <v>6009</v>
      </c>
      <c r="N17" s="2259" t="s">
        <v>6010</v>
      </c>
      <c r="O17" s="2235">
        <v>1</v>
      </c>
    </row>
    <row r="18" spans="1:127" s="1774" customFormat="1" ht="56.25" customHeight="1">
      <c r="A18" s="2476"/>
      <c r="B18" s="1972" t="str">
        <f t="shared" si="0"/>
        <v>2200001851</v>
      </c>
      <c r="C18" s="1972" t="s">
        <v>97</v>
      </c>
      <c r="D18" s="1973"/>
      <c r="E18" s="1972"/>
      <c r="F18" s="1972" t="s">
        <v>18</v>
      </c>
      <c r="G18" s="1972"/>
      <c r="H18" s="1972"/>
      <c r="I18" s="1972"/>
      <c r="J18" s="1972" t="s">
        <v>1179</v>
      </c>
      <c r="K18" s="1979" t="s">
        <v>6036</v>
      </c>
      <c r="L18" s="2236">
        <v>1140</v>
      </c>
      <c r="M18" s="2030" t="s">
        <v>6037</v>
      </c>
      <c r="N18" s="1891"/>
      <c r="O18" s="2235">
        <v>1</v>
      </c>
    </row>
    <row r="19" spans="1:127" s="1774" customFormat="1" ht="56.25" customHeight="1">
      <c r="A19" s="2477"/>
      <c r="B19" s="1972" t="str">
        <f t="shared" si="0"/>
        <v>2000002658</v>
      </c>
      <c r="C19" s="1972" t="s">
        <v>97</v>
      </c>
      <c r="D19" s="1973"/>
      <c r="E19" s="1972"/>
      <c r="F19" s="1972" t="s">
        <v>18</v>
      </c>
      <c r="G19" s="1972"/>
      <c r="H19" s="1972"/>
      <c r="I19" s="1972"/>
      <c r="J19" s="1972" t="s">
        <v>1179</v>
      </c>
      <c r="K19" s="1979" t="s">
        <v>6038</v>
      </c>
      <c r="L19" s="2236">
        <v>3200</v>
      </c>
      <c r="M19" s="2378" t="s">
        <v>6009</v>
      </c>
      <c r="N19" s="1891" t="s">
        <v>6010</v>
      </c>
      <c r="O19" s="2235">
        <v>1</v>
      </c>
    </row>
    <row r="20" spans="1:127" s="2003" customFormat="1" ht="56.25" customHeight="1">
      <c r="A20" s="2268">
        <v>6</v>
      </c>
      <c r="B20" s="2232" t="str">
        <f t="shared" si="0"/>
        <v>2000002645</v>
      </c>
      <c r="C20" s="2232" t="s">
        <v>3612</v>
      </c>
      <c r="D20" s="2449">
        <v>4000</v>
      </c>
      <c r="E20" s="2232" t="s">
        <v>6039</v>
      </c>
      <c r="F20" s="2232" t="s">
        <v>22</v>
      </c>
      <c r="G20" s="2232" t="s">
        <v>6040</v>
      </c>
      <c r="H20" s="2232" t="s">
        <v>5618</v>
      </c>
      <c r="I20" s="2232" t="s">
        <v>65</v>
      </c>
      <c r="J20" s="2232" t="s">
        <v>117</v>
      </c>
      <c r="K20" s="2234" t="s">
        <v>6041</v>
      </c>
      <c r="L20" s="2236">
        <v>700</v>
      </c>
      <c r="M20" s="2378" t="s">
        <v>6009</v>
      </c>
      <c r="N20" s="2259" t="s">
        <v>6010</v>
      </c>
      <c r="O20" s="2235">
        <v>1</v>
      </c>
    </row>
    <row r="21" spans="1:127" s="1774" customFormat="1" ht="56.25" customHeight="1">
      <c r="A21" s="2476"/>
      <c r="B21" s="1972" t="str">
        <f t="shared" si="0"/>
        <v>2000002636</v>
      </c>
      <c r="C21" s="1972" t="s">
        <v>3612</v>
      </c>
      <c r="D21" s="1973"/>
      <c r="E21" s="1972"/>
      <c r="F21" s="1972" t="s">
        <v>22</v>
      </c>
      <c r="G21" s="1972"/>
      <c r="H21" s="1972"/>
      <c r="I21" s="1972"/>
      <c r="J21" s="1972" t="s">
        <v>117</v>
      </c>
      <c r="K21" s="1979" t="s">
        <v>6042</v>
      </c>
      <c r="L21" s="2236">
        <v>145</v>
      </c>
      <c r="M21" s="2378" t="s">
        <v>6009</v>
      </c>
      <c r="N21" s="1891" t="s">
        <v>6043</v>
      </c>
      <c r="O21" s="2235">
        <v>1</v>
      </c>
    </row>
    <row r="22" spans="1:127" s="1774" customFormat="1" ht="56.25" customHeight="1">
      <c r="A22" s="2477"/>
      <c r="B22" s="1972" t="str">
        <f t="shared" si="0"/>
        <v>2200001861</v>
      </c>
      <c r="C22" s="1972" t="s">
        <v>3612</v>
      </c>
      <c r="D22" s="1973"/>
      <c r="E22" s="1972"/>
      <c r="F22" s="1972" t="s">
        <v>22</v>
      </c>
      <c r="G22" s="1972"/>
      <c r="H22" s="1972"/>
      <c r="I22" s="1972"/>
      <c r="J22" s="1972" t="s">
        <v>142</v>
      </c>
      <c r="K22" s="1979" t="s">
        <v>6044</v>
      </c>
      <c r="L22" s="2236">
        <v>3200</v>
      </c>
      <c r="M22" s="2030" t="s">
        <v>5392</v>
      </c>
      <c r="N22" s="2282"/>
      <c r="O22" s="1974">
        <v>1</v>
      </c>
      <c r="P22" s="2283"/>
    </row>
    <row r="23" spans="1:127" s="1774" customFormat="1" ht="56.25" customHeight="1">
      <c r="A23" s="2214">
        <v>7</v>
      </c>
      <c r="B23" s="1921" t="str">
        <f t="shared" si="0"/>
        <v>2000002664</v>
      </c>
      <c r="C23" s="1921" t="s">
        <v>125</v>
      </c>
      <c r="D23" s="2201">
        <v>4230</v>
      </c>
      <c r="E23" s="1921" t="s">
        <v>6045</v>
      </c>
      <c r="F23" s="1921" t="s">
        <v>22</v>
      </c>
      <c r="G23" s="1921" t="s">
        <v>6046</v>
      </c>
      <c r="H23" s="2261" t="s">
        <v>6047</v>
      </c>
      <c r="I23" s="1921" t="s">
        <v>65</v>
      </c>
      <c r="J23" s="1921" t="s">
        <v>1000</v>
      </c>
      <c r="K23" s="2161" t="s">
        <v>6048</v>
      </c>
      <c r="L23" s="2273">
        <v>1700</v>
      </c>
      <c r="M23" s="2326" t="s">
        <v>6009</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125</v>
      </c>
      <c r="D24" s="2203"/>
      <c r="E24" s="1495"/>
      <c r="F24" s="1495" t="s">
        <v>22</v>
      </c>
      <c r="G24" s="1773"/>
      <c r="H24" s="1495"/>
      <c r="I24" s="1568" t="s">
        <v>65</v>
      </c>
      <c r="J24" s="1495" t="s">
        <v>1000</v>
      </c>
      <c r="K24" s="1497" t="s">
        <v>6049</v>
      </c>
      <c r="L24" s="2207">
        <v>2530</v>
      </c>
      <c r="M24" s="1748" t="s">
        <v>6050</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258</v>
      </c>
      <c r="D25" s="2449">
        <v>4250</v>
      </c>
      <c r="E25" s="2232" t="s">
        <v>6011</v>
      </c>
      <c r="F25" s="2232" t="s">
        <v>16</v>
      </c>
      <c r="G25" s="2232" t="s">
        <v>6051</v>
      </c>
      <c r="H25" s="2232" t="s">
        <v>5618</v>
      </c>
      <c r="I25" s="2232" t="s">
        <v>65</v>
      </c>
      <c r="J25" s="2232" t="s">
        <v>117</v>
      </c>
      <c r="K25" s="2234" t="s">
        <v>6052</v>
      </c>
      <c r="L25" s="2236">
        <v>4250</v>
      </c>
      <c r="M25" s="2378" t="s">
        <v>6009</v>
      </c>
      <c r="N25" s="2259" t="s">
        <v>6053</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5" customHeight="1">
      <c r="A26" s="2214">
        <v>9</v>
      </c>
      <c r="B26" s="2286" t="str">
        <f t="shared" si="0"/>
        <v>2200001865</v>
      </c>
      <c r="C26" s="2286" t="s">
        <v>4223</v>
      </c>
      <c r="D26" s="2450">
        <v>7700</v>
      </c>
      <c r="E26" s="2286" t="s">
        <v>6054</v>
      </c>
      <c r="F26" s="2286" t="s">
        <v>18</v>
      </c>
      <c r="G26" s="2285" t="s">
        <v>6055</v>
      </c>
      <c r="H26" s="2285"/>
      <c r="I26" s="2286" t="s">
        <v>65</v>
      </c>
      <c r="J26" s="1921" t="s">
        <v>1179</v>
      </c>
      <c r="K26" s="1845" t="s">
        <v>6056</v>
      </c>
      <c r="L26" s="2288">
        <v>4439</v>
      </c>
      <c r="M26" s="2379" t="s">
        <v>6057</v>
      </c>
      <c r="N26" s="2289"/>
      <c r="O26" s="1974">
        <v>1</v>
      </c>
    </row>
    <row r="27" spans="1:127" s="2290" customFormat="1" ht="55.55" customHeight="1">
      <c r="A27" s="2165"/>
      <c r="B27" s="1495" t="str">
        <f t="shared" si="0"/>
        <v>2200001867</v>
      </c>
      <c r="C27" s="1495" t="s">
        <v>4223</v>
      </c>
      <c r="D27" s="2450"/>
      <c r="E27" s="2286"/>
      <c r="F27" s="1872" t="s">
        <v>18</v>
      </c>
      <c r="G27" s="2285"/>
      <c r="H27" s="2285"/>
      <c r="I27" s="1495" t="s">
        <v>65</v>
      </c>
      <c r="J27" s="1495" t="s">
        <v>1179</v>
      </c>
      <c r="K27" s="1497" t="s">
        <v>6058</v>
      </c>
      <c r="L27" s="2273">
        <v>2600</v>
      </c>
      <c r="M27" s="1851" t="s">
        <v>5392</v>
      </c>
      <c r="N27" s="2289"/>
      <c r="O27" s="1974">
        <v>1</v>
      </c>
    </row>
    <row r="28" spans="1:127" s="2223" customFormat="1" ht="55.55" customHeight="1">
      <c r="A28" s="2165"/>
      <c r="B28" s="1495" t="str">
        <f t="shared" si="0"/>
        <v>2200001863</v>
      </c>
      <c r="C28" s="1495" t="s">
        <v>4223</v>
      </c>
      <c r="D28" s="2201"/>
      <c r="E28" s="2118"/>
      <c r="F28" s="1872" t="s">
        <v>18</v>
      </c>
      <c r="G28" s="1921"/>
      <c r="H28" s="1921"/>
      <c r="I28" s="1495" t="s">
        <v>65</v>
      </c>
      <c r="J28" s="1495" t="s">
        <v>1179</v>
      </c>
      <c r="K28" s="1770" t="s">
        <v>6059</v>
      </c>
      <c r="L28" s="2284">
        <v>400</v>
      </c>
      <c r="M28" s="2379" t="s">
        <v>6060</v>
      </c>
      <c r="N28" s="2287" t="s">
        <v>6061</v>
      </c>
      <c r="O28" s="1974">
        <v>1</v>
      </c>
    </row>
    <row r="29" spans="1:127" s="2223" customFormat="1" ht="50.3" customHeight="1">
      <c r="A29" s="2270"/>
      <c r="B29" s="1495" t="str">
        <f t="shared" si="0"/>
        <v>2200001866</v>
      </c>
      <c r="C29" s="1495" t="s">
        <v>4223</v>
      </c>
      <c r="D29" s="2203"/>
      <c r="E29" s="1851"/>
      <c r="F29" s="1872" t="s">
        <v>18</v>
      </c>
      <c r="G29" s="1495"/>
      <c r="H29" s="1495"/>
      <c r="I29" s="1495" t="s">
        <v>65</v>
      </c>
      <c r="J29" s="1495" t="s">
        <v>1179</v>
      </c>
      <c r="K29" s="1770" t="s">
        <v>6062</v>
      </c>
      <c r="L29" s="2288">
        <v>228</v>
      </c>
      <c r="M29" s="2379" t="s">
        <v>6060</v>
      </c>
      <c r="N29" s="2287"/>
      <c r="O29" s="1974">
        <v>1</v>
      </c>
    </row>
    <row r="30" spans="1:127" s="2033" customFormat="1" ht="63" customHeight="1">
      <c r="A30" s="2473">
        <v>10</v>
      </c>
      <c r="B30" s="1461" t="str">
        <f t="shared" si="0"/>
        <v>2400001046</v>
      </c>
      <c r="C30" s="1461" t="s">
        <v>6063</v>
      </c>
      <c r="D30" s="2451">
        <f>L30+L31+L32+L33</f>
        <v>9100</v>
      </c>
      <c r="E30" s="1461" t="s">
        <v>6064</v>
      </c>
      <c r="F30" s="1461" t="s">
        <v>6065</v>
      </c>
      <c r="G30" s="1461" t="s">
        <v>6066</v>
      </c>
      <c r="H30" s="1461"/>
      <c r="I30" s="1461" t="s">
        <v>65</v>
      </c>
      <c r="J30" s="2125" t="s">
        <v>327</v>
      </c>
      <c r="K30" s="2162" t="s">
        <v>6067</v>
      </c>
      <c r="L30" s="2274">
        <v>1700</v>
      </c>
      <c r="M30" s="2378" t="s">
        <v>5230</v>
      </c>
      <c r="N30" s="2275" t="s">
        <v>3561</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6063</v>
      </c>
      <c r="D31" s="2452"/>
      <c r="E31" s="1460"/>
      <c r="F31" s="1460" t="s">
        <v>6065</v>
      </c>
      <c r="G31" s="1460"/>
      <c r="H31" s="1460"/>
      <c r="I31" s="1460" t="s">
        <v>65</v>
      </c>
      <c r="J31" s="2098" t="s">
        <v>327</v>
      </c>
      <c r="K31" s="1598" t="s">
        <v>6068</v>
      </c>
      <c r="L31" s="2274">
        <v>400</v>
      </c>
      <c r="M31" s="2380" t="s">
        <v>5701</v>
      </c>
      <c r="N31" s="2277" t="s">
        <v>3561</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6063</v>
      </c>
      <c r="D32" s="2452"/>
      <c r="E32" s="1460"/>
      <c r="F32" s="1460" t="s">
        <v>6065</v>
      </c>
      <c r="G32" s="1460"/>
      <c r="H32" s="1460"/>
      <c r="I32" s="1460" t="s">
        <v>65</v>
      </c>
      <c r="J32" s="2098" t="s">
        <v>327</v>
      </c>
      <c r="K32" s="1598" t="s">
        <v>6069</v>
      </c>
      <c r="L32" s="2274">
        <v>2250</v>
      </c>
      <c r="M32" s="2378" t="s">
        <v>5230</v>
      </c>
      <c r="N32" s="2277" t="s">
        <v>6070</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6063</v>
      </c>
      <c r="D33" s="2452"/>
      <c r="E33" s="1460"/>
      <c r="F33" s="1460" t="s">
        <v>6065</v>
      </c>
      <c r="G33" s="1460"/>
      <c r="H33" s="1460"/>
      <c r="I33" s="1460" t="s">
        <v>65</v>
      </c>
      <c r="J33" s="2098" t="s">
        <v>327</v>
      </c>
      <c r="K33" s="1598" t="s">
        <v>6071</v>
      </c>
      <c r="L33" s="2274">
        <v>4750</v>
      </c>
      <c r="M33" s="2378" t="s">
        <v>5230</v>
      </c>
      <c r="N33" s="2277" t="s">
        <v>6072</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139</v>
      </c>
      <c r="D34" s="2453">
        <v>4380</v>
      </c>
      <c r="E34" s="2118" t="s">
        <v>6073</v>
      </c>
      <c r="F34" s="2120" t="s">
        <v>20</v>
      </c>
      <c r="G34" s="1921" t="s">
        <v>6074</v>
      </c>
      <c r="H34" s="2159"/>
      <c r="I34" s="1921" t="s">
        <v>65</v>
      </c>
      <c r="J34" s="1921" t="s">
        <v>1179</v>
      </c>
      <c r="K34" s="1845" t="s">
        <v>6075</v>
      </c>
      <c r="L34" s="2281">
        <v>4380</v>
      </c>
      <c r="M34" s="2030" t="s">
        <v>5392</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3252</v>
      </c>
      <c r="D35" s="2201">
        <v>4200</v>
      </c>
      <c r="E35" s="1921" t="s">
        <v>6076</v>
      </c>
      <c r="F35" s="1921" t="s">
        <v>22</v>
      </c>
      <c r="G35" s="1561" t="s">
        <v>6077</v>
      </c>
      <c r="H35" s="2278" t="s">
        <v>5618</v>
      </c>
      <c r="I35" s="2279" t="s">
        <v>65</v>
      </c>
      <c r="J35" s="1921" t="s">
        <v>66</v>
      </c>
      <c r="K35" s="2194" t="s">
        <v>6078</v>
      </c>
      <c r="L35" s="2280">
        <v>4200</v>
      </c>
      <c r="M35" s="1748" t="s">
        <v>6079</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5517</v>
      </c>
      <c r="D36" s="2453">
        <v>6000</v>
      </c>
      <c r="E36" s="2118" t="s">
        <v>6073</v>
      </c>
      <c r="F36" s="2120" t="s">
        <v>24</v>
      </c>
      <c r="G36" s="1921" t="s">
        <v>6080</v>
      </c>
      <c r="H36" s="2159" t="s">
        <v>6081</v>
      </c>
      <c r="I36" s="2118" t="s">
        <v>65</v>
      </c>
      <c r="J36" s="2186" t="s">
        <v>106</v>
      </c>
      <c r="K36" s="1557" t="s">
        <v>6082</v>
      </c>
      <c r="L36" s="2293">
        <v>6000</v>
      </c>
      <c r="M36" s="2378" t="s">
        <v>5230</v>
      </c>
      <c r="N36" s="2277" t="s">
        <v>3561</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5517</v>
      </c>
      <c r="D37" s="2454"/>
      <c r="E37" s="1851"/>
      <c r="F37" s="1872" t="s">
        <v>24</v>
      </c>
      <c r="G37" s="1495"/>
      <c r="H37" s="1947"/>
      <c r="I37" s="1773" t="s">
        <v>65</v>
      </c>
      <c r="J37" s="1495" t="s">
        <v>106</v>
      </c>
      <c r="K37" s="1496" t="s">
        <v>6083</v>
      </c>
      <c r="L37" s="2294">
        <v>90</v>
      </c>
      <c r="M37" s="2295" t="s">
        <v>6060</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5896</v>
      </c>
      <c r="D38" s="2455">
        <v>12000</v>
      </c>
      <c r="E38" s="1921" t="s">
        <v>6084</v>
      </c>
      <c r="F38" s="1921" t="s">
        <v>16</v>
      </c>
      <c r="G38" s="1921" t="s">
        <v>6085</v>
      </c>
      <c r="H38" s="2219" t="s">
        <v>6081</v>
      </c>
      <c r="I38" s="2297" t="s">
        <v>65</v>
      </c>
      <c r="J38" s="2298" t="s">
        <v>1179</v>
      </c>
      <c r="K38" s="1845" t="s">
        <v>6086</v>
      </c>
      <c r="L38" s="2299">
        <v>12000</v>
      </c>
      <c r="M38" s="1495" t="s">
        <v>5230</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3" customHeight="1">
      <c r="A39" s="2192">
        <v>15</v>
      </c>
      <c r="B39" s="1921" t="str">
        <f t="shared" si="1"/>
        <v>2000002668</v>
      </c>
      <c r="C39" s="1921" t="s">
        <v>5335</v>
      </c>
      <c r="D39" s="2201">
        <v>4270</v>
      </c>
      <c r="E39" s="2118" t="s">
        <v>6087</v>
      </c>
      <c r="F39" s="1921" t="s">
        <v>22</v>
      </c>
      <c r="G39" s="1921" t="s">
        <v>6088</v>
      </c>
      <c r="H39" s="2159" t="s">
        <v>6081</v>
      </c>
      <c r="I39" s="1921" t="s">
        <v>65</v>
      </c>
      <c r="J39" s="1921" t="s">
        <v>66</v>
      </c>
      <c r="K39" s="2194" t="s">
        <v>6089</v>
      </c>
      <c r="L39" s="2280">
        <v>4200</v>
      </c>
      <c r="M39" s="1748" t="s">
        <v>6090</v>
      </c>
      <c r="N39" s="2264" t="s">
        <v>6091</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 customHeight="1">
      <c r="A40" s="3781">
        <v>16</v>
      </c>
      <c r="B40" s="2118" t="str">
        <f t="shared" si="1"/>
        <v>2000002670</v>
      </c>
      <c r="C40" s="2118" t="s">
        <v>3150</v>
      </c>
      <c r="D40" s="2453">
        <v>18500</v>
      </c>
      <c r="E40" s="2118" t="s">
        <v>6092</v>
      </c>
      <c r="F40" s="1561" t="s">
        <v>16</v>
      </c>
      <c r="G40" s="1921" t="s">
        <v>6093</v>
      </c>
      <c r="H40" s="2159" t="s">
        <v>6081</v>
      </c>
      <c r="I40" s="1921" t="s">
        <v>65</v>
      </c>
      <c r="J40" s="1921" t="s">
        <v>5858</v>
      </c>
      <c r="K40" s="2617" t="s">
        <v>6094</v>
      </c>
      <c r="L40" s="2284">
        <v>3000</v>
      </c>
      <c r="M40" s="2381" t="s">
        <v>5230</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3" customHeight="1">
      <c r="A41" s="3782"/>
      <c r="B41" s="1851" t="str">
        <f t="shared" si="1"/>
        <v>2000002682</v>
      </c>
      <c r="C41" s="1851" t="s">
        <v>3150</v>
      </c>
      <c r="D41" s="2454"/>
      <c r="E41" s="1851"/>
      <c r="F41" s="1773" t="s">
        <v>16</v>
      </c>
      <c r="G41" s="1921"/>
      <c r="H41" s="2025"/>
      <c r="I41" s="1495" t="s">
        <v>65</v>
      </c>
      <c r="J41" s="1495" t="s">
        <v>5858</v>
      </c>
      <c r="K41" s="1770" t="s">
        <v>6095</v>
      </c>
      <c r="L41" s="1770">
        <v>300</v>
      </c>
      <c r="M41" s="1851" t="s">
        <v>5392</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3" customHeight="1">
      <c r="A42" s="3782"/>
      <c r="B42" s="1851" t="str">
        <f t="shared" si="1"/>
        <v>2000002687</v>
      </c>
      <c r="C42" s="1851" t="s">
        <v>3150</v>
      </c>
      <c r="D42" s="2454"/>
      <c r="E42" s="1851"/>
      <c r="F42" s="1773" t="s">
        <v>16</v>
      </c>
      <c r="G42" s="1921"/>
      <c r="H42" s="2159"/>
      <c r="I42" s="1495" t="s">
        <v>65</v>
      </c>
      <c r="J42" s="1495" t="s">
        <v>5858</v>
      </c>
      <c r="K42" s="1994" t="s">
        <v>6096</v>
      </c>
      <c r="L42" s="1883">
        <v>300</v>
      </c>
      <c r="M42" s="1851" t="s">
        <v>5392</v>
      </c>
      <c r="N42" s="2275" t="s">
        <v>6097</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4837</v>
      </c>
      <c r="DW42" s="2122"/>
    </row>
    <row r="43" spans="1:127" s="1916" customFormat="1" ht="59.3" customHeight="1">
      <c r="A43" s="3782"/>
      <c r="B43" s="1851" t="str">
        <f t="shared" si="1"/>
        <v>2000002671</v>
      </c>
      <c r="C43" s="1851" t="s">
        <v>3150</v>
      </c>
      <c r="D43" s="2454"/>
      <c r="E43" s="1851"/>
      <c r="F43" s="1773" t="s">
        <v>16</v>
      </c>
      <c r="G43" s="1921"/>
      <c r="H43" s="2159"/>
      <c r="I43" s="1495" t="s">
        <v>65</v>
      </c>
      <c r="J43" s="1495" t="s">
        <v>5858</v>
      </c>
      <c r="K43" s="1994" t="s">
        <v>6098</v>
      </c>
      <c r="L43" s="1883">
        <v>633</v>
      </c>
      <c r="M43" s="2379" t="s">
        <v>6099</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3" customHeight="1">
      <c r="A44" s="3782"/>
      <c r="B44" s="1851" t="str">
        <f t="shared" si="1"/>
        <v>2000002672</v>
      </c>
      <c r="C44" s="1851" t="s">
        <v>3150</v>
      </c>
      <c r="D44" s="2454"/>
      <c r="E44" s="1851"/>
      <c r="F44" s="1773" t="s">
        <v>16</v>
      </c>
      <c r="G44" s="1921"/>
      <c r="H44" s="2159"/>
      <c r="I44" s="1495" t="s">
        <v>65</v>
      </c>
      <c r="J44" s="1495" t="s">
        <v>5858</v>
      </c>
      <c r="K44" s="1994" t="s">
        <v>6100</v>
      </c>
      <c r="L44" s="1883">
        <v>222</v>
      </c>
      <c r="M44" s="2379" t="s">
        <v>6099</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82"/>
      <c r="B45" s="1851" t="str">
        <f t="shared" si="1"/>
        <v>2000002673</v>
      </c>
      <c r="C45" s="1851" t="s">
        <v>3150</v>
      </c>
      <c r="D45" s="2454"/>
      <c r="E45" s="1851"/>
      <c r="F45" s="1773" t="s">
        <v>16</v>
      </c>
      <c r="G45" s="1921"/>
      <c r="H45" s="2159"/>
      <c r="I45" s="1495" t="s">
        <v>65</v>
      </c>
      <c r="J45" s="1495" t="s">
        <v>5858</v>
      </c>
      <c r="K45" s="1994" t="s">
        <v>6101</v>
      </c>
      <c r="L45" s="1883">
        <v>385</v>
      </c>
      <c r="M45" s="2379" t="s">
        <v>6099</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82"/>
      <c r="B46" s="1851" t="str">
        <f t="shared" si="1"/>
        <v>2200001867</v>
      </c>
      <c r="C46" s="1851" t="s">
        <v>3150</v>
      </c>
      <c r="D46" s="2454"/>
      <c r="E46" s="1851"/>
      <c r="F46" s="1773" t="s">
        <v>16</v>
      </c>
      <c r="G46" s="1921"/>
      <c r="H46" s="2159"/>
      <c r="I46" s="1495" t="s">
        <v>65</v>
      </c>
      <c r="J46" s="1495" t="s">
        <v>5858</v>
      </c>
      <c r="K46" s="1497" t="s">
        <v>6102</v>
      </c>
      <c r="L46" s="2273">
        <v>1200</v>
      </c>
      <c r="M46" s="1851" t="s">
        <v>5392</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82"/>
      <c r="B47" s="1851" t="str">
        <f t="shared" si="1"/>
        <v>2000002643</v>
      </c>
      <c r="C47" s="1851" t="s">
        <v>3150</v>
      </c>
      <c r="D47" s="2454"/>
      <c r="E47" s="1851"/>
      <c r="F47" s="1773" t="s">
        <v>16</v>
      </c>
      <c r="G47" s="1921"/>
      <c r="H47" s="2159"/>
      <c r="I47" s="1495" t="s">
        <v>65</v>
      </c>
      <c r="J47" s="1495" t="s">
        <v>5858</v>
      </c>
      <c r="K47" s="1497" t="s">
        <v>6103</v>
      </c>
      <c r="L47" s="2333">
        <v>7300</v>
      </c>
      <c r="M47" s="2379" t="s">
        <v>6009</v>
      </c>
      <c r="N47" s="2334" t="s">
        <v>6104</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83"/>
      <c r="B48" s="1851" t="str">
        <f t="shared" si="1"/>
        <v>2000002680</v>
      </c>
      <c r="C48" s="1851" t="s">
        <v>3150</v>
      </c>
      <c r="D48" s="2454"/>
      <c r="E48" s="1851"/>
      <c r="F48" s="1773" t="s">
        <v>16</v>
      </c>
      <c r="G48" s="1921"/>
      <c r="H48" s="2159"/>
      <c r="I48" s="1495" t="s">
        <v>65</v>
      </c>
      <c r="J48" s="1495" t="s">
        <v>5858</v>
      </c>
      <c r="K48" s="1600" t="s">
        <v>6105</v>
      </c>
      <c r="L48" s="2335">
        <v>5000</v>
      </c>
      <c r="M48" s="2381" t="s">
        <v>5230</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59.95" customHeight="1">
      <c r="A49" s="3768">
        <v>17</v>
      </c>
      <c r="B49" s="1921" t="str">
        <f t="shared" si="1"/>
        <v>2000002667</v>
      </c>
      <c r="C49" s="1921" t="s">
        <v>134</v>
      </c>
      <c r="D49" s="2456">
        <v>3000</v>
      </c>
      <c r="E49" s="2187" t="s">
        <v>6106</v>
      </c>
      <c r="F49" s="2187" t="s">
        <v>22</v>
      </c>
      <c r="G49" s="2187" t="s">
        <v>6107</v>
      </c>
      <c r="H49" s="2187"/>
      <c r="I49" s="2187" t="s">
        <v>65</v>
      </c>
      <c r="J49" s="2187" t="s">
        <v>164</v>
      </c>
      <c r="K49" s="2161" t="s">
        <v>6108</v>
      </c>
      <c r="L49" s="2300">
        <v>2500</v>
      </c>
      <c r="M49" s="1875" t="s">
        <v>6109</v>
      </c>
      <c r="N49" s="2301" t="s">
        <v>6110</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3" customHeight="1">
      <c r="A50" s="3769"/>
      <c r="B50" s="1495" t="str">
        <f t="shared" si="1"/>
        <v>2000002681</v>
      </c>
      <c r="C50" s="1495" t="s">
        <v>134</v>
      </c>
      <c r="D50" s="2457"/>
      <c r="E50" s="1495"/>
      <c r="F50" s="1495" t="s">
        <v>22</v>
      </c>
      <c r="G50" s="1495"/>
      <c r="H50" s="1937"/>
      <c r="I50" s="1495" t="s">
        <v>65</v>
      </c>
      <c r="J50" s="1495" t="s">
        <v>106</v>
      </c>
      <c r="K50" s="1981" t="s">
        <v>6111</v>
      </c>
      <c r="L50" s="2302">
        <v>500</v>
      </c>
      <c r="M50" s="1495" t="s">
        <v>5230</v>
      </c>
      <c r="N50" s="2691" t="s">
        <v>6112</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81">
        <v>18</v>
      </c>
      <c r="B51" s="2118" t="str">
        <f t="shared" si="1"/>
        <v>2200001867</v>
      </c>
      <c r="C51" s="2118" t="s">
        <v>6113</v>
      </c>
      <c r="D51" s="2178">
        <v>28000</v>
      </c>
      <c r="E51" s="2118" t="s">
        <v>6114</v>
      </c>
      <c r="F51" s="2120" t="s">
        <v>16</v>
      </c>
      <c r="G51" s="2118" t="s">
        <v>6115</v>
      </c>
      <c r="H51" s="2159" t="s">
        <v>6081</v>
      </c>
      <c r="I51" s="2118" t="s">
        <v>65</v>
      </c>
      <c r="J51" s="2118" t="s">
        <v>5858</v>
      </c>
      <c r="K51" s="2402" t="s">
        <v>6116</v>
      </c>
      <c r="L51" s="2273">
        <v>26000</v>
      </c>
      <c r="M51" s="2030" t="s">
        <v>5392</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83"/>
      <c r="B52" s="1495" t="str">
        <f t="shared" si="1"/>
        <v>2200001863</v>
      </c>
      <c r="C52" s="1495" t="s">
        <v>6113</v>
      </c>
      <c r="D52" s="2203"/>
      <c r="E52" s="1851"/>
      <c r="F52" s="1872" t="s">
        <v>16</v>
      </c>
      <c r="G52" s="1495"/>
      <c r="H52" s="1495"/>
      <c r="I52" s="1495" t="s">
        <v>65</v>
      </c>
      <c r="J52" s="1495" t="s">
        <v>5858</v>
      </c>
      <c r="K52" s="2329" t="s">
        <v>6117</v>
      </c>
      <c r="L52" s="2330">
        <v>1700</v>
      </c>
      <c r="M52" s="2295" t="s">
        <v>6060</v>
      </c>
      <c r="N52" s="2265" t="s">
        <v>6118</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804">
        <v>19</v>
      </c>
      <c r="B53" s="2297" t="str">
        <f t="shared" si="1"/>
        <v>2400001069</v>
      </c>
      <c r="C53" s="2297" t="s">
        <v>3898</v>
      </c>
      <c r="D53" s="2458">
        <v>5900</v>
      </c>
      <c r="E53" s="2297" t="s">
        <v>6114</v>
      </c>
      <c r="F53" s="2297" t="s">
        <v>3460</v>
      </c>
      <c r="G53" s="2297" t="s">
        <v>6119</v>
      </c>
      <c r="H53" s="2318"/>
      <c r="I53" s="1921" t="s">
        <v>65</v>
      </c>
      <c r="J53" s="1921" t="s">
        <v>308</v>
      </c>
      <c r="K53" s="2319" t="s">
        <v>6120</v>
      </c>
      <c r="L53" s="2314">
        <v>50</v>
      </c>
      <c r="M53" s="2378" t="s">
        <v>5230</v>
      </c>
      <c r="N53" s="2315" t="s">
        <v>6121</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805"/>
      <c r="B54" s="2303" t="str">
        <f t="shared" si="1"/>
        <v>2400001070</v>
      </c>
      <c r="C54" s="2303" t="s">
        <v>3898</v>
      </c>
      <c r="D54" s="2459"/>
      <c r="E54" s="2303"/>
      <c r="F54" s="2303" t="s">
        <v>3460</v>
      </c>
      <c r="G54" s="2303"/>
      <c r="H54" s="2309"/>
      <c r="I54" s="1495" t="s">
        <v>65</v>
      </c>
      <c r="J54" s="1495" t="s">
        <v>308</v>
      </c>
      <c r="K54" s="2313" t="s">
        <v>6122</v>
      </c>
      <c r="L54" s="2314">
        <v>405</v>
      </c>
      <c r="M54" s="2378" t="s">
        <v>5230</v>
      </c>
      <c r="N54" s="2692" t="s">
        <v>6121</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805"/>
      <c r="B55" s="2303" t="str">
        <f t="shared" si="1"/>
        <v>2400001071</v>
      </c>
      <c r="C55" s="2303" t="s">
        <v>3898</v>
      </c>
      <c r="D55" s="2459"/>
      <c r="E55" s="2303"/>
      <c r="F55" s="2303" t="s">
        <v>3460</v>
      </c>
      <c r="G55" s="2303"/>
      <c r="H55" s="2309"/>
      <c r="I55" s="1495" t="s">
        <v>65</v>
      </c>
      <c r="J55" s="1495" t="s">
        <v>308</v>
      </c>
      <c r="K55" s="2313" t="s">
        <v>6123</v>
      </c>
      <c r="L55" s="2314">
        <v>550</v>
      </c>
      <c r="M55" s="2382" t="s">
        <v>5230</v>
      </c>
      <c r="N55" s="2692" t="s">
        <v>6121</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805"/>
      <c r="B56" s="2303" t="str">
        <f t="shared" si="1"/>
        <v>2400001072</v>
      </c>
      <c r="C56" s="2303" t="s">
        <v>3898</v>
      </c>
      <c r="D56" s="2459"/>
      <c r="E56" s="2303"/>
      <c r="F56" s="2303" t="s">
        <v>3460</v>
      </c>
      <c r="G56" s="2303"/>
      <c r="H56" s="2309"/>
      <c r="I56" s="1495" t="s">
        <v>65</v>
      </c>
      <c r="J56" s="1495" t="s">
        <v>308</v>
      </c>
      <c r="K56" s="2313" t="s">
        <v>6124</v>
      </c>
      <c r="L56" s="2314">
        <v>480</v>
      </c>
      <c r="M56" s="2378" t="s">
        <v>5230</v>
      </c>
      <c r="N56" s="2315" t="s">
        <v>6121</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6" customHeight="1">
      <c r="A57" s="3805"/>
      <c r="B57" s="2303" t="str">
        <f t="shared" si="1"/>
        <v>2400001073</v>
      </c>
      <c r="C57" s="2303" t="s">
        <v>3898</v>
      </c>
      <c r="D57" s="2459"/>
      <c r="E57" s="2303"/>
      <c r="F57" s="2303" t="s">
        <v>3460</v>
      </c>
      <c r="G57" s="2303"/>
      <c r="H57" s="2309"/>
      <c r="I57" s="1495" t="s">
        <v>65</v>
      </c>
      <c r="J57" s="1495" t="s">
        <v>308</v>
      </c>
      <c r="K57" s="2313" t="s">
        <v>6125</v>
      </c>
      <c r="L57" s="2314">
        <v>70</v>
      </c>
      <c r="M57" s="2378" t="s">
        <v>5230</v>
      </c>
      <c r="N57" s="2315" t="s">
        <v>6121</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0.95" customHeight="1">
      <c r="A58" s="3805"/>
      <c r="B58" s="2303" t="str">
        <f t="shared" si="1"/>
        <v>2400001039</v>
      </c>
      <c r="C58" s="2303" t="s">
        <v>3898</v>
      </c>
      <c r="D58" s="2460"/>
      <c r="E58" s="2303"/>
      <c r="F58" s="2303" t="s">
        <v>3460</v>
      </c>
      <c r="G58" s="1460"/>
      <c r="H58" s="1460"/>
      <c r="I58" s="2303" t="s">
        <v>65</v>
      </c>
      <c r="J58" s="2309" t="s">
        <v>308</v>
      </c>
      <c r="K58" s="1774" t="s">
        <v>6126</v>
      </c>
      <c r="L58" s="2274">
        <v>205</v>
      </c>
      <c r="M58" s="2295" t="s">
        <v>5230</v>
      </c>
      <c r="N58" s="2315" t="s">
        <v>6121</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0.95" customHeight="1">
      <c r="A59" s="3805"/>
      <c r="B59" s="2303" t="str">
        <f t="shared" si="1"/>
        <v>2400001040</v>
      </c>
      <c r="C59" s="2303" t="s">
        <v>3898</v>
      </c>
      <c r="D59" s="2460"/>
      <c r="E59" s="2303"/>
      <c r="F59" s="2303" t="s">
        <v>3460</v>
      </c>
      <c r="G59" s="1460"/>
      <c r="H59" s="1460"/>
      <c r="I59" s="2303" t="s">
        <v>65</v>
      </c>
      <c r="J59" s="2309" t="s">
        <v>308</v>
      </c>
      <c r="K59" s="1774" t="s">
        <v>6127</v>
      </c>
      <c r="L59" s="2274">
        <v>505</v>
      </c>
      <c r="M59" s="2378" t="s">
        <v>5230</v>
      </c>
      <c r="N59" s="2315" t="s">
        <v>6121</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0.95" customHeight="1">
      <c r="A60" s="3805"/>
      <c r="B60" s="2303" t="str">
        <f t="shared" si="1"/>
        <v>2400001053</v>
      </c>
      <c r="C60" s="2303" t="s">
        <v>3898</v>
      </c>
      <c r="D60" s="2460"/>
      <c r="E60" s="2303"/>
      <c r="F60" s="2303" t="s">
        <v>3460</v>
      </c>
      <c r="G60" s="1460"/>
      <c r="H60" s="1460"/>
      <c r="I60" s="2303" t="s">
        <v>65</v>
      </c>
      <c r="J60" s="2309" t="s">
        <v>308</v>
      </c>
      <c r="K60" s="1770" t="s">
        <v>6128</v>
      </c>
      <c r="L60" s="2317">
        <v>200</v>
      </c>
      <c r="M60" s="2383" t="s">
        <v>5230</v>
      </c>
      <c r="N60" s="2315" t="s">
        <v>6121</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0.95" customHeight="1">
      <c r="A61" s="3805"/>
      <c r="B61" s="2303" t="str">
        <f t="shared" si="1"/>
        <v>2400001054</v>
      </c>
      <c r="C61" s="2303" t="s">
        <v>3898</v>
      </c>
      <c r="D61" s="2460"/>
      <c r="E61" s="2303"/>
      <c r="F61" s="2303" t="s">
        <v>3460</v>
      </c>
      <c r="G61" s="1460"/>
      <c r="H61" s="1460"/>
      <c r="I61" s="2303" t="s">
        <v>65</v>
      </c>
      <c r="J61" s="2309" t="s">
        <v>308</v>
      </c>
      <c r="K61" s="1770" t="s">
        <v>6129</v>
      </c>
      <c r="L61" s="2274">
        <v>80</v>
      </c>
      <c r="M61" s="2382" t="s">
        <v>5230</v>
      </c>
      <c r="N61" s="2315" t="s">
        <v>6121</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0.95" customHeight="1">
      <c r="A62" s="3805"/>
      <c r="B62" s="2303" t="str">
        <f t="shared" si="1"/>
        <v>2400001056</v>
      </c>
      <c r="C62" s="2303" t="s">
        <v>3898</v>
      </c>
      <c r="D62" s="2460"/>
      <c r="E62" s="2303"/>
      <c r="F62" s="2303" t="s">
        <v>3460</v>
      </c>
      <c r="G62" s="1460"/>
      <c r="H62" s="1460"/>
      <c r="I62" s="2303" t="s">
        <v>65</v>
      </c>
      <c r="J62" s="2309" t="s">
        <v>308</v>
      </c>
      <c r="K62" s="1994" t="s">
        <v>6130</v>
      </c>
      <c r="L62" s="2274">
        <v>132</v>
      </c>
      <c r="M62" s="2382" t="s">
        <v>5230</v>
      </c>
      <c r="N62" s="2310" t="s">
        <v>6131</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0.95" customHeight="1">
      <c r="A63" s="3805"/>
      <c r="B63" s="2303" t="str">
        <f t="shared" si="1"/>
        <v>2400001057</v>
      </c>
      <c r="C63" s="2303" t="s">
        <v>3898</v>
      </c>
      <c r="D63" s="2460"/>
      <c r="E63" s="2303"/>
      <c r="F63" s="2303" t="s">
        <v>3460</v>
      </c>
      <c r="G63" s="1460"/>
      <c r="H63" s="1460"/>
      <c r="I63" s="2303" t="s">
        <v>65</v>
      </c>
      <c r="J63" s="2309" t="s">
        <v>308</v>
      </c>
      <c r="K63" s="1994" t="s">
        <v>6132</v>
      </c>
      <c r="L63" s="2274">
        <v>88</v>
      </c>
      <c r="M63" s="2382" t="s">
        <v>5230</v>
      </c>
      <c r="N63" s="2310" t="s">
        <v>6131</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0.95" customHeight="1">
      <c r="A64" s="3805"/>
      <c r="B64" s="2303" t="str">
        <f t="shared" si="1"/>
        <v>2400001058</v>
      </c>
      <c r="C64" s="2303" t="s">
        <v>3898</v>
      </c>
      <c r="D64" s="2460"/>
      <c r="E64" s="2303"/>
      <c r="F64" s="2303" t="s">
        <v>3460</v>
      </c>
      <c r="G64" s="1460"/>
      <c r="H64" s="1460"/>
      <c r="I64" s="2303" t="s">
        <v>65</v>
      </c>
      <c r="J64" s="2309" t="s">
        <v>308</v>
      </c>
      <c r="K64" s="1994" t="s">
        <v>6133</v>
      </c>
      <c r="L64" s="2274">
        <v>200</v>
      </c>
      <c r="M64" s="2382" t="s">
        <v>5230</v>
      </c>
      <c r="N64" s="2310" t="s">
        <v>6131</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0.95" customHeight="1">
      <c r="A65" s="3805"/>
      <c r="B65" s="2303" t="str">
        <f t="shared" si="1"/>
        <v>2400001059</v>
      </c>
      <c r="C65" s="2303" t="s">
        <v>3898</v>
      </c>
      <c r="D65" s="2460"/>
      <c r="E65" s="2303"/>
      <c r="F65" s="2303" t="s">
        <v>3460</v>
      </c>
      <c r="G65" s="1460"/>
      <c r="H65" s="1460"/>
      <c r="I65" s="2303" t="s">
        <v>65</v>
      </c>
      <c r="J65" s="2309" t="s">
        <v>308</v>
      </c>
      <c r="K65" s="1994" t="s">
        <v>6134</v>
      </c>
      <c r="L65" s="2274">
        <v>50</v>
      </c>
      <c r="M65" s="2382" t="s">
        <v>5230</v>
      </c>
      <c r="N65" s="2310" t="s">
        <v>6131</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0.95" customHeight="1">
      <c r="A66" s="3805"/>
      <c r="B66" s="2303" t="str">
        <f t="shared" si="1"/>
        <v>2400001060</v>
      </c>
      <c r="C66" s="2303" t="s">
        <v>3898</v>
      </c>
      <c r="D66" s="2460"/>
      <c r="E66" s="2303"/>
      <c r="F66" s="2303" t="s">
        <v>3460</v>
      </c>
      <c r="G66" s="1460"/>
      <c r="H66" s="1460"/>
      <c r="I66" s="2303" t="s">
        <v>65</v>
      </c>
      <c r="J66" s="2309" t="s">
        <v>308</v>
      </c>
      <c r="K66" s="1994" t="s">
        <v>6135</v>
      </c>
      <c r="L66" s="2274">
        <v>200</v>
      </c>
      <c r="M66" s="2382" t="s">
        <v>5230</v>
      </c>
      <c r="N66" s="2310" t="s">
        <v>6131</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0.95" customHeight="1">
      <c r="A67" s="3805"/>
      <c r="B67" s="2303" t="str">
        <f t="shared" si="1"/>
        <v>2400001061</v>
      </c>
      <c r="C67" s="2303" t="s">
        <v>3898</v>
      </c>
      <c r="D67" s="2460"/>
      <c r="E67" s="2303"/>
      <c r="F67" s="2303" t="s">
        <v>3460</v>
      </c>
      <c r="G67" s="1460"/>
      <c r="H67" s="1460"/>
      <c r="I67" s="2303" t="s">
        <v>65</v>
      </c>
      <c r="J67" s="2309" t="s">
        <v>308</v>
      </c>
      <c r="K67" s="1994" t="s">
        <v>6136</v>
      </c>
      <c r="L67" s="2274">
        <v>40</v>
      </c>
      <c r="M67" s="2382" t="s">
        <v>5230</v>
      </c>
      <c r="N67" s="2310" t="s">
        <v>6131</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59.95" customHeight="1">
      <c r="A68" s="3805"/>
      <c r="B68" s="2303" t="str">
        <f t="shared" ref="B68:B99" si="2">TEXT(LEFT(K68,10),"0000000000")</f>
        <v>2400001033</v>
      </c>
      <c r="C68" s="2303" t="s">
        <v>3898</v>
      </c>
      <c r="D68" s="2452"/>
      <c r="E68" s="2303"/>
      <c r="F68" s="2303" t="s">
        <v>3460</v>
      </c>
      <c r="G68" s="1460"/>
      <c r="H68" s="1460"/>
      <c r="I68" s="1460" t="s">
        <v>65</v>
      </c>
      <c r="J68" s="2098" t="s">
        <v>6137</v>
      </c>
      <c r="K68" s="2304" t="s">
        <v>6138</v>
      </c>
      <c r="L68" s="2311">
        <v>500</v>
      </c>
      <c r="M68" s="2378" t="s">
        <v>5230</v>
      </c>
      <c r="N68" s="2307" t="s">
        <v>6139</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0.95" customHeight="1">
      <c r="A69" s="3805"/>
      <c r="B69" s="2303" t="str">
        <f t="shared" si="2"/>
        <v>2400001036</v>
      </c>
      <c r="C69" s="2303" t="s">
        <v>3898</v>
      </c>
      <c r="D69" s="2460"/>
      <c r="E69" s="2303"/>
      <c r="F69" s="2303" t="s">
        <v>3460</v>
      </c>
      <c r="G69" s="1460"/>
      <c r="H69" s="1460"/>
      <c r="I69" s="1460" t="s">
        <v>65</v>
      </c>
      <c r="J69" s="2098" t="s">
        <v>6137</v>
      </c>
      <c r="K69" s="2304" t="s">
        <v>6140</v>
      </c>
      <c r="L69" s="2305">
        <v>700</v>
      </c>
      <c r="M69" s="2383" t="s">
        <v>5230</v>
      </c>
      <c r="N69" s="2306" t="s">
        <v>6139</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0.95" customHeight="1">
      <c r="A70" s="3806"/>
      <c r="B70" s="2303" t="str">
        <f t="shared" si="2"/>
        <v>2400001037</v>
      </c>
      <c r="C70" s="2303" t="s">
        <v>3898</v>
      </c>
      <c r="D70" s="2452"/>
      <c r="E70" s="2303"/>
      <c r="F70" s="2303" t="s">
        <v>3460</v>
      </c>
      <c r="G70" s="1460"/>
      <c r="H70" s="1460"/>
      <c r="I70" s="1460" t="s">
        <v>65</v>
      </c>
      <c r="J70" s="2098" t="s">
        <v>6137</v>
      </c>
      <c r="K70" s="2304" t="s">
        <v>6141</v>
      </c>
      <c r="L70" s="2305">
        <v>1800</v>
      </c>
      <c r="M70" s="2382" t="s">
        <v>5230</v>
      </c>
      <c r="N70" s="2307" t="s">
        <v>6142</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35" customHeight="1">
      <c r="A71" s="2192">
        <v>20</v>
      </c>
      <c r="B71" s="1921" t="str">
        <f t="shared" si="2"/>
        <v>2200001873</v>
      </c>
      <c r="C71" s="1921" t="s">
        <v>3530</v>
      </c>
      <c r="D71" s="2461">
        <v>4300</v>
      </c>
      <c r="E71" s="2118" t="s">
        <v>6143</v>
      </c>
      <c r="F71" s="2120" t="s">
        <v>16</v>
      </c>
      <c r="G71" s="2118" t="s">
        <v>6144</v>
      </c>
      <c r="H71" s="2219"/>
      <c r="I71" s="2187" t="s">
        <v>65</v>
      </c>
      <c r="J71" s="1921" t="s">
        <v>142</v>
      </c>
      <c r="K71" s="2161" t="s">
        <v>6145</v>
      </c>
      <c r="L71" s="2322">
        <v>4300</v>
      </c>
      <c r="M71" s="1748" t="s">
        <v>6146</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8" customHeight="1">
      <c r="A72" s="3781">
        <v>21</v>
      </c>
      <c r="B72" s="2187" t="str">
        <f t="shared" si="2"/>
        <v>2200001855</v>
      </c>
      <c r="C72" s="2187" t="s">
        <v>3432</v>
      </c>
      <c r="D72" s="2462">
        <v>3300</v>
      </c>
      <c r="E72" s="2184" t="s">
        <v>6147</v>
      </c>
      <c r="F72" s="2186" t="s">
        <v>24</v>
      </c>
      <c r="G72" s="2184" t="s">
        <v>6148</v>
      </c>
      <c r="H72" s="2323"/>
      <c r="I72" s="1921" t="s">
        <v>65</v>
      </c>
      <c r="J72" s="2298" t="s">
        <v>1000</v>
      </c>
      <c r="K72" s="1916" t="s">
        <v>6149</v>
      </c>
      <c r="L72" s="2150">
        <v>500</v>
      </c>
      <c r="M72" s="2384" t="s">
        <v>5230</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8" customHeight="1">
      <c r="A73" s="3782"/>
      <c r="B73" s="1495" t="str">
        <f t="shared" si="2"/>
        <v>2200001872</v>
      </c>
      <c r="C73" s="1495" t="s">
        <v>3432</v>
      </c>
      <c r="D73" s="2463"/>
      <c r="E73" s="1495"/>
      <c r="F73" s="1495" t="s">
        <v>24</v>
      </c>
      <c r="G73" s="1568"/>
      <c r="H73" s="1495"/>
      <c r="I73" s="1495" t="s">
        <v>65</v>
      </c>
      <c r="J73" s="2025" t="s">
        <v>1000</v>
      </c>
      <c r="K73" s="1496" t="s">
        <v>6150</v>
      </c>
      <c r="L73" s="2325">
        <v>1800</v>
      </c>
      <c r="M73" s="1748" t="s">
        <v>6024</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8" customHeight="1">
      <c r="A74" s="3782"/>
      <c r="B74" s="1495" t="str">
        <f t="shared" si="2"/>
        <v>2200001881</v>
      </c>
      <c r="C74" s="1495" t="s">
        <v>3432</v>
      </c>
      <c r="D74" s="2463"/>
      <c r="E74" s="1495"/>
      <c r="F74" s="1495" t="s">
        <v>24</v>
      </c>
      <c r="G74" s="1947"/>
      <c r="H74" s="1937"/>
      <c r="I74" s="1495" t="s">
        <v>65</v>
      </c>
      <c r="J74" s="2025" t="s">
        <v>1000</v>
      </c>
      <c r="K74" s="2133" t="s">
        <v>6151</v>
      </c>
      <c r="L74" s="2302">
        <v>255</v>
      </c>
      <c r="M74" s="2326" t="s">
        <v>6009</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8" customHeight="1">
      <c r="A75" s="3782"/>
      <c r="B75" s="1495" t="str">
        <f t="shared" si="2"/>
        <v>2200001890</v>
      </c>
      <c r="C75" s="1495" t="s">
        <v>3432</v>
      </c>
      <c r="D75" s="2463"/>
      <c r="E75" s="1495"/>
      <c r="F75" s="1495" t="s">
        <v>24</v>
      </c>
      <c r="G75" s="1851"/>
      <c r="H75" s="1937"/>
      <c r="I75" s="1495" t="s">
        <v>65</v>
      </c>
      <c r="J75" s="2025" t="s">
        <v>1000</v>
      </c>
      <c r="K75" s="1598" t="s">
        <v>6152</v>
      </c>
      <c r="L75" s="2302">
        <v>259</v>
      </c>
      <c r="M75" s="2030" t="s">
        <v>6153</v>
      </c>
      <c r="N75" s="1962" t="s">
        <v>6154</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8" customHeight="1">
      <c r="A76" s="3783"/>
      <c r="B76" s="1495" t="str">
        <f t="shared" si="2"/>
        <v>2200001889</v>
      </c>
      <c r="C76" s="1495" t="s">
        <v>3432</v>
      </c>
      <c r="D76" s="2463"/>
      <c r="E76" s="1495"/>
      <c r="F76" s="1495" t="s">
        <v>24</v>
      </c>
      <c r="G76" s="1851"/>
      <c r="H76" s="1937"/>
      <c r="I76" s="1495" t="s">
        <v>65</v>
      </c>
      <c r="J76" s="2025" t="s">
        <v>1000</v>
      </c>
      <c r="K76" s="1598" t="s">
        <v>6155</v>
      </c>
      <c r="L76" s="2302">
        <v>486</v>
      </c>
      <c r="M76" s="2102" t="s">
        <v>6156</v>
      </c>
      <c r="N76" s="1790" t="s">
        <v>6157</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8" customHeight="1">
      <c r="A77" s="2192">
        <v>22</v>
      </c>
      <c r="B77" s="2118" t="str">
        <f t="shared" si="2"/>
        <v>2400001055</v>
      </c>
      <c r="C77" s="2118" t="s">
        <v>3494</v>
      </c>
      <c r="D77" s="2453">
        <v>3400</v>
      </c>
      <c r="E77" s="2118" t="s">
        <v>6158</v>
      </c>
      <c r="F77" s="2118" t="s">
        <v>16</v>
      </c>
      <c r="G77" s="1921" t="s">
        <v>6159</v>
      </c>
      <c r="H77" s="1921"/>
      <c r="I77" s="1921" t="s">
        <v>65</v>
      </c>
      <c r="J77" s="1921" t="s">
        <v>6160</v>
      </c>
      <c r="K77" s="2150" t="s">
        <v>6161</v>
      </c>
      <c r="L77" s="2337">
        <v>3400</v>
      </c>
      <c r="M77" s="2378" t="s">
        <v>5230</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0.95" customHeight="1">
      <c r="A78" s="3781">
        <v>23</v>
      </c>
      <c r="B78" s="1921" t="str">
        <f t="shared" si="2"/>
        <v>2000002677</v>
      </c>
      <c r="C78" s="1921" t="s">
        <v>3668</v>
      </c>
      <c r="D78" s="2461">
        <v>24000</v>
      </c>
      <c r="E78" s="1921" t="s">
        <v>6162</v>
      </c>
      <c r="F78" s="1921" t="s">
        <v>14</v>
      </c>
      <c r="G78" s="1921" t="s">
        <v>6163</v>
      </c>
      <c r="H78" s="1921"/>
      <c r="I78" s="1921" t="s">
        <v>65</v>
      </c>
      <c r="J78" s="1921" t="s">
        <v>5858</v>
      </c>
      <c r="K78" s="1916" t="s">
        <v>6164</v>
      </c>
      <c r="L78" s="2299">
        <v>2000</v>
      </c>
      <c r="M78" s="2385" t="s">
        <v>6009</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5" customHeight="1">
      <c r="A79" s="3782"/>
      <c r="B79" s="1495" t="str">
        <f t="shared" si="2"/>
        <v>2200001867</v>
      </c>
      <c r="C79" s="1495" t="s">
        <v>3668</v>
      </c>
      <c r="D79" s="2463"/>
      <c r="E79" s="1495"/>
      <c r="F79" s="1495" t="s">
        <v>14</v>
      </c>
      <c r="G79" s="1495"/>
      <c r="H79" s="1495"/>
      <c r="I79" s="1495" t="s">
        <v>65</v>
      </c>
      <c r="J79" s="1495" t="s">
        <v>5858</v>
      </c>
      <c r="K79" s="1600" t="s">
        <v>6165</v>
      </c>
      <c r="L79" s="2353">
        <v>6000</v>
      </c>
      <c r="M79" s="1748" t="s">
        <v>6166</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099999999999994" customHeight="1">
      <c r="A80" s="3782"/>
      <c r="B80" s="1495" t="str">
        <f t="shared" si="2"/>
        <v>2200001875</v>
      </c>
      <c r="C80" s="1495" t="s">
        <v>3668</v>
      </c>
      <c r="D80" s="2463"/>
      <c r="E80" s="1495"/>
      <c r="F80" s="1495" t="s">
        <v>14</v>
      </c>
      <c r="G80" s="1495"/>
      <c r="H80" s="1495"/>
      <c r="I80" s="1495" t="s">
        <v>65</v>
      </c>
      <c r="J80" s="1495" t="s">
        <v>5858</v>
      </c>
      <c r="K80" s="1496" t="s">
        <v>6167</v>
      </c>
      <c r="L80" s="2325">
        <v>3400</v>
      </c>
      <c r="M80" s="1748" t="s">
        <v>6168</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0.95" customHeight="1">
      <c r="A81" s="3782"/>
      <c r="B81" s="1851" t="str">
        <f t="shared" si="2"/>
        <v>2000002598</v>
      </c>
      <c r="C81" s="1851" t="s">
        <v>3668</v>
      </c>
      <c r="D81" s="2454"/>
      <c r="E81" s="1851"/>
      <c r="F81" s="1872" t="s">
        <v>14</v>
      </c>
      <c r="G81" s="1851"/>
      <c r="H81" s="2025"/>
      <c r="I81" s="1851" t="s">
        <v>65</v>
      </c>
      <c r="J81" s="1851" t="s">
        <v>5858</v>
      </c>
      <c r="K81" s="2133" t="s">
        <v>6169</v>
      </c>
      <c r="L81" s="2347">
        <v>1500</v>
      </c>
      <c r="M81" s="2326" t="s">
        <v>6009</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0.95" customHeight="1">
      <c r="A82" s="3782"/>
      <c r="B82" s="1495" t="str">
        <f t="shared" si="2"/>
        <v>2000002683</v>
      </c>
      <c r="C82" s="1495" t="s">
        <v>3668</v>
      </c>
      <c r="D82" s="2463"/>
      <c r="E82" s="1851"/>
      <c r="F82" s="1872" t="s">
        <v>14</v>
      </c>
      <c r="G82" s="1851"/>
      <c r="H82" s="1937"/>
      <c r="I82" s="1495" t="s">
        <v>65</v>
      </c>
      <c r="J82" s="1495" t="s">
        <v>5858</v>
      </c>
      <c r="K82" s="1598" t="s">
        <v>6170</v>
      </c>
      <c r="L82" s="2347">
        <v>300</v>
      </c>
      <c r="M82" s="2326" t="s">
        <v>6009</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82"/>
      <c r="B83" s="1495" t="str">
        <f t="shared" si="2"/>
        <v>2000002690</v>
      </c>
      <c r="C83" s="1495" t="s">
        <v>3668</v>
      </c>
      <c r="D83" s="2463"/>
      <c r="E83" s="1851"/>
      <c r="F83" s="1872" t="s">
        <v>14</v>
      </c>
      <c r="G83" s="1851"/>
      <c r="H83" s="1937"/>
      <c r="I83" s="1495" t="s">
        <v>65</v>
      </c>
      <c r="J83" s="1495" t="s">
        <v>5858</v>
      </c>
      <c r="K83" s="1598" t="s">
        <v>6171</v>
      </c>
      <c r="L83" s="2302">
        <v>3945</v>
      </c>
      <c r="M83" s="2326" t="s">
        <v>6009</v>
      </c>
      <c r="N83" s="1605" t="s">
        <v>6172</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0.95" customHeight="1">
      <c r="A84" s="3782"/>
      <c r="B84" s="1495" t="str">
        <f t="shared" si="2"/>
        <v>2200001877</v>
      </c>
      <c r="C84" s="1495" t="s">
        <v>3668</v>
      </c>
      <c r="D84" s="2463"/>
      <c r="E84" s="1851"/>
      <c r="F84" s="1872" t="s">
        <v>14</v>
      </c>
      <c r="G84" s="1851"/>
      <c r="H84" s="1937"/>
      <c r="I84" s="1495" t="s">
        <v>65</v>
      </c>
      <c r="J84" s="1495" t="s">
        <v>5858</v>
      </c>
      <c r="K84" s="1464" t="s">
        <v>6173</v>
      </c>
      <c r="L84" s="2302">
        <v>2128</v>
      </c>
      <c r="M84" s="2326" t="s">
        <v>6009</v>
      </c>
      <c r="N84" s="1605" t="s">
        <v>6174</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0.95" customHeight="1">
      <c r="A85" s="3782"/>
      <c r="B85" s="1495" t="str">
        <f t="shared" si="2"/>
        <v>2200001884</v>
      </c>
      <c r="C85" s="1495" t="s">
        <v>3668</v>
      </c>
      <c r="D85" s="2463"/>
      <c r="E85" s="1851"/>
      <c r="F85" s="1872" t="s">
        <v>14</v>
      </c>
      <c r="G85" s="1875"/>
      <c r="H85" s="1937"/>
      <c r="I85" s="1495" t="s">
        <v>65</v>
      </c>
      <c r="J85" s="1495" t="s">
        <v>5858</v>
      </c>
      <c r="K85" s="1598" t="s">
        <v>6175</v>
      </c>
      <c r="L85" s="2302">
        <v>1124</v>
      </c>
      <c r="M85" s="2102" t="s">
        <v>6176</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0.95" customHeight="1">
      <c r="A86" s="3782"/>
      <c r="B86" s="1495" t="str">
        <f t="shared" si="2"/>
        <v>2200001880</v>
      </c>
      <c r="C86" s="1495" t="s">
        <v>3668</v>
      </c>
      <c r="D86" s="2463"/>
      <c r="E86" s="1851"/>
      <c r="F86" s="1872" t="s">
        <v>14</v>
      </c>
      <c r="G86" s="1495"/>
      <c r="H86" s="1937"/>
      <c r="I86" s="1495" t="s">
        <v>65</v>
      </c>
      <c r="J86" s="1495" t="s">
        <v>5858</v>
      </c>
      <c r="K86" s="2329" t="s">
        <v>6177</v>
      </c>
      <c r="L86" s="2302">
        <v>353</v>
      </c>
      <c r="M86" s="2326" t="s">
        <v>6009</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0.95" customHeight="1">
      <c r="A87" s="3782"/>
      <c r="B87" s="1495" t="str">
        <f t="shared" si="2"/>
        <v>2000002632</v>
      </c>
      <c r="C87" s="1495" t="s">
        <v>3668</v>
      </c>
      <c r="D87" s="2463"/>
      <c r="E87" s="1851"/>
      <c r="F87" s="1872" t="s">
        <v>14</v>
      </c>
      <c r="G87" s="1495"/>
      <c r="H87" s="1495"/>
      <c r="I87" s="2320" t="s">
        <v>65</v>
      </c>
      <c r="J87" s="1495" t="s">
        <v>5858</v>
      </c>
      <c r="K87" s="2693" t="s">
        <v>6178</v>
      </c>
      <c r="L87" s="2349">
        <v>2000</v>
      </c>
      <c r="M87" s="2382" t="s">
        <v>5230</v>
      </c>
      <c r="N87" s="2350" t="s">
        <v>6179</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0.95" customHeight="1">
      <c r="A88" s="3782"/>
      <c r="B88" s="1495" t="str">
        <f t="shared" si="2"/>
        <v>2000002685</v>
      </c>
      <c r="C88" s="1495" t="s">
        <v>3668</v>
      </c>
      <c r="D88" s="2463"/>
      <c r="E88" s="1851"/>
      <c r="F88" s="1872" t="s">
        <v>14</v>
      </c>
      <c r="G88" s="1495"/>
      <c r="H88" s="2159"/>
      <c r="I88" s="2320" t="s">
        <v>65</v>
      </c>
      <c r="J88" s="1773" t="s">
        <v>5858</v>
      </c>
      <c r="K88" s="1967" t="s">
        <v>6180</v>
      </c>
      <c r="L88" s="2351">
        <v>300</v>
      </c>
      <c r="M88" s="2378" t="s">
        <v>5230</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0.95" customHeight="1">
      <c r="A89" s="3783"/>
      <c r="B89" s="1495" t="str">
        <f t="shared" si="2"/>
        <v>2000002707</v>
      </c>
      <c r="C89" s="1495" t="s">
        <v>3668</v>
      </c>
      <c r="D89" s="2463"/>
      <c r="E89" s="1851"/>
      <c r="F89" s="1872" t="s">
        <v>14</v>
      </c>
      <c r="G89" s="1872"/>
      <c r="H89" s="1851"/>
      <c r="I89" s="2320" t="s">
        <v>65</v>
      </c>
      <c r="J89" s="1495" t="s">
        <v>5858</v>
      </c>
      <c r="K89" s="1628" t="s">
        <v>6181</v>
      </c>
      <c r="L89" s="2352">
        <v>1000</v>
      </c>
      <c r="M89" s="2378" t="s">
        <v>5230</v>
      </c>
      <c r="N89" s="1843" t="s">
        <v>6182</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0.95" customHeight="1">
      <c r="A90" s="3781">
        <v>24</v>
      </c>
      <c r="B90" s="2118" t="str">
        <f t="shared" si="2"/>
        <v>2200001873</v>
      </c>
      <c r="C90" s="2118" t="s">
        <v>3602</v>
      </c>
      <c r="D90" s="2453">
        <v>3490</v>
      </c>
      <c r="E90" s="2118" t="s">
        <v>6183</v>
      </c>
      <c r="F90" s="2120" t="s">
        <v>20</v>
      </c>
      <c r="G90" s="1921" t="s">
        <v>6184</v>
      </c>
      <c r="H90" s="1921"/>
      <c r="I90" s="2327" t="s">
        <v>65</v>
      </c>
      <c r="J90" s="1921" t="s">
        <v>142</v>
      </c>
      <c r="K90" s="2328" t="s">
        <v>6145</v>
      </c>
      <c r="L90" s="2266">
        <v>2500</v>
      </c>
      <c r="M90" s="2030" t="s">
        <v>6146</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0.95" customHeight="1">
      <c r="A91" s="3783"/>
      <c r="B91" s="1851" t="str">
        <f t="shared" si="2"/>
        <v>2200001870</v>
      </c>
      <c r="C91" s="1851" t="s">
        <v>3602</v>
      </c>
      <c r="D91" s="2454"/>
      <c r="E91" s="1851"/>
      <c r="F91" s="1872" t="s">
        <v>20</v>
      </c>
      <c r="G91" s="1495"/>
      <c r="H91" s="1947"/>
      <c r="I91" s="2320" t="s">
        <v>65</v>
      </c>
      <c r="J91" s="1872" t="s">
        <v>142</v>
      </c>
      <c r="K91" s="1496" t="s">
        <v>6185</v>
      </c>
      <c r="L91" s="2266">
        <v>1000</v>
      </c>
      <c r="M91" s="2030" t="s">
        <v>6186</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0.95" customHeight="1">
      <c r="A92" s="3781">
        <v>25</v>
      </c>
      <c r="B92" s="2118" t="str">
        <f t="shared" si="2"/>
        <v>2000002692</v>
      </c>
      <c r="C92" s="2118" t="s">
        <v>114</v>
      </c>
      <c r="D92" s="2453">
        <v>3700</v>
      </c>
      <c r="E92" s="2118" t="s">
        <v>6187</v>
      </c>
      <c r="F92" s="2120" t="s">
        <v>22</v>
      </c>
      <c r="G92" s="1921" t="s">
        <v>6188</v>
      </c>
      <c r="H92" s="2159" t="s">
        <v>6189</v>
      </c>
      <c r="I92" s="2344" t="s">
        <v>65</v>
      </c>
      <c r="J92" s="2120" t="s">
        <v>4386</v>
      </c>
      <c r="K92" s="2161" t="s">
        <v>6190</v>
      </c>
      <c r="L92" s="2345">
        <v>2000</v>
      </c>
      <c r="M92" s="2378" t="s">
        <v>5230</v>
      </c>
      <c r="N92" s="2130" t="s">
        <v>6191</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83"/>
      <c r="B93" s="1851" t="str">
        <f t="shared" si="2"/>
        <v>2000002713</v>
      </c>
      <c r="C93" s="1851" t="s">
        <v>114</v>
      </c>
      <c r="D93" s="2454"/>
      <c r="E93" s="1851" t="s">
        <v>6187</v>
      </c>
      <c r="F93" s="1872" t="s">
        <v>22</v>
      </c>
      <c r="G93" s="1495" t="s">
        <v>6192</v>
      </c>
      <c r="H93" s="1947" t="s">
        <v>6189</v>
      </c>
      <c r="I93" s="2320" t="s">
        <v>65</v>
      </c>
      <c r="J93" s="1872" t="s">
        <v>164</v>
      </c>
      <c r="K93" s="1628" t="s">
        <v>6193</v>
      </c>
      <c r="L93" s="2345">
        <v>1700</v>
      </c>
      <c r="M93" s="2295" t="s">
        <v>6194</v>
      </c>
      <c r="N93" s="2131" t="s">
        <v>6195</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0.95" customHeight="1">
      <c r="A94" s="3781">
        <v>26</v>
      </c>
      <c r="B94" s="2118" t="str">
        <f t="shared" si="2"/>
        <v>2000002637</v>
      </c>
      <c r="C94" s="2118" t="s">
        <v>3464</v>
      </c>
      <c r="D94" s="2453">
        <v>3598</v>
      </c>
      <c r="E94" s="2118" t="s">
        <v>6196</v>
      </c>
      <c r="F94" s="2120" t="s">
        <v>20</v>
      </c>
      <c r="G94" s="2118" t="s">
        <v>6197</v>
      </c>
      <c r="H94" s="2159"/>
      <c r="I94" s="1921" t="s">
        <v>65</v>
      </c>
      <c r="J94" s="2120" t="s">
        <v>117</v>
      </c>
      <c r="K94" s="2161" t="s">
        <v>6198</v>
      </c>
      <c r="L94" s="2281">
        <v>331</v>
      </c>
      <c r="M94" s="2383" t="s">
        <v>5230</v>
      </c>
      <c r="N94" s="2130" t="s">
        <v>6043</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0.95" customHeight="1">
      <c r="A95" s="3782"/>
      <c r="B95" s="1851" t="str">
        <f t="shared" si="2"/>
        <v>2000002638</v>
      </c>
      <c r="C95" s="1851" t="s">
        <v>3464</v>
      </c>
      <c r="D95" s="2454"/>
      <c r="E95" s="1851"/>
      <c r="F95" s="1872" t="s">
        <v>20</v>
      </c>
      <c r="G95" s="1921"/>
      <c r="H95" s="1947"/>
      <c r="I95" s="1495" t="s">
        <v>65</v>
      </c>
      <c r="J95" s="1872" t="s">
        <v>117</v>
      </c>
      <c r="K95" s="1628" t="s">
        <v>6199</v>
      </c>
      <c r="L95" s="2330">
        <v>140</v>
      </c>
      <c r="M95" s="2378" t="s">
        <v>5230</v>
      </c>
      <c r="N95" s="2277" t="s">
        <v>6043</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82"/>
      <c r="B96" s="1851" t="str">
        <f t="shared" si="2"/>
        <v>2000002657</v>
      </c>
      <c r="C96" s="1851" t="s">
        <v>3464</v>
      </c>
      <c r="D96" s="2454"/>
      <c r="E96" s="1851"/>
      <c r="F96" s="1872" t="s">
        <v>20</v>
      </c>
      <c r="G96" s="1921"/>
      <c r="H96" s="1947"/>
      <c r="I96" s="1543" t="s">
        <v>65</v>
      </c>
      <c r="J96" s="1543" t="s">
        <v>117</v>
      </c>
      <c r="K96" s="1605" t="s">
        <v>6200</v>
      </c>
      <c r="L96" s="2340">
        <v>800</v>
      </c>
      <c r="M96" s="2378" t="s">
        <v>5230</v>
      </c>
      <c r="N96" s="2341" t="s">
        <v>6201</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35" customHeight="1">
      <c r="A97" s="3782"/>
      <c r="B97" s="1851" t="str">
        <f t="shared" si="2"/>
        <v>2000002669</v>
      </c>
      <c r="C97" s="1851" t="s">
        <v>3464</v>
      </c>
      <c r="D97" s="2454"/>
      <c r="E97" s="1851"/>
      <c r="F97" s="1872" t="s">
        <v>20</v>
      </c>
      <c r="G97" s="1921"/>
      <c r="H97" s="1947"/>
      <c r="I97" s="1899" t="s">
        <v>65</v>
      </c>
      <c r="J97" s="1495" t="s">
        <v>117</v>
      </c>
      <c r="K97" s="2136" t="s">
        <v>6202</v>
      </c>
      <c r="L97" s="2342">
        <v>150</v>
      </c>
      <c r="M97" s="2386" t="s">
        <v>5230</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0.95" customHeight="1">
      <c r="A98" s="3782"/>
      <c r="B98" s="1851" t="str">
        <f t="shared" si="2"/>
        <v>2000002640</v>
      </c>
      <c r="C98" s="1851" t="s">
        <v>3464</v>
      </c>
      <c r="D98" s="2454"/>
      <c r="E98" s="1851"/>
      <c r="F98" s="1872" t="s">
        <v>20</v>
      </c>
      <c r="G98" s="1495"/>
      <c r="H98" s="1947"/>
      <c r="I98" s="1495" t="s">
        <v>65</v>
      </c>
      <c r="J98" s="1851" t="s">
        <v>5400</v>
      </c>
      <c r="K98" s="1600" t="s">
        <v>6203</v>
      </c>
      <c r="L98" s="2343">
        <v>1600</v>
      </c>
      <c r="M98" s="2386" t="s">
        <v>5230</v>
      </c>
      <c r="N98" s="1843" t="s">
        <v>6204</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0.95" customHeight="1">
      <c r="A99" s="3782"/>
      <c r="B99" s="1851" t="str">
        <f t="shared" si="2"/>
        <v>2000002607</v>
      </c>
      <c r="C99" s="1851" t="s">
        <v>3464</v>
      </c>
      <c r="D99" s="2464"/>
      <c r="E99" s="1770"/>
      <c r="F99" s="1872" t="s">
        <v>20</v>
      </c>
      <c r="G99" s="1916"/>
      <c r="H99" s="1916"/>
      <c r="I99" s="1495" t="s">
        <v>65</v>
      </c>
      <c r="J99" s="1495" t="s">
        <v>5400</v>
      </c>
      <c r="K99" s="1770" t="s">
        <v>6205</v>
      </c>
      <c r="L99" s="1770">
        <v>182</v>
      </c>
      <c r="M99" s="2387" t="s">
        <v>6099</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0.95" customHeight="1">
      <c r="A100" s="3783"/>
      <c r="B100" s="1851" t="str">
        <f t="shared" ref="B100:B131" si="3">TEXT(LEFT(K100,10),"0000000000")</f>
        <v>2000002608</v>
      </c>
      <c r="C100" s="1851" t="s">
        <v>3464</v>
      </c>
      <c r="D100" s="2454"/>
      <c r="E100" s="1851"/>
      <c r="F100" s="1872" t="s">
        <v>20</v>
      </c>
      <c r="G100" s="1921"/>
      <c r="H100" s="2159"/>
      <c r="I100" s="1495" t="s">
        <v>65</v>
      </c>
      <c r="J100" s="1495" t="s">
        <v>5400</v>
      </c>
      <c r="K100" s="1995" t="s">
        <v>6206</v>
      </c>
      <c r="L100" s="2343">
        <v>395</v>
      </c>
      <c r="M100" s="2378" t="s">
        <v>6099</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0.95" customHeight="1">
      <c r="A101" s="3781">
        <v>27</v>
      </c>
      <c r="B101" s="2118" t="str">
        <f t="shared" si="3"/>
        <v>2000002684</v>
      </c>
      <c r="C101" s="2118" t="s">
        <v>234</v>
      </c>
      <c r="D101" s="2453">
        <v>11700</v>
      </c>
      <c r="E101" s="2118" t="s">
        <v>6207</v>
      </c>
      <c r="F101" s="2120" t="s">
        <v>16</v>
      </c>
      <c r="G101" s="2118" t="s">
        <v>6208</v>
      </c>
      <c r="H101" s="2159" t="s">
        <v>6209</v>
      </c>
      <c r="I101" s="2354" t="s">
        <v>65</v>
      </c>
      <c r="J101" s="2120" t="s">
        <v>106</v>
      </c>
      <c r="K101" s="2355" t="s">
        <v>6210</v>
      </c>
      <c r="L101" s="2356">
        <v>100</v>
      </c>
      <c r="M101" s="2030" t="s">
        <v>6211</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0.95" customHeight="1">
      <c r="A102" s="3782"/>
      <c r="B102" s="1851" t="str">
        <f t="shared" si="3"/>
        <v>2000002593</v>
      </c>
      <c r="C102" s="1851" t="s">
        <v>234</v>
      </c>
      <c r="D102" s="2203"/>
      <c r="E102" s="1495"/>
      <c r="F102" s="1872" t="s">
        <v>16</v>
      </c>
      <c r="G102" s="1495"/>
      <c r="H102" s="1495"/>
      <c r="I102" s="2320" t="s">
        <v>65</v>
      </c>
      <c r="J102" s="1495" t="s">
        <v>106</v>
      </c>
      <c r="K102" s="1600" t="s">
        <v>6212</v>
      </c>
      <c r="L102" s="2299">
        <v>2000</v>
      </c>
      <c r="M102" s="2378" t="s">
        <v>5230</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0.95" customHeight="1">
      <c r="A103" s="3782"/>
      <c r="B103" s="1851" t="str">
        <f t="shared" si="3"/>
        <v>2000002594</v>
      </c>
      <c r="C103" s="1851" t="s">
        <v>234</v>
      </c>
      <c r="D103" s="1494"/>
      <c r="E103" s="1495"/>
      <c r="F103" s="1872" t="s">
        <v>16</v>
      </c>
      <c r="G103" s="1495"/>
      <c r="H103" s="1495"/>
      <c r="I103" s="2320" t="s">
        <v>65</v>
      </c>
      <c r="J103" s="1495" t="s">
        <v>106</v>
      </c>
      <c r="K103" s="1600" t="s">
        <v>6213</v>
      </c>
      <c r="L103" s="2357">
        <v>3000</v>
      </c>
      <c r="M103" s="2378" t="s">
        <v>5230</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0.95" customHeight="1">
      <c r="A104" s="3782"/>
      <c r="B104" s="1851" t="str">
        <f t="shared" si="3"/>
        <v>2200001882</v>
      </c>
      <c r="C104" s="1851" t="s">
        <v>234</v>
      </c>
      <c r="D104" s="1494"/>
      <c r="E104" s="1495"/>
      <c r="F104" s="1872" t="s">
        <v>16</v>
      </c>
      <c r="G104" s="1495"/>
      <c r="H104" s="1495"/>
      <c r="I104" s="2320" t="s">
        <v>65</v>
      </c>
      <c r="J104" s="1872" t="s">
        <v>106</v>
      </c>
      <c r="K104" s="1994" t="s">
        <v>6214</v>
      </c>
      <c r="L104" s="2358">
        <v>48</v>
      </c>
      <c r="M104" s="2378" t="s">
        <v>5230</v>
      </c>
      <c r="N104" s="2131" t="s">
        <v>5691</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0.95" customHeight="1">
      <c r="A105" s="3782"/>
      <c r="B105" s="1851" t="str">
        <f t="shared" si="3"/>
        <v>2000002686</v>
      </c>
      <c r="C105" s="1851" t="s">
        <v>234</v>
      </c>
      <c r="D105" s="2454"/>
      <c r="E105" s="1851"/>
      <c r="F105" s="1872" t="s">
        <v>16</v>
      </c>
      <c r="G105" s="1495"/>
      <c r="H105" s="1947"/>
      <c r="I105" s="2320" t="s">
        <v>65</v>
      </c>
      <c r="J105" s="1872" t="s">
        <v>106</v>
      </c>
      <c r="K105" s="1628" t="s">
        <v>6215</v>
      </c>
      <c r="L105" s="2345">
        <v>500</v>
      </c>
      <c r="M105" s="2378" t="s">
        <v>5230</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0.95" customHeight="1">
      <c r="A106" s="3782"/>
      <c r="B106" s="1851" t="str">
        <f t="shared" si="3"/>
        <v>2200001888</v>
      </c>
      <c r="C106" s="1851" t="s">
        <v>234</v>
      </c>
      <c r="D106" s="2454"/>
      <c r="E106" s="1851"/>
      <c r="F106" s="1872" t="s">
        <v>16</v>
      </c>
      <c r="G106" s="1495"/>
      <c r="H106" s="1947"/>
      <c r="I106" s="2320" t="s">
        <v>65</v>
      </c>
      <c r="J106" s="1872" t="s">
        <v>106</v>
      </c>
      <c r="K106" s="1496" t="s">
        <v>6216</v>
      </c>
      <c r="L106" s="2266">
        <v>43</v>
      </c>
      <c r="M106" s="2378" t="s">
        <v>5392</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82"/>
      <c r="B107" s="1851" t="str">
        <f t="shared" si="3"/>
        <v>2200001871</v>
      </c>
      <c r="C107" s="1851" t="s">
        <v>234</v>
      </c>
      <c r="D107" s="2454"/>
      <c r="E107" s="1851"/>
      <c r="F107" s="1872" t="s">
        <v>16</v>
      </c>
      <c r="G107" s="1495"/>
      <c r="H107" s="1947"/>
      <c r="I107" s="2320" t="s">
        <v>65</v>
      </c>
      <c r="J107" s="1872" t="s">
        <v>106</v>
      </c>
      <c r="K107" s="1496" t="s">
        <v>6217</v>
      </c>
      <c r="L107" s="2266">
        <v>45</v>
      </c>
      <c r="M107" s="2378" t="s">
        <v>6218</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0.95" customHeight="1">
      <c r="A108" s="3783"/>
      <c r="B108" s="1851" t="str">
        <f t="shared" si="3"/>
        <v>2000002708</v>
      </c>
      <c r="C108" s="1851" t="s">
        <v>234</v>
      </c>
      <c r="D108" s="2454"/>
      <c r="E108" s="1851"/>
      <c r="F108" s="1872" t="s">
        <v>16</v>
      </c>
      <c r="G108" s="2120"/>
      <c r="H108" s="2118"/>
      <c r="I108" s="2320" t="s">
        <v>65</v>
      </c>
      <c r="J108" s="1851" t="s">
        <v>5400</v>
      </c>
      <c r="K108" s="1628" t="s">
        <v>6219</v>
      </c>
      <c r="L108" s="2352">
        <v>7000</v>
      </c>
      <c r="M108" s="2378" t="s">
        <v>5230</v>
      </c>
      <c r="N108" s="1843" t="s">
        <v>6220</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59.95" customHeight="1">
      <c r="A109" s="3781">
        <v>28</v>
      </c>
      <c r="B109" s="1921" t="str">
        <f t="shared" si="3"/>
        <v>2200001870</v>
      </c>
      <c r="C109" s="1921" t="s">
        <v>3503</v>
      </c>
      <c r="D109" s="2461">
        <v>3200</v>
      </c>
      <c r="E109" s="1921" t="s">
        <v>6221</v>
      </c>
      <c r="F109" s="1921" t="s">
        <v>22</v>
      </c>
      <c r="G109" s="1921" t="s">
        <v>6222</v>
      </c>
      <c r="H109" s="1921" t="s">
        <v>5618</v>
      </c>
      <c r="I109" s="1921" t="s">
        <v>65</v>
      </c>
      <c r="J109" s="1921" t="s">
        <v>142</v>
      </c>
      <c r="K109" s="2194" t="s">
        <v>6223</v>
      </c>
      <c r="L109" s="2325">
        <v>600</v>
      </c>
      <c r="M109" s="1748" t="s">
        <v>5392</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59.95" customHeight="1">
      <c r="A110" s="3783"/>
      <c r="B110" s="1495" t="str">
        <f t="shared" si="3"/>
        <v>2200001876</v>
      </c>
      <c r="C110" s="1495" t="s">
        <v>3503</v>
      </c>
      <c r="D110" s="2454"/>
      <c r="E110" s="1851"/>
      <c r="F110" s="1495" t="s">
        <v>22</v>
      </c>
      <c r="G110" s="1495"/>
      <c r="H110" s="1947"/>
      <c r="I110" s="2320" t="s">
        <v>65</v>
      </c>
      <c r="J110" s="1872" t="s">
        <v>117</v>
      </c>
      <c r="K110" s="1496" t="s">
        <v>6224</v>
      </c>
      <c r="L110" s="2266">
        <v>2600</v>
      </c>
      <c r="M110" s="2030" t="s">
        <v>6225</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0.95" customHeight="1">
      <c r="A111" s="3781">
        <v>29</v>
      </c>
      <c r="B111" s="2118" t="str">
        <f t="shared" si="3"/>
        <v>2200001856</v>
      </c>
      <c r="C111" s="2118" t="s">
        <v>3499</v>
      </c>
      <c r="D111" s="2453">
        <v>4000</v>
      </c>
      <c r="E111" s="2118" t="s">
        <v>6226</v>
      </c>
      <c r="F111" s="2120" t="s">
        <v>20</v>
      </c>
      <c r="G111" s="1921" t="s">
        <v>6227</v>
      </c>
      <c r="H111" s="1561" t="s">
        <v>5618</v>
      </c>
      <c r="I111" s="1921" t="s">
        <v>65</v>
      </c>
      <c r="J111" s="1921" t="s">
        <v>142</v>
      </c>
      <c r="K111" s="2360" t="s">
        <v>6228</v>
      </c>
      <c r="L111" s="2236">
        <v>600</v>
      </c>
      <c r="M111" s="2378" t="s">
        <v>5230</v>
      </c>
      <c r="N111" s="2264" t="s">
        <v>5691</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0.95" customHeight="1">
      <c r="A112" s="3782"/>
      <c r="B112" s="1851" t="str">
        <f t="shared" si="3"/>
        <v>2200001879</v>
      </c>
      <c r="C112" s="1851" t="s">
        <v>3499</v>
      </c>
      <c r="D112" s="2454"/>
      <c r="E112" s="2118"/>
      <c r="F112" s="1872" t="s">
        <v>20</v>
      </c>
      <c r="G112" s="2120"/>
      <c r="H112" s="2118"/>
      <c r="I112" s="1947" t="s">
        <v>65</v>
      </c>
      <c r="J112" s="1851" t="s">
        <v>142</v>
      </c>
      <c r="K112" s="1497" t="s">
        <v>6229</v>
      </c>
      <c r="L112" s="2361">
        <v>840</v>
      </c>
      <c r="M112" s="2295" t="s">
        <v>5230</v>
      </c>
      <c r="N112" s="2277" t="s">
        <v>6230</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0.95" customHeight="1">
      <c r="A113" s="3782"/>
      <c r="B113" s="1851" t="str">
        <f t="shared" si="3"/>
        <v>2200001891</v>
      </c>
      <c r="C113" s="1851" t="s">
        <v>3499</v>
      </c>
      <c r="D113" s="2454"/>
      <c r="E113" s="1851"/>
      <c r="F113" s="1872" t="s">
        <v>20</v>
      </c>
      <c r="G113" s="1495"/>
      <c r="H113" s="2025"/>
      <c r="I113" s="1495" t="s">
        <v>65</v>
      </c>
      <c r="J113" s="1495" t="s">
        <v>142</v>
      </c>
      <c r="K113" s="1886" t="s">
        <v>6231</v>
      </c>
      <c r="L113" s="2266">
        <v>786</v>
      </c>
      <c r="M113" s="2030" t="s">
        <v>6232</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0.95" customHeight="1">
      <c r="A114" s="3782"/>
      <c r="B114" s="1875" t="str">
        <f t="shared" si="3"/>
        <v>2200001886</v>
      </c>
      <c r="C114" s="1875" t="s">
        <v>3499</v>
      </c>
      <c r="D114" s="2465"/>
      <c r="E114" s="1875"/>
      <c r="F114" s="2028" t="s">
        <v>20</v>
      </c>
      <c r="G114" s="1543"/>
      <c r="H114" s="1946"/>
      <c r="I114" s="2362" t="s">
        <v>65</v>
      </c>
      <c r="J114" s="2028" t="s">
        <v>142</v>
      </c>
      <c r="K114" s="1546" t="s">
        <v>6233</v>
      </c>
      <c r="L114" s="2363">
        <v>1368</v>
      </c>
      <c r="M114" s="2036" t="s">
        <v>6234</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8" customHeight="1">
      <c r="A115" s="3783"/>
      <c r="B115" s="1495" t="str">
        <f t="shared" si="3"/>
        <v>2200001870</v>
      </c>
      <c r="C115" s="1495" t="s">
        <v>3499</v>
      </c>
      <c r="D115" s="2463"/>
      <c r="E115" s="1495"/>
      <c r="F115" s="1495" t="s">
        <v>20</v>
      </c>
      <c r="G115" s="1495"/>
      <c r="H115" s="1495"/>
      <c r="I115" s="1495" t="s">
        <v>65</v>
      </c>
      <c r="J115" s="1495" t="s">
        <v>142</v>
      </c>
      <c r="K115" s="1496" t="s">
        <v>6235</v>
      </c>
      <c r="L115" s="2325">
        <v>500</v>
      </c>
      <c r="M115" s="1748" t="s">
        <v>5392</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 customHeight="1">
      <c r="A116" s="2365">
        <v>30</v>
      </c>
      <c r="B116" s="2118" t="str">
        <f t="shared" si="3"/>
        <v>2200001869</v>
      </c>
      <c r="C116" s="2118" t="s">
        <v>6236</v>
      </c>
      <c r="D116" s="2453">
        <v>3270</v>
      </c>
      <c r="E116" s="2118" t="s">
        <v>6237</v>
      </c>
      <c r="F116" s="2159" t="s">
        <v>18</v>
      </c>
      <c r="G116" s="1632" t="s">
        <v>6238</v>
      </c>
      <c r="H116" s="2120" t="s">
        <v>1640</v>
      </c>
      <c r="I116" s="2118" t="s">
        <v>65</v>
      </c>
      <c r="J116" s="2118" t="s">
        <v>275</v>
      </c>
      <c r="K116" s="2694" t="s">
        <v>6239</v>
      </c>
      <c r="L116" s="2366">
        <v>3270</v>
      </c>
      <c r="M116" s="2030" t="s">
        <v>6240</v>
      </c>
      <c r="N116" s="2367" t="s">
        <v>6241</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99999999999994" customHeight="1">
      <c r="A117" s="3781">
        <v>31</v>
      </c>
      <c r="B117" s="2118" t="str">
        <f t="shared" si="3"/>
        <v>2000002697</v>
      </c>
      <c r="C117" s="2118" t="s">
        <v>97</v>
      </c>
      <c r="D117" s="2453">
        <v>4600</v>
      </c>
      <c r="E117" s="2118" t="s">
        <v>6242</v>
      </c>
      <c r="F117" s="2118" t="s">
        <v>18</v>
      </c>
      <c r="G117" s="2118" t="s">
        <v>6243</v>
      </c>
      <c r="H117" s="2118" t="s">
        <v>5618</v>
      </c>
      <c r="I117" s="2118" t="s">
        <v>65</v>
      </c>
      <c r="J117" s="2118" t="s">
        <v>117</v>
      </c>
      <c r="K117" s="2369" t="s">
        <v>6244</v>
      </c>
      <c r="L117" s="2266">
        <v>2612</v>
      </c>
      <c r="M117" s="2326" t="s">
        <v>5230</v>
      </c>
      <c r="N117" s="1862" t="s">
        <v>6179</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99999999999994" customHeight="1">
      <c r="A118" s="3783"/>
      <c r="B118" s="1495" t="str">
        <f t="shared" si="3"/>
        <v>2000002698</v>
      </c>
      <c r="C118" s="1495" t="s">
        <v>97</v>
      </c>
      <c r="D118" s="2463"/>
      <c r="E118" s="1495"/>
      <c r="F118" s="1495" t="s">
        <v>18</v>
      </c>
      <c r="G118" s="1921"/>
      <c r="H118" s="1921"/>
      <c r="I118" s="1495" t="s">
        <v>65</v>
      </c>
      <c r="J118" s="1495" t="s">
        <v>117</v>
      </c>
      <c r="K118" s="1600" t="s">
        <v>6245</v>
      </c>
      <c r="L118" s="2372">
        <v>1987</v>
      </c>
      <c r="M118" s="2295" t="s">
        <v>6194</v>
      </c>
      <c r="N118" s="1862" t="s">
        <v>6179</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99999999999994" customHeight="1">
      <c r="A119" s="2165">
        <v>32</v>
      </c>
      <c r="B119" s="2187" t="str">
        <f t="shared" si="3"/>
        <v>2000002691</v>
      </c>
      <c r="C119" s="2187" t="s">
        <v>252</v>
      </c>
      <c r="D119" s="2462">
        <v>4000</v>
      </c>
      <c r="E119" s="2184" t="s">
        <v>6246</v>
      </c>
      <c r="F119" s="2186" t="s">
        <v>20</v>
      </c>
      <c r="G119" s="2370" t="s">
        <v>6247</v>
      </c>
      <c r="H119" s="2187" t="s">
        <v>5618</v>
      </c>
      <c r="I119" s="2371" t="s">
        <v>65</v>
      </c>
      <c r="J119" s="2186" t="s">
        <v>6248</v>
      </c>
      <c r="K119" s="2188" t="s">
        <v>6249</v>
      </c>
      <c r="L119" s="2352">
        <v>4000</v>
      </c>
      <c r="M119" s="2378" t="s">
        <v>5230</v>
      </c>
      <c r="N119" s="1843" t="s">
        <v>6179</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99999999999994" customHeight="1">
      <c r="A120" s="3799">
        <v>33</v>
      </c>
      <c r="B120" s="1902" t="str">
        <f t="shared" si="3"/>
        <v>2200001892</v>
      </c>
      <c r="C120" s="1902" t="s">
        <v>5239</v>
      </c>
      <c r="D120" s="2461">
        <v>3620</v>
      </c>
      <c r="E120" s="1921" t="s">
        <v>6250</v>
      </c>
      <c r="F120" s="1921" t="s">
        <v>22</v>
      </c>
      <c r="G120" s="1921" t="s">
        <v>6251</v>
      </c>
      <c r="H120" s="1921" t="s">
        <v>5618</v>
      </c>
      <c r="I120" s="1921" t="s">
        <v>65</v>
      </c>
      <c r="J120" s="2279" t="s">
        <v>1000</v>
      </c>
      <c r="K120" s="1845" t="s">
        <v>6252</v>
      </c>
      <c r="L120" s="2368">
        <v>2970</v>
      </c>
      <c r="M120" s="2378" t="s">
        <v>6253</v>
      </c>
      <c r="N120" s="1862" t="s">
        <v>166</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99999999999994" customHeight="1">
      <c r="A121" s="3800"/>
      <c r="B121" s="1630" t="str">
        <f t="shared" si="3"/>
        <v>2200001894</v>
      </c>
      <c r="C121" s="1630" t="s">
        <v>5239</v>
      </c>
      <c r="D121" s="2454"/>
      <c r="E121" s="1851"/>
      <c r="F121" s="1872" t="s">
        <v>22</v>
      </c>
      <c r="G121" s="1851"/>
      <c r="H121" s="2159"/>
      <c r="I121" s="2374" t="s">
        <v>65</v>
      </c>
      <c r="J121" s="1495" t="s">
        <v>1000</v>
      </c>
      <c r="K121" s="1600" t="s">
        <v>6254</v>
      </c>
      <c r="L121" s="2368">
        <v>650</v>
      </c>
      <c r="M121" s="2378" t="s">
        <v>6253</v>
      </c>
      <c r="N121" s="2369" t="s">
        <v>6255</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099999999999994" customHeight="1">
      <c r="A122" s="2214">
        <v>34</v>
      </c>
      <c r="B122" s="2184" t="str">
        <f t="shared" si="3"/>
        <v>2000002668</v>
      </c>
      <c r="C122" s="2184" t="s">
        <v>3747</v>
      </c>
      <c r="D122" s="2466">
        <v>6000</v>
      </c>
      <c r="E122" s="2184" t="s">
        <v>6237</v>
      </c>
      <c r="F122" s="2186" t="s">
        <v>16</v>
      </c>
      <c r="G122" s="2187" t="s">
        <v>6256</v>
      </c>
      <c r="H122" s="2187" t="s">
        <v>5618</v>
      </c>
      <c r="I122" s="2371" t="s">
        <v>65</v>
      </c>
      <c r="J122" s="2187" t="s">
        <v>66</v>
      </c>
      <c r="K122" s="2695" t="s">
        <v>6257</v>
      </c>
      <c r="L122" s="2392">
        <v>6000</v>
      </c>
      <c r="M122" s="2051" t="s">
        <v>6258</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99999999999994" customHeight="1">
      <c r="A123" s="3781">
        <v>35</v>
      </c>
      <c r="B123" s="1921" t="str">
        <f t="shared" si="3"/>
        <v>2200001870</v>
      </c>
      <c r="C123" s="1921" t="s">
        <v>258</v>
      </c>
      <c r="D123" s="2461">
        <v>4250</v>
      </c>
      <c r="E123" s="1921" t="s">
        <v>6259</v>
      </c>
      <c r="F123" s="1921" t="s">
        <v>16</v>
      </c>
      <c r="G123" s="1921" t="s">
        <v>6260</v>
      </c>
      <c r="H123" s="1921" t="s">
        <v>5618</v>
      </c>
      <c r="I123" s="1921" t="s">
        <v>65</v>
      </c>
      <c r="J123" s="1921" t="s">
        <v>142</v>
      </c>
      <c r="K123" s="2194" t="s">
        <v>6261</v>
      </c>
      <c r="L123" s="2325">
        <v>3800</v>
      </c>
      <c r="M123" s="1748" t="s">
        <v>5392</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99999999999994" customHeight="1">
      <c r="A124" s="3783"/>
      <c r="B124" s="1495" t="str">
        <f t="shared" si="3"/>
        <v>2000002612</v>
      </c>
      <c r="C124" s="1495" t="s">
        <v>258</v>
      </c>
      <c r="D124" s="2463"/>
      <c r="E124" s="1495"/>
      <c r="F124" s="1495" t="s">
        <v>16</v>
      </c>
      <c r="G124" s="1495"/>
      <c r="H124" s="1495"/>
      <c r="I124" s="1495" t="s">
        <v>65</v>
      </c>
      <c r="J124" s="1495" t="s">
        <v>164</v>
      </c>
      <c r="K124" s="1770" t="s">
        <v>6262</v>
      </c>
      <c r="L124" s="2388">
        <v>500</v>
      </c>
      <c r="M124" s="2378" t="s">
        <v>5230</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99999999999994" customHeight="1">
      <c r="A125" s="3781">
        <v>36</v>
      </c>
      <c r="B125" s="1921" t="str">
        <f t="shared" si="3"/>
        <v>2000002691</v>
      </c>
      <c r="C125" s="1921" t="s">
        <v>4824</v>
      </c>
      <c r="D125" s="2461">
        <v>5800</v>
      </c>
      <c r="E125" s="1921" t="s">
        <v>6263</v>
      </c>
      <c r="F125" s="1921" t="s">
        <v>18</v>
      </c>
      <c r="G125" s="1921" t="s">
        <v>6264</v>
      </c>
      <c r="H125" s="1921" t="s">
        <v>5618</v>
      </c>
      <c r="I125" s="1921" t="s">
        <v>65</v>
      </c>
      <c r="J125" s="1921" t="s">
        <v>1179</v>
      </c>
      <c r="K125" s="2194" t="s">
        <v>6265</v>
      </c>
      <c r="L125" s="2467">
        <v>2055</v>
      </c>
      <c r="M125" s="2378" t="s">
        <v>5230</v>
      </c>
      <c r="N125" s="2468" t="s">
        <v>6179</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99999999999994" customHeight="1">
      <c r="A126" s="3783"/>
      <c r="B126" s="1495" t="str">
        <f t="shared" si="3"/>
        <v>2000002707</v>
      </c>
      <c r="C126" s="1495" t="s">
        <v>4824</v>
      </c>
      <c r="D126" s="2463"/>
      <c r="E126" s="1495"/>
      <c r="F126" s="1495" t="s">
        <v>18</v>
      </c>
      <c r="G126" s="1495"/>
      <c r="H126" s="1495"/>
      <c r="I126" s="1495" t="s">
        <v>65</v>
      </c>
      <c r="J126" s="1495" t="s">
        <v>1179</v>
      </c>
      <c r="K126" s="1496" t="s">
        <v>6266</v>
      </c>
      <c r="L126" s="2345">
        <v>3700</v>
      </c>
      <c r="M126" s="2378" t="s">
        <v>6267</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81">
        <v>37</v>
      </c>
      <c r="B127" s="2118" t="str">
        <f t="shared" si="3"/>
        <v>2400001041</v>
      </c>
      <c r="C127" s="2118" t="s">
        <v>6268</v>
      </c>
      <c r="D127" s="2453">
        <f>SUM(L127:L138)</f>
        <v>13515</v>
      </c>
      <c r="E127" s="2118" t="s">
        <v>6269</v>
      </c>
      <c r="F127" s="2298" t="s">
        <v>38</v>
      </c>
      <c r="G127" s="2118" t="s">
        <v>6270</v>
      </c>
      <c r="H127" s="2297"/>
      <c r="I127" s="2297" t="s">
        <v>65</v>
      </c>
      <c r="J127" s="2318" t="s">
        <v>308</v>
      </c>
      <c r="K127" s="2033" t="s">
        <v>6271</v>
      </c>
      <c r="L127" s="2358">
        <v>600</v>
      </c>
      <c r="M127" s="2326" t="s">
        <v>6009</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82"/>
      <c r="B128" s="1495" t="str">
        <f t="shared" si="3"/>
        <v>2400001042</v>
      </c>
      <c r="C128" s="1495" t="s">
        <v>6268</v>
      </c>
      <c r="D128" s="2454"/>
      <c r="E128" s="1947"/>
      <c r="F128" s="2298" t="s">
        <v>38</v>
      </c>
      <c r="G128" s="1851"/>
      <c r="H128" s="1460"/>
      <c r="I128" s="1460" t="s">
        <v>65</v>
      </c>
      <c r="J128" s="2098" t="s">
        <v>308</v>
      </c>
      <c r="K128" s="1770" t="s">
        <v>6272</v>
      </c>
      <c r="L128" s="2358">
        <v>3890</v>
      </c>
      <c r="M128" s="2326" t="s">
        <v>6009</v>
      </c>
      <c r="N128" s="2491" t="s">
        <v>6273</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82"/>
      <c r="B129" s="1495" t="str">
        <f t="shared" si="3"/>
        <v>2400001043</v>
      </c>
      <c r="C129" s="1495" t="s">
        <v>6268</v>
      </c>
      <c r="D129" s="2463"/>
      <c r="E129" s="1947"/>
      <c r="F129" s="2298" t="s">
        <v>38</v>
      </c>
      <c r="G129" s="1851"/>
      <c r="H129" s="1460"/>
      <c r="I129" s="1460" t="s">
        <v>65</v>
      </c>
      <c r="J129" s="2098" t="s">
        <v>308</v>
      </c>
      <c r="K129" s="1770" t="s">
        <v>6274</v>
      </c>
      <c r="L129" s="2358">
        <v>3800</v>
      </c>
      <c r="M129" s="2326" t="s">
        <v>6009</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82"/>
      <c r="B130" s="1495" t="str">
        <f t="shared" si="3"/>
        <v>2400001085</v>
      </c>
      <c r="C130" s="1495" t="s">
        <v>6268</v>
      </c>
      <c r="D130" s="2454"/>
      <c r="E130" s="1851"/>
      <c r="F130" s="2298" t="s">
        <v>38</v>
      </c>
      <c r="G130" s="1851"/>
      <c r="H130" s="1460"/>
      <c r="I130" s="1460" t="s">
        <v>65</v>
      </c>
      <c r="J130" s="2098" t="s">
        <v>308</v>
      </c>
      <c r="K130" s="1770" t="s">
        <v>6275</v>
      </c>
      <c r="L130" s="2358">
        <v>150</v>
      </c>
      <c r="M130" s="2326" t="s">
        <v>6009</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82"/>
      <c r="B131" s="1495" t="str">
        <f t="shared" si="3"/>
        <v>2400001086</v>
      </c>
      <c r="C131" s="1495" t="s">
        <v>6268</v>
      </c>
      <c r="D131" s="2454"/>
      <c r="E131" s="1851"/>
      <c r="F131" s="2298" t="s">
        <v>38</v>
      </c>
      <c r="G131" s="1851"/>
      <c r="H131" s="1460"/>
      <c r="I131" s="1460" t="s">
        <v>65</v>
      </c>
      <c r="J131" s="2098" t="s">
        <v>308</v>
      </c>
      <c r="K131" s="1770" t="s">
        <v>6276</v>
      </c>
      <c r="L131" s="2358">
        <v>200</v>
      </c>
      <c r="M131" s="2326" t="s">
        <v>6009</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82"/>
      <c r="B132" s="1495" t="str">
        <f t="shared" ref="B132:B163" si="4">TEXT(LEFT(K132,10),"0000000000")</f>
        <v>2400001087</v>
      </c>
      <c r="C132" s="1495" t="s">
        <v>6268</v>
      </c>
      <c r="D132" s="2454"/>
      <c r="E132" s="1851"/>
      <c r="F132" s="2298" t="s">
        <v>38</v>
      </c>
      <c r="G132" s="1851"/>
      <c r="H132" s="1460"/>
      <c r="I132" s="1460" t="s">
        <v>65</v>
      </c>
      <c r="J132" s="2098" t="s">
        <v>308</v>
      </c>
      <c r="K132" s="1770" t="s">
        <v>6277</v>
      </c>
      <c r="L132" s="2358">
        <v>1150</v>
      </c>
      <c r="M132" s="2326" t="s">
        <v>6009</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0.95" customHeight="1">
      <c r="A133" s="3782"/>
      <c r="B133" s="1495" t="str">
        <f t="shared" si="4"/>
        <v>2400001062</v>
      </c>
      <c r="C133" s="1495" t="s">
        <v>6268</v>
      </c>
      <c r="D133" s="2454"/>
      <c r="E133" s="1851"/>
      <c r="F133" s="2298" t="s">
        <v>38</v>
      </c>
      <c r="G133" s="1851"/>
      <c r="H133" s="1460"/>
      <c r="I133" s="1460" t="s">
        <v>65</v>
      </c>
      <c r="J133" s="2098" t="s">
        <v>308</v>
      </c>
      <c r="K133" s="1496" t="s">
        <v>6278</v>
      </c>
      <c r="L133" s="2358">
        <v>700</v>
      </c>
      <c r="M133" s="2326" t="s">
        <v>6009</v>
      </c>
      <c r="N133" s="2492" t="s">
        <v>6279</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0.95" customHeight="1">
      <c r="A134" s="3782"/>
      <c r="B134" s="1495" t="str">
        <f t="shared" si="4"/>
        <v>2400001063</v>
      </c>
      <c r="C134" s="1495" t="s">
        <v>6268</v>
      </c>
      <c r="D134" s="2454"/>
      <c r="E134" s="1851"/>
      <c r="F134" s="2298" t="s">
        <v>38</v>
      </c>
      <c r="G134" s="1851"/>
      <c r="H134" s="1460"/>
      <c r="I134" s="1460" t="s">
        <v>65</v>
      </c>
      <c r="J134" s="2098" t="s">
        <v>308</v>
      </c>
      <c r="K134" s="1496" t="s">
        <v>6280</v>
      </c>
      <c r="L134" s="2356">
        <v>775</v>
      </c>
      <c r="M134" s="2326" t="s">
        <v>6009</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099999999999994" customHeight="1">
      <c r="A135" s="3782"/>
      <c r="B135" s="1495" t="str">
        <f t="shared" si="4"/>
        <v>2400001032</v>
      </c>
      <c r="C135" s="1495" t="s">
        <v>6268</v>
      </c>
      <c r="D135" s="2453"/>
      <c r="E135" s="2118"/>
      <c r="F135" s="2298" t="s">
        <v>38</v>
      </c>
      <c r="G135" s="1921"/>
      <c r="H135" s="1461"/>
      <c r="I135" s="1460" t="s">
        <v>65</v>
      </c>
      <c r="J135" s="2098" t="s">
        <v>308</v>
      </c>
      <c r="K135" s="1548" t="s">
        <v>6281</v>
      </c>
      <c r="L135" s="2356">
        <v>200</v>
      </c>
      <c r="M135" s="2448" t="s">
        <v>5230</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099999999999994" customHeight="1">
      <c r="A136" s="3782"/>
      <c r="B136" s="1495" t="str">
        <f t="shared" si="4"/>
        <v>2400001030</v>
      </c>
      <c r="C136" s="1495" t="s">
        <v>6268</v>
      </c>
      <c r="D136" s="2454"/>
      <c r="E136" s="1851"/>
      <c r="F136" s="2298" t="s">
        <v>38</v>
      </c>
      <c r="G136" s="1495"/>
      <c r="H136" s="1460"/>
      <c r="I136" s="1460" t="s">
        <v>65</v>
      </c>
      <c r="J136" s="2098" t="s">
        <v>308</v>
      </c>
      <c r="K136" s="1770" t="s">
        <v>6282</v>
      </c>
      <c r="L136" s="2356">
        <v>225</v>
      </c>
      <c r="M136" s="2448" t="s">
        <v>5230</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099999999999994" customHeight="1">
      <c r="A137" s="3782"/>
      <c r="B137" s="1495" t="str">
        <f t="shared" si="4"/>
        <v>2400001031</v>
      </c>
      <c r="C137" s="1495" t="s">
        <v>6268</v>
      </c>
      <c r="D137" s="2454"/>
      <c r="E137" s="1851"/>
      <c r="F137" s="2298" t="s">
        <v>38</v>
      </c>
      <c r="G137" s="1495"/>
      <c r="H137" s="1554"/>
      <c r="I137" s="1460" t="s">
        <v>65</v>
      </c>
      <c r="J137" s="2098" t="s">
        <v>308</v>
      </c>
      <c r="K137" s="1770" t="s">
        <v>6283</v>
      </c>
      <c r="L137" s="2358">
        <v>175</v>
      </c>
      <c r="M137" s="2448" t="s">
        <v>5230</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099999999999994" customHeight="1">
      <c r="A138" s="3782"/>
      <c r="B138" s="1495" t="str">
        <f t="shared" si="4"/>
        <v>2400001064</v>
      </c>
      <c r="C138" s="1495" t="s">
        <v>6268</v>
      </c>
      <c r="D138" s="2454"/>
      <c r="E138" s="1851"/>
      <c r="F138" s="2298" t="s">
        <v>38</v>
      </c>
      <c r="G138" s="1773"/>
      <c r="H138" s="1495"/>
      <c r="I138" s="2320" t="s">
        <v>65</v>
      </c>
      <c r="J138" s="2098" t="s">
        <v>308</v>
      </c>
      <c r="K138" s="1770" t="s">
        <v>6284</v>
      </c>
      <c r="L138" s="2358">
        <v>1650</v>
      </c>
      <c r="M138" s="2448" t="s">
        <v>5230</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099999999999994" customHeight="1">
      <c r="A139" s="3782"/>
      <c r="B139" s="1495" t="str">
        <f t="shared" si="4"/>
        <v>2400001065</v>
      </c>
      <c r="C139" s="1495" t="s">
        <v>6268</v>
      </c>
      <c r="D139" s="2454"/>
      <c r="E139" s="1851"/>
      <c r="F139" s="2298" t="s">
        <v>38</v>
      </c>
      <c r="G139" s="1773"/>
      <c r="H139" s="1851"/>
      <c r="I139" s="2320" t="s">
        <v>65</v>
      </c>
      <c r="J139" s="2098" t="s">
        <v>308</v>
      </c>
      <c r="K139" s="1774" t="s">
        <v>6285</v>
      </c>
      <c r="L139" s="2356">
        <v>600</v>
      </c>
      <c r="M139" s="2448" t="s">
        <v>5230</v>
      </c>
      <c r="N139" s="2492" t="s">
        <v>6286</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099999999999994" customHeight="1">
      <c r="A140" s="3783"/>
      <c r="B140" s="1495" t="str">
        <f t="shared" si="4"/>
        <v>2400001066</v>
      </c>
      <c r="C140" s="1495" t="s">
        <v>6268</v>
      </c>
      <c r="D140" s="2454"/>
      <c r="E140" s="1851"/>
      <c r="F140" s="2298" t="s">
        <v>38</v>
      </c>
      <c r="G140" s="1899"/>
      <c r="H140" s="1543"/>
      <c r="I140" s="2362" t="s">
        <v>65</v>
      </c>
      <c r="J140" s="2493" t="s">
        <v>308</v>
      </c>
      <c r="K140" s="1774" t="s">
        <v>6287</v>
      </c>
      <c r="L140" s="2494">
        <v>250</v>
      </c>
      <c r="M140" s="2495" t="s">
        <v>5230</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81">
        <v>38</v>
      </c>
      <c r="B141" s="2118" t="str">
        <f t="shared" si="4"/>
        <v>2000002698</v>
      </c>
      <c r="C141" s="2118" t="s">
        <v>3530</v>
      </c>
      <c r="D141" s="2453">
        <v>4250</v>
      </c>
      <c r="E141" s="2118" t="s">
        <v>6288</v>
      </c>
      <c r="F141" s="2120" t="s">
        <v>16</v>
      </c>
      <c r="G141" s="1561" t="s">
        <v>6289</v>
      </c>
      <c r="H141" s="1921" t="s">
        <v>6290</v>
      </c>
      <c r="I141" s="2344" t="s">
        <v>65</v>
      </c>
      <c r="J141" s="1561" t="s">
        <v>117</v>
      </c>
      <c r="K141" s="2194" t="s">
        <v>6291</v>
      </c>
      <c r="L141" s="2372">
        <v>510</v>
      </c>
      <c r="M141" s="2448" t="s">
        <v>5230</v>
      </c>
      <c r="N141" s="1862" t="s">
        <v>6179</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349999999999994" customHeight="1">
      <c r="A142" s="3783"/>
      <c r="B142" s="1851" t="str">
        <f t="shared" si="4"/>
        <v>2000002693</v>
      </c>
      <c r="C142" s="1851" t="s">
        <v>3530</v>
      </c>
      <c r="D142" s="2470"/>
      <c r="F142" s="1872" t="s">
        <v>16</v>
      </c>
      <c r="I142" s="1495" t="s">
        <v>65</v>
      </c>
      <c r="J142" s="1495" t="s">
        <v>164</v>
      </c>
      <c r="K142" s="1496" t="s">
        <v>6292</v>
      </c>
      <c r="L142" s="2351">
        <v>3700</v>
      </c>
      <c r="M142" s="2471" t="s">
        <v>5230</v>
      </c>
      <c r="N142" s="1843"/>
      <c r="O142" s="1939">
        <v>2</v>
      </c>
    </row>
    <row r="143" spans="1:127" s="1883" customFormat="1" ht="80.349999999999994" customHeight="1">
      <c r="A143" s="3781">
        <v>39</v>
      </c>
      <c r="B143" s="2118" t="str">
        <f t="shared" si="4"/>
        <v>2000002718</v>
      </c>
      <c r="C143" s="2118" t="s">
        <v>3440</v>
      </c>
      <c r="D143" s="2478">
        <v>8850</v>
      </c>
      <c r="E143" s="2479" t="s">
        <v>6293</v>
      </c>
      <c r="F143" s="2279" t="s">
        <v>16</v>
      </c>
      <c r="G143" s="1921" t="s">
        <v>6294</v>
      </c>
      <c r="H143" s="2118" t="s">
        <v>5618</v>
      </c>
      <c r="I143" s="2344" t="s">
        <v>65</v>
      </c>
      <c r="J143" s="1561" t="s">
        <v>1179</v>
      </c>
      <c r="K143" s="2402" t="s">
        <v>6295</v>
      </c>
      <c r="L143" s="2480">
        <v>2470</v>
      </c>
      <c r="M143" s="1872" t="s">
        <v>6296</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349999999999994" customHeight="1">
      <c r="A144" s="3782"/>
      <c r="B144" s="1851" t="str">
        <f t="shared" si="4"/>
        <v>2000002719</v>
      </c>
      <c r="C144" s="1851" t="s">
        <v>3440</v>
      </c>
      <c r="D144" s="2481"/>
      <c r="E144" s="2482"/>
      <c r="F144" s="1568" t="s">
        <v>16</v>
      </c>
      <c r="G144" s="1495"/>
      <c r="H144" s="1495"/>
      <c r="I144" s="2320" t="s">
        <v>65</v>
      </c>
      <c r="J144" s="1773" t="s">
        <v>1179</v>
      </c>
      <c r="K144" s="1497" t="s">
        <v>6297</v>
      </c>
      <c r="L144" s="2483">
        <v>2465</v>
      </c>
      <c r="M144" s="1872" t="s">
        <v>6296</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349999999999994" customHeight="1">
      <c r="A145" s="3782"/>
      <c r="B145" s="1851" t="str">
        <f t="shared" si="4"/>
        <v>2000002724</v>
      </c>
      <c r="C145" s="1851" t="s">
        <v>3440</v>
      </c>
      <c r="D145" s="2484"/>
      <c r="E145" s="2485"/>
      <c r="F145" s="1495" t="s">
        <v>16</v>
      </c>
      <c r="G145" s="1495"/>
      <c r="H145" s="1495"/>
      <c r="I145" s="2486" t="s">
        <v>65</v>
      </c>
      <c r="J145" s="1495" t="s">
        <v>1179</v>
      </c>
      <c r="K145" s="2136" t="s">
        <v>6298</v>
      </c>
      <c r="L145" s="2357">
        <v>2900</v>
      </c>
      <c r="M145" s="1773" t="s">
        <v>6299</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349999999999994" customHeight="1">
      <c r="A146" s="3783"/>
      <c r="B146" s="1851" t="str">
        <f t="shared" si="4"/>
        <v>2000002714</v>
      </c>
      <c r="C146" s="1851" t="s">
        <v>3440</v>
      </c>
      <c r="D146" s="2484"/>
      <c r="E146" s="2485"/>
      <c r="F146" s="1495" t="s">
        <v>16</v>
      </c>
      <c r="G146" s="1495"/>
      <c r="H146" s="1495"/>
      <c r="I146" s="1495" t="s">
        <v>65</v>
      </c>
      <c r="J146" s="1495" t="s">
        <v>1179</v>
      </c>
      <c r="K146" s="1496" t="s">
        <v>6300</v>
      </c>
      <c r="L146" s="2299">
        <v>710</v>
      </c>
      <c r="M146" s="2196" t="s">
        <v>6301</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81">
        <v>40</v>
      </c>
      <c r="B147" s="2118" t="str">
        <f t="shared" si="4"/>
        <v>2000002700</v>
      </c>
      <c r="C147" s="2118" t="s">
        <v>125</v>
      </c>
      <c r="D147" s="2453">
        <v>4200</v>
      </c>
      <c r="E147" s="2118" t="s">
        <v>6302</v>
      </c>
      <c r="F147" s="2120" t="s">
        <v>22</v>
      </c>
      <c r="G147" s="1921" t="s">
        <v>6303</v>
      </c>
      <c r="H147" s="2118" t="s">
        <v>5618</v>
      </c>
      <c r="I147" s="2344" t="s">
        <v>65</v>
      </c>
      <c r="J147" s="1561" t="s">
        <v>117</v>
      </c>
      <c r="K147" s="2696" t="s">
        <v>6304</v>
      </c>
      <c r="L147" s="2325">
        <v>1290</v>
      </c>
      <c r="M147" s="2448" t="s">
        <v>5230</v>
      </c>
      <c r="N147" s="2487" t="s">
        <v>6179</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8" customHeight="1">
      <c r="A148" s="3783"/>
      <c r="B148" s="1851" t="str">
        <f t="shared" si="4"/>
        <v>2200001895</v>
      </c>
      <c r="C148" s="1851" t="s">
        <v>125</v>
      </c>
      <c r="D148" s="2454"/>
      <c r="E148" s="1851"/>
      <c r="F148" s="1872" t="s">
        <v>22</v>
      </c>
      <c r="G148" s="1921"/>
      <c r="H148" s="1921"/>
      <c r="I148" s="2327" t="s">
        <v>65</v>
      </c>
      <c r="J148" s="1921" t="s">
        <v>142</v>
      </c>
      <c r="K148" s="2697" t="s">
        <v>6305</v>
      </c>
      <c r="L148" s="2388">
        <v>2908</v>
      </c>
      <c r="M148" s="2471" t="s">
        <v>6253</v>
      </c>
      <c r="N148" s="1809" t="s">
        <v>6306</v>
      </c>
      <c r="O148" s="1939">
        <v>3</v>
      </c>
      <c r="Q148" s="2324"/>
      <c r="DW148" s="2033"/>
    </row>
    <row r="149" spans="1:127" s="2122" customFormat="1" ht="60.8" customHeight="1">
      <c r="A149" s="3781">
        <v>41</v>
      </c>
      <c r="B149" s="1921" t="str">
        <f t="shared" si="4"/>
        <v>2000002699</v>
      </c>
      <c r="C149" s="1921" t="s">
        <v>5335</v>
      </c>
      <c r="D149" s="2461">
        <v>4370</v>
      </c>
      <c r="E149" s="1921" t="s">
        <v>6302</v>
      </c>
      <c r="F149" s="1921" t="s">
        <v>6307</v>
      </c>
      <c r="G149" s="1921" t="s">
        <v>6308</v>
      </c>
      <c r="H149" s="2118" t="s">
        <v>5618</v>
      </c>
      <c r="I149" s="1921" t="s">
        <v>65</v>
      </c>
      <c r="J149" s="1921" t="s">
        <v>117</v>
      </c>
      <c r="K149" s="1845" t="s">
        <v>6309</v>
      </c>
      <c r="L149" s="2488">
        <v>2606</v>
      </c>
      <c r="M149" s="2448" t="s">
        <v>5230</v>
      </c>
      <c r="N149" s="2369" t="s">
        <v>6179</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8" customHeight="1">
      <c r="A150" s="3782"/>
      <c r="B150" s="1495" t="str">
        <f t="shared" si="4"/>
        <v>2000002700</v>
      </c>
      <c r="C150" s="1495" t="s">
        <v>5335</v>
      </c>
      <c r="D150" s="2463"/>
      <c r="E150" s="1495"/>
      <c r="F150" s="1495" t="s">
        <v>6307</v>
      </c>
      <c r="G150" s="1495"/>
      <c r="H150" s="1495"/>
      <c r="I150" s="1495" t="s">
        <v>65</v>
      </c>
      <c r="J150" s="1495" t="s">
        <v>117</v>
      </c>
      <c r="K150" s="1600" t="s">
        <v>6310</v>
      </c>
      <c r="L150" s="2325">
        <v>1134</v>
      </c>
      <c r="M150" s="2448" t="s">
        <v>5230</v>
      </c>
      <c r="N150" s="1843" t="s">
        <v>6179</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8" customHeight="1">
      <c r="A151" s="3782"/>
      <c r="B151" s="1495" t="str">
        <f t="shared" si="4"/>
        <v>2000002732</v>
      </c>
      <c r="C151" s="1495" t="s">
        <v>5335</v>
      </c>
      <c r="D151" s="2463"/>
      <c r="E151" s="1495"/>
      <c r="F151" s="1495" t="s">
        <v>6307</v>
      </c>
      <c r="G151" s="1495"/>
      <c r="H151" s="1495"/>
      <c r="I151" s="1495" t="s">
        <v>65</v>
      </c>
      <c r="J151" s="1495" t="s">
        <v>106</v>
      </c>
      <c r="K151" s="1600" t="s">
        <v>6311</v>
      </c>
      <c r="L151" s="2299">
        <v>100</v>
      </c>
      <c r="M151" s="2196" t="s">
        <v>5392</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8" customHeight="1">
      <c r="A152" s="3783"/>
      <c r="B152" s="1495" t="str">
        <f t="shared" si="4"/>
        <v>2000002696</v>
      </c>
      <c r="C152" s="1495" t="s">
        <v>5335</v>
      </c>
      <c r="D152" s="2463"/>
      <c r="E152" s="1495"/>
      <c r="F152" s="1495" t="s">
        <v>6307</v>
      </c>
      <c r="G152" s="1495"/>
      <c r="H152" s="1495"/>
      <c r="I152" s="1495" t="s">
        <v>65</v>
      </c>
      <c r="J152" s="1495" t="s">
        <v>106</v>
      </c>
      <c r="K152" s="1600" t="s">
        <v>6312</v>
      </c>
      <c r="L152" s="2299">
        <v>500</v>
      </c>
      <c r="M152" s="2196" t="s">
        <v>6313</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8" customHeight="1">
      <c r="A153" s="3781">
        <v>42</v>
      </c>
      <c r="B153" s="2118" t="str">
        <f t="shared" si="4"/>
        <v>2200001897</v>
      </c>
      <c r="C153" s="2118" t="s">
        <v>3738</v>
      </c>
      <c r="D153" s="2453">
        <v>4370</v>
      </c>
      <c r="E153" s="2120" t="s">
        <v>6314</v>
      </c>
      <c r="F153" s="1921" t="s">
        <v>20</v>
      </c>
      <c r="G153" s="1909" t="s">
        <v>6315</v>
      </c>
      <c r="H153" s="1921" t="s">
        <v>5618</v>
      </c>
      <c r="I153" s="2344" t="s">
        <v>65</v>
      </c>
      <c r="J153" s="2120" t="s">
        <v>142</v>
      </c>
      <c r="K153" s="2161" t="s">
        <v>6316</v>
      </c>
      <c r="L153" s="2489">
        <v>3180</v>
      </c>
      <c r="M153" s="2448" t="s">
        <v>5247</v>
      </c>
      <c r="N153" s="2130" t="s">
        <v>6317</v>
      </c>
      <c r="O153" s="2117">
        <v>3</v>
      </c>
      <c r="Q153" s="2324"/>
    </row>
    <row r="154" spans="1:127" s="2129" customFormat="1" ht="60.8" customHeight="1">
      <c r="A154" s="3783"/>
      <c r="B154" s="1875" t="str">
        <f t="shared" si="4"/>
        <v>2200001901</v>
      </c>
      <c r="C154" s="1875" t="s">
        <v>3738</v>
      </c>
      <c r="D154" s="2465"/>
      <c r="E154" s="2028"/>
      <c r="F154" s="1543" t="s">
        <v>20</v>
      </c>
      <c r="G154" s="1543"/>
      <c r="H154" s="1543"/>
      <c r="I154" s="2362" t="s">
        <v>65</v>
      </c>
      <c r="J154" s="2028" t="s">
        <v>142</v>
      </c>
      <c r="K154" s="1988" t="s">
        <v>6318</v>
      </c>
      <c r="L154" s="2490">
        <v>1190</v>
      </c>
      <c r="M154" s="1875" t="s">
        <v>6319</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99999999999994" customHeight="1">
      <c r="A155" s="2192">
        <v>43</v>
      </c>
      <c r="B155" s="1921" t="str">
        <f t="shared" si="4"/>
        <v>2200001869</v>
      </c>
      <c r="C155" s="1921" t="s">
        <v>3252</v>
      </c>
      <c r="D155" s="2461">
        <v>4300</v>
      </c>
      <c r="E155" s="1921" t="s">
        <v>6320</v>
      </c>
      <c r="F155" s="1921" t="s">
        <v>18</v>
      </c>
      <c r="G155" s="1921" t="s">
        <v>6321</v>
      </c>
      <c r="H155" s="1921" t="s">
        <v>5618</v>
      </c>
      <c r="I155" s="1921" t="s">
        <v>65</v>
      </c>
      <c r="J155" s="1921" t="s">
        <v>275</v>
      </c>
      <c r="K155" s="2194" t="s">
        <v>6322</v>
      </c>
      <c r="L155" s="2325">
        <v>4300</v>
      </c>
      <c r="M155" s="2196" t="s">
        <v>6240</v>
      </c>
      <c r="N155" s="1862"/>
      <c r="O155" s="1748">
        <v>3</v>
      </c>
    </row>
    <row r="156" spans="1:127" s="2122" customFormat="1" ht="67.599999999999994" customHeight="1">
      <c r="A156" s="3781">
        <v>44</v>
      </c>
      <c r="B156" s="2118" t="str">
        <f t="shared" si="4"/>
        <v>2200001869</v>
      </c>
      <c r="C156" s="2118" t="s">
        <v>6236</v>
      </c>
      <c r="D156" s="2453">
        <v>3270</v>
      </c>
      <c r="E156" s="2118" t="s">
        <v>6323</v>
      </c>
      <c r="F156" s="2120" t="s">
        <v>18</v>
      </c>
      <c r="G156" s="2120" t="s">
        <v>6324</v>
      </c>
      <c r="H156" s="2118" t="s">
        <v>6325</v>
      </c>
      <c r="I156" s="2354" t="s">
        <v>65</v>
      </c>
      <c r="J156" s="2120" t="s">
        <v>275</v>
      </c>
      <c r="K156" s="2161" t="s">
        <v>6322</v>
      </c>
      <c r="L156" s="2266">
        <v>2700</v>
      </c>
      <c r="M156" s="2160" t="s">
        <v>6240</v>
      </c>
      <c r="N156" s="2130"/>
      <c r="O156" s="2102">
        <v>3</v>
      </c>
      <c r="Q156" s="2324"/>
    </row>
    <row r="157" spans="1:127" s="2122" customFormat="1" ht="67.599999999999994" customHeight="1">
      <c r="A157" s="3783"/>
      <c r="B157" s="1851" t="str">
        <f t="shared" si="4"/>
        <v>2200001885</v>
      </c>
      <c r="C157" s="1851" t="s">
        <v>6236</v>
      </c>
      <c r="D157" s="2454"/>
      <c r="E157" s="1851"/>
      <c r="F157" s="1872" t="s">
        <v>18</v>
      </c>
      <c r="G157" s="1495"/>
      <c r="H157" s="1495"/>
      <c r="I157" s="2320" t="s">
        <v>65</v>
      </c>
      <c r="J157" s="1872" t="s">
        <v>275</v>
      </c>
      <c r="K157" s="1967" t="s">
        <v>6326</v>
      </c>
      <c r="L157" s="2325">
        <v>570</v>
      </c>
      <c r="M157" s="2196" t="s">
        <v>6327</v>
      </c>
      <c r="N157" s="1843"/>
      <c r="O157" s="1748">
        <v>3</v>
      </c>
      <c r="Q157" s="2324"/>
    </row>
    <row r="158" spans="1:127" s="2150" customFormat="1" ht="62.35" customHeight="1">
      <c r="A158" s="3781">
        <v>45</v>
      </c>
      <c r="B158" s="1921" t="str">
        <f t="shared" si="4"/>
        <v>2000002707</v>
      </c>
      <c r="C158" s="1921" t="s">
        <v>3454</v>
      </c>
      <c r="D158" s="2461">
        <v>24000</v>
      </c>
      <c r="E158" s="1921" t="s">
        <v>6328</v>
      </c>
      <c r="F158" s="1921" t="s">
        <v>14</v>
      </c>
      <c r="G158" s="1921" t="s">
        <v>6329</v>
      </c>
      <c r="H158" s="2118" t="s">
        <v>6330</v>
      </c>
      <c r="I158" s="1921" t="s">
        <v>65</v>
      </c>
      <c r="J158" s="1921" t="s">
        <v>5858</v>
      </c>
      <c r="K158" s="2194" t="s">
        <v>6331</v>
      </c>
      <c r="L158" s="2337">
        <v>5300</v>
      </c>
      <c r="M158" s="2196" t="s">
        <v>5230</v>
      </c>
      <c r="N158" s="1862"/>
      <c r="O158" s="1748">
        <v>3</v>
      </c>
    </row>
    <row r="159" spans="1:127" s="2150" customFormat="1" ht="62.35" customHeight="1">
      <c r="A159" s="3782"/>
      <c r="B159" s="1921" t="str">
        <f t="shared" si="4"/>
        <v>2200001896</v>
      </c>
      <c r="C159" s="1921" t="s">
        <v>3454</v>
      </c>
      <c r="D159" s="2461"/>
      <c r="E159" s="1921"/>
      <c r="F159" s="1921" t="s">
        <v>14</v>
      </c>
      <c r="G159" s="1921"/>
      <c r="H159" s="2118"/>
      <c r="I159" s="1921" t="s">
        <v>65</v>
      </c>
      <c r="J159" s="1921" t="s">
        <v>5858</v>
      </c>
      <c r="K159" s="1845" t="s">
        <v>6332</v>
      </c>
      <c r="L159" s="2337">
        <v>2923</v>
      </c>
      <c r="M159" s="2196" t="s">
        <v>5247</v>
      </c>
      <c r="N159" s="1862"/>
      <c r="O159" s="1748">
        <v>3</v>
      </c>
    </row>
    <row r="160" spans="1:127" s="2150" customFormat="1" ht="62.35" customHeight="1">
      <c r="A160" s="3782"/>
      <c r="B160" s="1921" t="str">
        <f t="shared" si="4"/>
        <v>2200001900</v>
      </c>
      <c r="C160" s="1921" t="s">
        <v>3454</v>
      </c>
      <c r="D160" s="2461"/>
      <c r="E160" s="1921"/>
      <c r="F160" s="1921" t="s">
        <v>14</v>
      </c>
      <c r="G160" s="1921"/>
      <c r="H160" s="2118"/>
      <c r="I160" s="1921" t="s">
        <v>65</v>
      </c>
      <c r="J160" s="1921" t="s">
        <v>5858</v>
      </c>
      <c r="K160" s="1845" t="s">
        <v>6333</v>
      </c>
      <c r="L160" s="2337">
        <v>1900</v>
      </c>
      <c r="M160" s="2196" t="s">
        <v>6334</v>
      </c>
      <c r="N160" s="1862"/>
      <c r="O160" s="1748"/>
    </row>
    <row r="161" spans="1:127" s="2150" customFormat="1" ht="62.35" customHeight="1">
      <c r="A161" s="3782"/>
      <c r="B161" s="1495" t="str">
        <f t="shared" si="4"/>
        <v>2000002728</v>
      </c>
      <c r="C161" s="1495" t="s">
        <v>3454</v>
      </c>
      <c r="D161" s="2203"/>
      <c r="E161" s="1495"/>
      <c r="F161" s="1495" t="s">
        <v>14</v>
      </c>
      <c r="G161" s="1495"/>
      <c r="H161" s="1495"/>
      <c r="I161" s="2320" t="s">
        <v>65</v>
      </c>
      <c r="J161" s="1495" t="s">
        <v>5858</v>
      </c>
      <c r="K161" s="1600" t="s">
        <v>6335</v>
      </c>
      <c r="L161" s="2299">
        <v>2000</v>
      </c>
      <c r="M161" s="2496" t="s">
        <v>6336</v>
      </c>
      <c r="N161" s="1843" t="s">
        <v>6337</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35" customHeight="1">
      <c r="A162" s="3782"/>
      <c r="B162" s="1495" t="str">
        <f>TEXT(LEFT(K162,10),"0000000000")</f>
        <v>2000002739</v>
      </c>
      <c r="C162" s="1495" t="s">
        <v>3454</v>
      </c>
      <c r="D162" s="2203"/>
      <c r="E162" s="1495"/>
      <c r="F162" s="1495" t="s">
        <v>14</v>
      </c>
      <c r="G162" s="1495"/>
      <c r="H162" s="1748"/>
      <c r="I162" s="2320" t="s">
        <v>65</v>
      </c>
      <c r="J162" s="1495" t="s">
        <v>5858</v>
      </c>
      <c r="K162" s="1496" t="s">
        <v>6338</v>
      </c>
      <c r="L162" s="2368">
        <v>300</v>
      </c>
      <c r="M162" s="2030" t="s">
        <v>6339</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35" customHeight="1">
      <c r="A163" s="3782"/>
      <c r="B163" s="1495" t="str">
        <f t="shared" si="4"/>
        <v>2000002726</v>
      </c>
      <c r="C163" s="1495" t="s">
        <v>3454</v>
      </c>
      <c r="D163" s="2463"/>
      <c r="E163" s="1495"/>
      <c r="F163" s="1495" t="s">
        <v>14</v>
      </c>
      <c r="G163" s="1495"/>
      <c r="H163" s="1495"/>
      <c r="I163" s="1495" t="s">
        <v>65</v>
      </c>
      <c r="J163" s="1495" t="s">
        <v>66</v>
      </c>
      <c r="K163" s="1496" t="s">
        <v>6340</v>
      </c>
      <c r="L163" s="2299">
        <v>5000</v>
      </c>
      <c r="M163" s="2196" t="s">
        <v>5230</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35" customHeight="1">
      <c r="A164" s="3782"/>
      <c r="B164" s="1495" t="str">
        <f t="shared" ref="B164:B195" si="5">TEXT(LEFT(K164,10),"0000000000")</f>
        <v>2000002668</v>
      </c>
      <c r="C164" s="1495" t="s">
        <v>3454</v>
      </c>
      <c r="D164" s="2463"/>
      <c r="E164" s="1495"/>
      <c r="F164" s="1495" t="s">
        <v>14</v>
      </c>
      <c r="G164" s="1495"/>
      <c r="H164" s="1495"/>
      <c r="I164" s="1495" t="s">
        <v>65</v>
      </c>
      <c r="J164" s="1495" t="s">
        <v>66</v>
      </c>
      <c r="K164" s="2194" t="s">
        <v>6341</v>
      </c>
      <c r="L164" s="2299">
        <v>475</v>
      </c>
      <c r="M164" s="1909" t="s">
        <v>5392</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35" customHeight="1">
      <c r="A165" s="3783"/>
      <c r="B165" s="1495" t="str">
        <f t="shared" si="5"/>
        <v>2000002725</v>
      </c>
      <c r="C165" s="1495" t="s">
        <v>3454</v>
      </c>
      <c r="D165" s="2463"/>
      <c r="E165" s="1495"/>
      <c r="F165" s="1495" t="s">
        <v>14</v>
      </c>
      <c r="G165" s="1495"/>
      <c r="H165" s="1495"/>
      <c r="I165" s="1495" t="s">
        <v>65</v>
      </c>
      <c r="J165" s="1495" t="s">
        <v>66</v>
      </c>
      <c r="K165" s="1496" t="s">
        <v>6342</v>
      </c>
      <c r="L165" s="2299">
        <v>6000</v>
      </c>
      <c r="M165" s="2196" t="s">
        <v>5230</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3" customHeight="1">
      <c r="A166" s="3781">
        <v>45</v>
      </c>
      <c r="B166" s="2118" t="str">
        <f t="shared" si="5"/>
        <v>2000002748</v>
      </c>
      <c r="C166" s="2118" t="s">
        <v>6113</v>
      </c>
      <c r="D166" s="2178">
        <v>27800</v>
      </c>
      <c r="E166" s="2521" t="s">
        <v>6343</v>
      </c>
      <c r="F166" s="2118" t="s">
        <v>16</v>
      </c>
      <c r="G166" s="2118" t="s">
        <v>6344</v>
      </c>
      <c r="H166" s="2118" t="s">
        <v>6330</v>
      </c>
      <c r="I166" s="2354" t="s">
        <v>65</v>
      </c>
      <c r="J166" s="2118" t="s">
        <v>164</v>
      </c>
      <c r="K166" s="2332" t="s">
        <v>6345</v>
      </c>
      <c r="L166" s="2508">
        <v>2500</v>
      </c>
      <c r="M166" s="2496" t="s">
        <v>5230</v>
      </c>
      <c r="N166" s="1862"/>
      <c r="O166" s="1939">
        <v>3</v>
      </c>
    </row>
    <row r="167" spans="1:127" s="1883" customFormat="1" ht="59.3" customHeight="1">
      <c r="A167" s="3782"/>
      <c r="B167" s="1851" t="str">
        <f t="shared" si="5"/>
        <v>2000002749</v>
      </c>
      <c r="C167" s="1851" t="s">
        <v>6113</v>
      </c>
      <c r="D167" s="2182"/>
      <c r="E167" s="2485"/>
      <c r="F167" s="1851" t="s">
        <v>16</v>
      </c>
      <c r="G167" s="1851"/>
      <c r="H167" s="1851"/>
      <c r="I167" s="2374" t="s">
        <v>65</v>
      </c>
      <c r="J167" s="1851" t="s">
        <v>164</v>
      </c>
      <c r="K167" s="1989" t="s">
        <v>6346</v>
      </c>
      <c r="L167" s="2361">
        <v>2500</v>
      </c>
      <c r="M167" s="2196" t="s">
        <v>5230</v>
      </c>
      <c r="N167" s="1962"/>
      <c r="O167" s="2102">
        <v>3</v>
      </c>
    </row>
    <row r="168" spans="1:127" s="2122" customFormat="1" ht="54.7" customHeight="1">
      <c r="A168" s="3782"/>
      <c r="B168" s="1851" t="str">
        <f t="shared" si="5"/>
        <v>2000002679</v>
      </c>
      <c r="C168" s="1851" t="s">
        <v>6113</v>
      </c>
      <c r="D168" s="1494"/>
      <c r="E168" s="1495"/>
      <c r="F168" s="1851" t="s">
        <v>16</v>
      </c>
      <c r="G168" s="1495"/>
      <c r="H168" s="1495"/>
      <c r="I168" s="2320" t="s">
        <v>65</v>
      </c>
      <c r="J168" s="1495" t="s">
        <v>164</v>
      </c>
      <c r="K168" s="1600" t="s">
        <v>6347</v>
      </c>
      <c r="L168" s="2357">
        <v>500</v>
      </c>
      <c r="M168" s="2448" t="s">
        <v>5230</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 customHeight="1">
      <c r="A169" s="3782"/>
      <c r="B169" s="1851" t="str">
        <f t="shared" si="5"/>
        <v>2000002703</v>
      </c>
      <c r="C169" s="1851" t="s">
        <v>6113</v>
      </c>
      <c r="D169" s="2178"/>
      <c r="E169" s="2118"/>
      <c r="F169" s="1851" t="s">
        <v>16</v>
      </c>
      <c r="G169" s="1921"/>
      <c r="H169" s="1921"/>
      <c r="I169" s="2320" t="s">
        <v>65</v>
      </c>
      <c r="J169" s="1495" t="s">
        <v>164</v>
      </c>
      <c r="K169" s="1605" t="s">
        <v>6348</v>
      </c>
      <c r="L169" s="2357">
        <v>2000</v>
      </c>
      <c r="M169" s="2496" t="s">
        <v>6349</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 customHeight="1">
      <c r="A170" s="3782"/>
      <c r="B170" s="1851" t="str">
        <f t="shared" si="5"/>
        <v>2000002704</v>
      </c>
      <c r="C170" s="1851" t="s">
        <v>6113</v>
      </c>
      <c r="D170" s="2178"/>
      <c r="E170" s="2118"/>
      <c r="F170" s="1851" t="s">
        <v>16</v>
      </c>
      <c r="G170" s="1921"/>
      <c r="H170" s="1921"/>
      <c r="I170" s="2320" t="s">
        <v>65</v>
      </c>
      <c r="J170" s="1495" t="s">
        <v>164</v>
      </c>
      <c r="K170" s="1605" t="s">
        <v>6350</v>
      </c>
      <c r="L170" s="2357">
        <v>2500</v>
      </c>
      <c r="M170" s="2496" t="s">
        <v>6351</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 customHeight="1">
      <c r="A171" s="3782"/>
      <c r="B171" s="1851" t="str">
        <f t="shared" si="5"/>
        <v>2000002706</v>
      </c>
      <c r="C171" s="1851" t="s">
        <v>6113</v>
      </c>
      <c r="D171" s="2178"/>
      <c r="E171" s="2118"/>
      <c r="F171" s="1851" t="s">
        <v>16</v>
      </c>
      <c r="G171" s="1921"/>
      <c r="H171" s="1921"/>
      <c r="I171" s="2320" t="s">
        <v>65</v>
      </c>
      <c r="J171" s="1495" t="s">
        <v>164</v>
      </c>
      <c r="K171" s="1605" t="s">
        <v>6352</v>
      </c>
      <c r="L171" s="2357">
        <v>2000</v>
      </c>
      <c r="M171" s="2496" t="s">
        <v>6353</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82"/>
      <c r="B172" s="1851" t="str">
        <f t="shared" si="5"/>
        <v>2000002744</v>
      </c>
      <c r="C172" s="1851" t="s">
        <v>6113</v>
      </c>
      <c r="D172" s="2201"/>
      <c r="E172" s="1921"/>
      <c r="F172" s="1851" t="s">
        <v>16</v>
      </c>
      <c r="G172" s="1495"/>
      <c r="H172" s="1495"/>
      <c r="I172" s="2320" t="s">
        <v>65</v>
      </c>
      <c r="J172" s="1851" t="s">
        <v>5400</v>
      </c>
      <c r="K172" s="1600" t="s">
        <v>6354</v>
      </c>
      <c r="L172" s="2299">
        <v>7800</v>
      </c>
      <c r="M172" s="2448" t="s">
        <v>5230</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82"/>
      <c r="B173" s="1875" t="str">
        <f t="shared" si="5"/>
        <v>2000002708</v>
      </c>
      <c r="C173" s="1875" t="s">
        <v>6113</v>
      </c>
      <c r="D173" s="2522"/>
      <c r="E173" s="2184"/>
      <c r="F173" s="1875" t="s">
        <v>16</v>
      </c>
      <c r="G173" s="2186"/>
      <c r="H173" s="2184"/>
      <c r="I173" s="2362" t="s">
        <v>65</v>
      </c>
      <c r="J173" s="1875" t="s">
        <v>5400</v>
      </c>
      <c r="K173" s="1988" t="s">
        <v>6355</v>
      </c>
      <c r="L173" s="2523">
        <v>3000</v>
      </c>
      <c r="M173" s="2518" t="s">
        <v>5230</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4.95" customHeight="1">
      <c r="A174" s="3801"/>
      <c r="B174" s="1495" t="str">
        <f t="shared" si="5"/>
        <v>2000002695</v>
      </c>
      <c r="C174" s="1900" t="s">
        <v>6113</v>
      </c>
      <c r="D174" s="2516"/>
      <c r="E174" s="1543"/>
      <c r="F174" s="1543" t="s">
        <v>16</v>
      </c>
      <c r="G174" s="1543"/>
      <c r="H174" s="1543"/>
      <c r="I174" s="1543" t="s">
        <v>65</v>
      </c>
      <c r="J174" s="1543" t="s">
        <v>4386</v>
      </c>
      <c r="K174" s="1464" t="s">
        <v>6356</v>
      </c>
      <c r="L174" s="2525">
        <v>5000</v>
      </c>
      <c r="M174" s="2518" t="s">
        <v>5230</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35" customHeight="1">
      <c r="A175" s="3781">
        <v>46</v>
      </c>
      <c r="B175" s="2120" t="str">
        <f t="shared" si="5"/>
        <v>2000002709</v>
      </c>
      <c r="C175" s="1921" t="s">
        <v>234</v>
      </c>
      <c r="D175" s="2497">
        <v>11700</v>
      </c>
      <c r="E175" s="2479" t="s">
        <v>6357</v>
      </c>
      <c r="F175" s="1921" t="s">
        <v>16</v>
      </c>
      <c r="G175" s="1921" t="s">
        <v>6358</v>
      </c>
      <c r="H175" s="1909" t="s">
        <v>6330</v>
      </c>
      <c r="I175" s="2344" t="s">
        <v>65</v>
      </c>
      <c r="J175" s="1561" t="s">
        <v>1179</v>
      </c>
      <c r="K175" s="2698" t="s">
        <v>6359</v>
      </c>
      <c r="L175" s="2337">
        <v>10100</v>
      </c>
      <c r="M175" s="2448" t="s">
        <v>5230</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099999999999994" customHeight="1">
      <c r="A176" s="3782"/>
      <c r="B176" s="1851" t="str">
        <f t="shared" si="5"/>
        <v>2000002678</v>
      </c>
      <c r="C176" s="1851" t="s">
        <v>234</v>
      </c>
      <c r="D176" s="1826"/>
      <c r="E176" s="2118"/>
      <c r="F176" s="1495" t="s">
        <v>16</v>
      </c>
      <c r="G176" s="1495"/>
      <c r="H176" s="1495"/>
      <c r="I176" s="2320" t="s">
        <v>65</v>
      </c>
      <c r="J176" s="1495" t="s">
        <v>1179</v>
      </c>
      <c r="K176" s="1994" t="s">
        <v>6360</v>
      </c>
      <c r="L176" s="2281">
        <v>1000</v>
      </c>
      <c r="M176" s="2448" t="s">
        <v>5230</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099999999999994" customHeight="1">
      <c r="A177" s="3783"/>
      <c r="B177" s="1851" t="str">
        <f t="shared" si="5"/>
        <v>2000002738</v>
      </c>
      <c r="C177" s="1851" t="s">
        <v>234</v>
      </c>
      <c r="D177" s="2499"/>
      <c r="E177" s="2118"/>
      <c r="F177" s="1495" t="s">
        <v>16</v>
      </c>
      <c r="G177" s="1495"/>
      <c r="H177" s="1947"/>
      <c r="I177" s="2320" t="s">
        <v>65</v>
      </c>
      <c r="J177" s="1495" t="s">
        <v>1179</v>
      </c>
      <c r="K177" s="1628" t="s">
        <v>6361</v>
      </c>
      <c r="L177" s="2368">
        <v>500</v>
      </c>
      <c r="M177" s="2030" t="s">
        <v>6362</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099999999999994" customHeight="1">
      <c r="A178" s="3781">
        <v>47</v>
      </c>
      <c r="B178" s="2118" t="str">
        <f t="shared" si="5"/>
        <v>2400001067</v>
      </c>
      <c r="C178" s="2118" t="s">
        <v>6363</v>
      </c>
      <c r="D178" s="2453">
        <f>L178+L179</f>
        <v>1577</v>
      </c>
      <c r="E178" s="2120" t="s">
        <v>6364</v>
      </c>
      <c r="F178" s="2118" t="s">
        <v>3136</v>
      </c>
      <c r="G178" s="2118" t="s">
        <v>6365</v>
      </c>
      <c r="H178" s="2354" t="s">
        <v>6366</v>
      </c>
      <c r="I178" s="2318" t="s">
        <v>65</v>
      </c>
      <c r="J178" s="2118" t="s">
        <v>6367</v>
      </c>
      <c r="K178" s="2324" t="s">
        <v>6368</v>
      </c>
      <c r="L178" s="2356">
        <v>1250</v>
      </c>
      <c r="M178" s="2160" t="s">
        <v>6009</v>
      </c>
      <c r="N178" s="2275" t="s">
        <v>6369</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099999999999994" customHeight="1">
      <c r="A179" s="3783"/>
      <c r="B179" s="1495" t="str">
        <f t="shared" si="5"/>
        <v>2400001088</v>
      </c>
      <c r="C179" s="1495" t="s">
        <v>6363</v>
      </c>
      <c r="D179" s="2461"/>
      <c r="E179" s="1921"/>
      <c r="F179" s="1921" t="s">
        <v>3136</v>
      </c>
      <c r="G179" s="2118"/>
      <c r="H179" s="2344" t="s">
        <v>6366</v>
      </c>
      <c r="I179" s="2098" t="s">
        <v>65</v>
      </c>
      <c r="J179" s="1495" t="s">
        <v>6367</v>
      </c>
      <c r="K179" s="1807" t="s">
        <v>6370</v>
      </c>
      <c r="L179" s="2358">
        <v>327</v>
      </c>
      <c r="M179" s="2160" t="s">
        <v>6371</v>
      </c>
      <c r="N179" s="2275" t="s">
        <v>6369</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8" customHeight="1">
      <c r="A180" s="3802">
        <v>48</v>
      </c>
      <c r="B180" s="1495" t="str">
        <f t="shared" si="5"/>
        <v>2200001870</v>
      </c>
      <c r="C180" s="2279" t="s">
        <v>4316</v>
      </c>
      <c r="D180" s="2461">
        <v>3990</v>
      </c>
      <c r="E180" s="2507" t="s">
        <v>6343</v>
      </c>
      <c r="F180" s="1921" t="s">
        <v>20</v>
      </c>
      <c r="G180" s="1921" t="s">
        <v>6372</v>
      </c>
      <c r="H180" s="1909"/>
      <c r="I180" s="1921" t="s">
        <v>65</v>
      </c>
      <c r="J180" s="1921" t="s">
        <v>142</v>
      </c>
      <c r="K180" s="2194" t="s">
        <v>6223</v>
      </c>
      <c r="L180" s="2325">
        <v>3000</v>
      </c>
      <c r="M180" s="2196" t="s">
        <v>5392</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8" customHeight="1">
      <c r="A181" s="3801"/>
      <c r="B181" s="1495" t="str">
        <f t="shared" si="5"/>
        <v>2200001901</v>
      </c>
      <c r="C181" s="1568" t="s">
        <v>4316</v>
      </c>
      <c r="D181" s="2463"/>
      <c r="E181" s="1495"/>
      <c r="F181" s="1495" t="s">
        <v>20</v>
      </c>
      <c r="G181" s="1495"/>
      <c r="H181" s="1495"/>
      <c r="I181" s="1495" t="s">
        <v>65</v>
      </c>
      <c r="J181" s="1495" t="s">
        <v>142</v>
      </c>
      <c r="K181" s="1496" t="s">
        <v>6373</v>
      </c>
      <c r="L181" s="2299">
        <v>990</v>
      </c>
      <c r="M181" s="1495" t="s">
        <v>6319</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5" customHeight="1">
      <c r="A182" s="3781">
        <v>49</v>
      </c>
      <c r="B182" s="2118" t="str">
        <f t="shared" si="5"/>
        <v>2000002701</v>
      </c>
      <c r="C182" s="2118" t="s">
        <v>5832</v>
      </c>
      <c r="D182" s="2178">
        <v>4370</v>
      </c>
      <c r="E182" s="2118" t="s">
        <v>6374</v>
      </c>
      <c r="F182" s="2118" t="s">
        <v>6307</v>
      </c>
      <c r="G182" s="2118" t="s">
        <v>6375</v>
      </c>
      <c r="H182" s="2118" t="s">
        <v>6376</v>
      </c>
      <c r="I182" s="2118" t="s">
        <v>65</v>
      </c>
      <c r="J182" s="2118" t="s">
        <v>106</v>
      </c>
      <c r="K182" s="2402" t="s">
        <v>6377</v>
      </c>
      <c r="L182" s="2508">
        <v>2000</v>
      </c>
      <c r="M182" s="2160" t="s">
        <v>6378</v>
      </c>
      <c r="N182" s="2369" t="s">
        <v>6379</v>
      </c>
      <c r="O182" s="2030">
        <v>3</v>
      </c>
    </row>
    <row r="183" spans="1:127" s="2129" customFormat="1" ht="71.349999999999994" customHeight="1">
      <c r="A183" s="3782"/>
      <c r="B183" s="1875" t="str">
        <f t="shared" si="5"/>
        <v>2200001893</v>
      </c>
      <c r="C183" s="1875" t="s">
        <v>5832</v>
      </c>
      <c r="D183" s="2465"/>
      <c r="E183" s="1875"/>
      <c r="F183" s="1875" t="s">
        <v>6307</v>
      </c>
      <c r="G183" s="1875"/>
      <c r="H183" s="1875"/>
      <c r="I183" s="2024" t="s">
        <v>65</v>
      </c>
      <c r="J183" s="1875" t="s">
        <v>142</v>
      </c>
      <c r="K183" s="2443" t="s">
        <v>6380</v>
      </c>
      <c r="L183" s="2509">
        <v>211</v>
      </c>
      <c r="M183" s="2510" t="s">
        <v>5230</v>
      </c>
      <c r="N183" s="2511"/>
      <c r="O183" s="2057">
        <v>3</v>
      </c>
      <c r="Q183" s="2316"/>
      <c r="DW183" s="2079"/>
    </row>
    <row r="184" spans="1:127" s="2150" customFormat="1" ht="84.1" customHeight="1">
      <c r="A184" s="3783"/>
      <c r="B184" s="1495" t="str">
        <f t="shared" si="5"/>
        <v>2200001870</v>
      </c>
      <c r="C184" s="1495" t="s">
        <v>5832</v>
      </c>
      <c r="D184" s="2463"/>
      <c r="E184" s="1495"/>
      <c r="F184" s="1495" t="s">
        <v>6307</v>
      </c>
      <c r="G184" s="1495"/>
      <c r="H184" s="1495"/>
      <c r="I184" s="1495" t="s">
        <v>65</v>
      </c>
      <c r="J184" s="1495" t="s">
        <v>142</v>
      </c>
      <c r="K184" s="1496" t="s">
        <v>6381</v>
      </c>
      <c r="L184" s="2357">
        <v>2100</v>
      </c>
      <c r="M184" s="1748" t="s">
        <v>6382</v>
      </c>
      <c r="N184" s="1843"/>
      <c r="O184" s="1748">
        <v>3</v>
      </c>
    </row>
    <row r="185" spans="1:127" s="2150" customFormat="1" ht="71.349999999999994" customHeight="1">
      <c r="A185" s="3781">
        <v>50</v>
      </c>
      <c r="B185" s="2118" t="str">
        <f t="shared" si="5"/>
        <v>2000002753</v>
      </c>
      <c r="C185" s="2118" t="s">
        <v>6383</v>
      </c>
      <c r="D185" s="2453">
        <v>13500</v>
      </c>
      <c r="E185" s="2184" t="s">
        <v>6384</v>
      </c>
      <c r="F185" s="2120" t="s">
        <v>22</v>
      </c>
      <c r="G185" s="2118" t="s">
        <v>6385</v>
      </c>
      <c r="H185" s="1632" t="s">
        <v>6330</v>
      </c>
      <c r="I185" s="2354" t="s">
        <v>65</v>
      </c>
      <c r="J185" s="2186" t="s">
        <v>1179</v>
      </c>
      <c r="K185" s="2161" t="s">
        <v>6386</v>
      </c>
      <c r="L185" s="2489">
        <v>600</v>
      </c>
      <c r="M185" s="1632" t="s">
        <v>6387</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349999999999994" customHeight="1">
      <c r="A186" s="3782"/>
      <c r="B186" s="1851" t="str">
        <f t="shared" si="5"/>
        <v>2000002742</v>
      </c>
      <c r="C186" s="1851" t="s">
        <v>6383</v>
      </c>
      <c r="D186" s="2526"/>
      <c r="E186" s="1495"/>
      <c r="F186" s="2025" t="s">
        <v>22</v>
      </c>
      <c r="G186" s="1495"/>
      <c r="H186" s="1495"/>
      <c r="I186" s="1495" t="s">
        <v>65</v>
      </c>
      <c r="J186" s="1495" t="s">
        <v>1179</v>
      </c>
      <c r="K186" s="1600" t="s">
        <v>6388</v>
      </c>
      <c r="L186" s="2517">
        <v>3700</v>
      </c>
      <c r="M186" s="2448" t="s">
        <v>5230</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349999999999994" customHeight="1">
      <c r="A187" s="3783"/>
      <c r="B187" s="1851" t="str">
        <f t="shared" si="5"/>
        <v>2000002725</v>
      </c>
      <c r="C187" s="1851" t="s">
        <v>6383</v>
      </c>
      <c r="D187" s="2527"/>
      <c r="E187" s="1851"/>
      <c r="F187" s="1872" t="s">
        <v>22</v>
      </c>
      <c r="G187" s="1543"/>
      <c r="H187" s="1543"/>
      <c r="I187" s="1543" t="s">
        <v>65</v>
      </c>
      <c r="J187" s="1543" t="s">
        <v>66</v>
      </c>
      <c r="K187" s="2699" t="s">
        <v>6389</v>
      </c>
      <c r="L187" s="2299">
        <v>9300</v>
      </c>
      <c r="M187" s="2528" t="s">
        <v>5230</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 customHeight="1">
      <c r="A188" s="3781">
        <v>51</v>
      </c>
      <c r="B188" s="1921" t="str">
        <f t="shared" si="5"/>
        <v>2400001045</v>
      </c>
      <c r="C188" s="1921" t="s">
        <v>6390</v>
      </c>
      <c r="D188" s="2461">
        <f>L188+L190+L192+L193</f>
        <v>20400</v>
      </c>
      <c r="E188" s="1921" t="s">
        <v>6391</v>
      </c>
      <c r="F188" s="1921" t="s">
        <v>38</v>
      </c>
      <c r="G188" s="1921" t="s">
        <v>6392</v>
      </c>
      <c r="H188" s="2202" t="s">
        <v>6393</v>
      </c>
      <c r="I188" s="1921" t="s">
        <v>65</v>
      </c>
      <c r="J188" s="1921" t="s">
        <v>327</v>
      </c>
      <c r="K188" s="1916" t="s">
        <v>6394</v>
      </c>
      <c r="L188" s="2529">
        <v>10000</v>
      </c>
      <c r="M188" s="2471" t="s">
        <v>5230</v>
      </c>
      <c r="N188" s="1862" t="s">
        <v>6395</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 customHeight="1">
      <c r="A189" s="3782"/>
      <c r="B189" s="1495" t="str">
        <f t="shared" si="5"/>
        <v>2400001044</v>
      </c>
      <c r="C189" s="1495" t="s">
        <v>6390</v>
      </c>
      <c r="D189" s="2463"/>
      <c r="E189" s="1495"/>
      <c r="F189" s="1495" t="s">
        <v>38</v>
      </c>
      <c r="G189" s="1495"/>
      <c r="H189" s="2208" t="s">
        <v>6393</v>
      </c>
      <c r="I189" s="1851" t="s">
        <v>65</v>
      </c>
      <c r="J189" s="2530" t="s">
        <v>327</v>
      </c>
      <c r="K189" s="1994" t="s">
        <v>6396</v>
      </c>
      <c r="L189" s="2284"/>
      <c r="M189" s="2471" t="s">
        <v>5230</v>
      </c>
      <c r="N189" s="1862" t="s">
        <v>6395</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 customHeight="1">
      <c r="A190" s="3782"/>
      <c r="B190" s="1495" t="str">
        <f t="shared" si="5"/>
        <v>2400001089</v>
      </c>
      <c r="C190" s="1495" t="s">
        <v>6390</v>
      </c>
      <c r="D190" s="2454"/>
      <c r="E190" s="1851"/>
      <c r="F190" s="1495" t="s">
        <v>38</v>
      </c>
      <c r="G190" s="1851"/>
      <c r="H190" s="2208" t="s">
        <v>6397</v>
      </c>
      <c r="I190" s="2303" t="s">
        <v>65</v>
      </c>
      <c r="J190" s="2493" t="s">
        <v>327</v>
      </c>
      <c r="K190" s="1916" t="s">
        <v>6398</v>
      </c>
      <c r="L190" s="2531">
        <v>400</v>
      </c>
      <c r="M190" s="2471" t="s">
        <v>5230</v>
      </c>
      <c r="N190" s="1862" t="s">
        <v>6395</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 customHeight="1">
      <c r="A191" s="3782"/>
      <c r="B191" s="1495" t="str">
        <f t="shared" si="5"/>
        <v>2400001090</v>
      </c>
      <c r="C191" s="1495" t="s">
        <v>6390</v>
      </c>
      <c r="D191" s="2454"/>
      <c r="E191" s="1851"/>
      <c r="F191" s="1495" t="s">
        <v>38</v>
      </c>
      <c r="G191" s="1851"/>
      <c r="H191" s="2208" t="s">
        <v>6397</v>
      </c>
      <c r="I191" s="2303" t="s">
        <v>65</v>
      </c>
      <c r="J191" s="2532" t="s">
        <v>327</v>
      </c>
      <c r="K191" s="1770" t="s">
        <v>6399</v>
      </c>
      <c r="L191" s="2531">
        <v>800</v>
      </c>
      <c r="M191" s="2030" t="s">
        <v>6400</v>
      </c>
      <c r="N191" s="1962" t="s">
        <v>6401</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 customHeight="1">
      <c r="A192" s="3782"/>
      <c r="B192" s="1495" t="str">
        <f t="shared" si="5"/>
        <v>2400001050</v>
      </c>
      <c r="C192" s="1495" t="s">
        <v>6390</v>
      </c>
      <c r="D192" s="2454"/>
      <c r="E192" s="1851"/>
      <c r="F192" s="1495" t="s">
        <v>38</v>
      </c>
      <c r="G192" s="2118"/>
      <c r="H192" s="2208" t="s">
        <v>6397</v>
      </c>
      <c r="I192" s="2098" t="s">
        <v>65</v>
      </c>
      <c r="J192" s="1851" t="s">
        <v>4845</v>
      </c>
      <c r="K192" s="1981" t="s">
        <v>6402</v>
      </c>
      <c r="L192" s="2281">
        <v>5000</v>
      </c>
      <c r="M192" s="2448" t="s">
        <v>5230</v>
      </c>
      <c r="N192" s="2533" t="s">
        <v>6403</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 customHeight="1">
      <c r="A193" s="3783"/>
      <c r="B193" s="1495" t="str">
        <f t="shared" si="5"/>
        <v>2400001051</v>
      </c>
      <c r="C193" s="1495" t="s">
        <v>6390</v>
      </c>
      <c r="D193" s="2454"/>
      <c r="E193" s="1875"/>
      <c r="F193" s="1495" t="s">
        <v>38</v>
      </c>
      <c r="G193" s="2118"/>
      <c r="H193" s="2208" t="s">
        <v>6397</v>
      </c>
      <c r="I193" s="1460" t="s">
        <v>65</v>
      </c>
      <c r="J193" s="2028" t="s">
        <v>4845</v>
      </c>
      <c r="K193" s="1770" t="s">
        <v>6404</v>
      </c>
      <c r="L193" s="2281">
        <v>5000</v>
      </c>
      <c r="M193" s="2448" t="s">
        <v>5230</v>
      </c>
      <c r="N193" s="2533" t="s">
        <v>6403</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 customHeight="1">
      <c r="A194" s="3781">
        <v>52</v>
      </c>
      <c r="B194" s="2184" t="str">
        <f t="shared" si="5"/>
        <v>2200001885</v>
      </c>
      <c r="C194" s="2184" t="s">
        <v>6236</v>
      </c>
      <c r="D194" s="2502">
        <v>3270</v>
      </c>
      <c r="E194" s="2187" t="s">
        <v>6405</v>
      </c>
      <c r="F194" s="2424" t="s">
        <v>18</v>
      </c>
      <c r="G194" s="2370" t="s">
        <v>6406</v>
      </c>
      <c r="H194" s="2503" t="s">
        <v>6330</v>
      </c>
      <c r="I194" s="2504" t="s">
        <v>65</v>
      </c>
      <c r="J194" s="2187" t="s">
        <v>275</v>
      </c>
      <c r="K194" s="2700" t="s">
        <v>6407</v>
      </c>
      <c r="L194" s="2505">
        <v>2073</v>
      </c>
      <c r="M194" s="2506" t="s">
        <v>6327</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 customHeight="1">
      <c r="A195" s="3783"/>
      <c r="B195" s="1495" t="str">
        <f t="shared" si="5"/>
        <v>2200001874</v>
      </c>
      <c r="C195" s="1495" t="s">
        <v>6236</v>
      </c>
      <c r="D195" s="2463"/>
      <c r="E195" s="1495"/>
      <c r="F195" s="1495" t="s">
        <v>18</v>
      </c>
      <c r="G195" s="1495"/>
      <c r="H195" s="1495"/>
      <c r="I195" s="1495" t="s">
        <v>65</v>
      </c>
      <c r="J195" s="1495" t="s">
        <v>275</v>
      </c>
      <c r="K195" s="1496" t="s">
        <v>6408</v>
      </c>
      <c r="L195" s="2325">
        <v>1197</v>
      </c>
      <c r="M195" s="2196" t="s">
        <v>6409</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81">
        <v>53</v>
      </c>
      <c r="B196" s="1921" t="str">
        <f t="shared" ref="B196:B202" si="6">TEXT(LEFT(K196,10),"0000000000")</f>
        <v>2200001908</v>
      </c>
      <c r="C196" s="1921" t="s">
        <v>3772</v>
      </c>
      <c r="D196" s="2201">
        <v>8900</v>
      </c>
      <c r="E196" s="2118" t="s">
        <v>6410</v>
      </c>
      <c r="F196" s="1921" t="s">
        <v>16</v>
      </c>
      <c r="G196" s="1909" t="s">
        <v>4588</v>
      </c>
      <c r="H196" s="1909" t="s">
        <v>6330</v>
      </c>
      <c r="I196" s="1921" t="s">
        <v>65</v>
      </c>
      <c r="J196" s="1921" t="s">
        <v>1179</v>
      </c>
      <c r="K196" s="1845" t="s">
        <v>6411</v>
      </c>
      <c r="L196" s="2337">
        <v>141</v>
      </c>
      <c r="M196" s="2448" t="s">
        <v>5230</v>
      </c>
      <c r="N196" s="2534"/>
      <c r="O196" s="1909">
        <v>3</v>
      </c>
    </row>
    <row r="197" spans="1:127" s="1883" customFormat="1" ht="81" customHeight="1">
      <c r="A197" s="3782"/>
      <c r="B197" s="1495" t="str">
        <f t="shared" si="6"/>
        <v>2200001909</v>
      </c>
      <c r="C197" s="1495" t="s">
        <v>3772</v>
      </c>
      <c r="D197" s="2182"/>
      <c r="E197" s="1851"/>
      <c r="F197" s="1495" t="s">
        <v>16</v>
      </c>
      <c r="G197" s="2030"/>
      <c r="H197" s="2376"/>
      <c r="I197" s="1495" t="s">
        <v>65</v>
      </c>
      <c r="J197" s="1495" t="s">
        <v>1179</v>
      </c>
      <c r="K197" s="1600" t="s">
        <v>6412</v>
      </c>
      <c r="L197" s="2299">
        <v>273</v>
      </c>
      <c r="M197" s="2448" t="s">
        <v>5247</v>
      </c>
      <c r="N197" s="2535"/>
      <c r="O197" s="2102">
        <v>3</v>
      </c>
    </row>
    <row r="198" spans="1:127" s="1883" customFormat="1" ht="81" customHeight="1">
      <c r="A198" s="3782"/>
      <c r="B198" s="1495" t="str">
        <f t="shared" si="6"/>
        <v>2200001910</v>
      </c>
      <c r="C198" s="1495" t="s">
        <v>3772</v>
      </c>
      <c r="D198" s="2182"/>
      <c r="E198" s="1851"/>
      <c r="F198" s="1495" t="s">
        <v>16</v>
      </c>
      <c r="G198" s="2030"/>
      <c r="H198" s="2376"/>
      <c r="I198" s="1495" t="s">
        <v>65</v>
      </c>
      <c r="J198" s="1495" t="s">
        <v>1179</v>
      </c>
      <c r="K198" s="1600" t="s">
        <v>6413</v>
      </c>
      <c r="L198" s="2299">
        <v>467</v>
      </c>
      <c r="M198" s="2448" t="s">
        <v>5247</v>
      </c>
      <c r="N198" s="2535"/>
      <c r="O198" s="2102">
        <v>3</v>
      </c>
    </row>
    <row r="199" spans="1:127" s="1883" customFormat="1" ht="81" customHeight="1">
      <c r="A199" s="3782"/>
      <c r="B199" s="1495" t="str">
        <f t="shared" si="6"/>
        <v>2200001906</v>
      </c>
      <c r="C199" s="1495" t="s">
        <v>3772</v>
      </c>
      <c r="D199" s="2182"/>
      <c r="E199" s="1851"/>
      <c r="F199" s="1495" t="s">
        <v>16</v>
      </c>
      <c r="G199" s="2030"/>
      <c r="H199" s="2376"/>
      <c r="I199" s="1495" t="s">
        <v>65</v>
      </c>
      <c r="J199" s="1495" t="s">
        <v>1179</v>
      </c>
      <c r="K199" s="1600" t="s">
        <v>5597</v>
      </c>
      <c r="L199" s="2299">
        <v>2500</v>
      </c>
      <c r="M199" s="2448" t="s">
        <v>5247</v>
      </c>
      <c r="N199" s="2535" t="s">
        <v>6414</v>
      </c>
      <c r="O199" s="2102">
        <v>3</v>
      </c>
    </row>
    <row r="200" spans="1:127" s="1883" customFormat="1" ht="81" customHeight="1">
      <c r="A200" s="3782"/>
      <c r="B200" s="1495" t="str">
        <f t="shared" si="6"/>
        <v>2000002743</v>
      </c>
      <c r="C200" s="1495" t="s">
        <v>3772</v>
      </c>
      <c r="D200" s="2182"/>
      <c r="E200" s="1851"/>
      <c r="F200" s="1495" t="s">
        <v>16</v>
      </c>
      <c r="G200" s="1851"/>
      <c r="H200" s="1947"/>
      <c r="I200" s="1495" t="s">
        <v>65</v>
      </c>
      <c r="J200" s="1495" t="s">
        <v>1179</v>
      </c>
      <c r="K200" s="1600" t="s">
        <v>6415</v>
      </c>
      <c r="L200" s="2299">
        <v>4910</v>
      </c>
      <c r="M200" s="2196" t="s">
        <v>5230</v>
      </c>
      <c r="N200" s="2131"/>
      <c r="O200" s="2102">
        <v>3</v>
      </c>
    </row>
    <row r="201" spans="1:127" s="1883" customFormat="1" ht="81" customHeight="1">
      <c r="A201" s="3783"/>
      <c r="B201" s="1495" t="str">
        <f t="shared" si="6"/>
        <v>2200001903</v>
      </c>
      <c r="C201" s="1495" t="s">
        <v>3772</v>
      </c>
      <c r="D201" s="2182"/>
      <c r="E201" s="1851"/>
      <c r="F201" s="1495" t="s">
        <v>16</v>
      </c>
      <c r="G201" s="1851"/>
      <c r="H201" s="1947"/>
      <c r="I201" s="1495" t="s">
        <v>65</v>
      </c>
      <c r="J201" s="1495" t="s">
        <v>1179</v>
      </c>
      <c r="K201" s="1628" t="s">
        <v>6416</v>
      </c>
      <c r="L201" s="2368">
        <v>614</v>
      </c>
      <c r="M201" s="2536" t="s">
        <v>6417</v>
      </c>
      <c r="N201" s="2131"/>
      <c r="O201" s="2102">
        <v>3</v>
      </c>
    </row>
    <row r="202" spans="1:127" s="1883" customFormat="1" ht="81" customHeight="1">
      <c r="A202" s="3799">
        <v>54</v>
      </c>
      <c r="B202" s="1921" t="str">
        <f t="shared" si="6"/>
        <v>2000002754</v>
      </c>
      <c r="C202" s="1921" t="s">
        <v>3499</v>
      </c>
      <c r="D202" s="2461">
        <v>4000</v>
      </c>
      <c r="E202" s="1921" t="s">
        <v>6418</v>
      </c>
      <c r="F202" s="1921" t="s">
        <v>20</v>
      </c>
      <c r="G202" s="1921" t="s">
        <v>6419</v>
      </c>
      <c r="H202" s="1909" t="s">
        <v>6330</v>
      </c>
      <c r="I202" s="1921" t="s">
        <v>65</v>
      </c>
      <c r="J202" s="1921" t="s">
        <v>117</v>
      </c>
      <c r="K202" s="2194" t="s">
        <v>6420</v>
      </c>
      <c r="L202" s="2337">
        <v>400</v>
      </c>
      <c r="M202" s="1909" t="s">
        <v>6421</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8" customHeight="1">
      <c r="A203" s="3807"/>
      <c r="B203" s="1543" t="str">
        <f t="shared" ref="B203:B204" si="7">TEXT(LEFT(K203,10),"0000000000")</f>
        <v>2000002750</v>
      </c>
      <c r="C203" s="1543" t="s">
        <v>3499</v>
      </c>
      <c r="D203" s="2516"/>
      <c r="E203" s="1543"/>
      <c r="F203" s="1543" t="s">
        <v>20</v>
      </c>
      <c r="G203" s="1543"/>
      <c r="H203" s="2051"/>
      <c r="I203" s="1543" t="s">
        <v>65</v>
      </c>
      <c r="J203" s="1543" t="s">
        <v>117</v>
      </c>
      <c r="K203" s="1546" t="s">
        <v>6422</v>
      </c>
      <c r="L203" s="2517">
        <v>2900</v>
      </c>
      <c r="M203" s="2518" t="s">
        <v>5230</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800"/>
      <c r="B204" s="1495" t="str">
        <f t="shared" si="7"/>
        <v>2200001915</v>
      </c>
      <c r="C204" s="1495" t="s">
        <v>3499</v>
      </c>
      <c r="D204" s="2463"/>
      <c r="E204" s="1495"/>
      <c r="F204" s="1495" t="s">
        <v>20</v>
      </c>
      <c r="G204" s="1495"/>
      <c r="H204" s="1748"/>
      <c r="I204" s="1495" t="s">
        <v>65</v>
      </c>
      <c r="J204" s="1495" t="s">
        <v>142</v>
      </c>
      <c r="K204" s="1496" t="s">
        <v>6423</v>
      </c>
      <c r="L204" s="2299">
        <v>647</v>
      </c>
      <c r="M204" s="1748" t="s">
        <v>6424</v>
      </c>
      <c r="N204" s="2520"/>
      <c r="O204" s="1748">
        <v>3</v>
      </c>
    </row>
    <row r="205" spans="1:127" s="1883" customFormat="1" ht="72.7" customHeight="1">
      <c r="A205" s="3781">
        <v>55</v>
      </c>
      <c r="B205" s="2118" t="str">
        <f>TEXT(LEFT(K205,10),"0000000000")</f>
        <v>2000002733</v>
      </c>
      <c r="C205" s="1851" t="s">
        <v>3747</v>
      </c>
      <c r="D205" s="2453">
        <v>5900</v>
      </c>
      <c r="E205" s="2118" t="s">
        <v>6384</v>
      </c>
      <c r="F205" s="2118" t="s">
        <v>16</v>
      </c>
      <c r="G205" s="2118" t="s">
        <v>6425</v>
      </c>
      <c r="H205" s="1632" t="s">
        <v>6330</v>
      </c>
      <c r="I205" s="2354" t="s">
        <v>65</v>
      </c>
      <c r="J205" s="2120" t="s">
        <v>106</v>
      </c>
      <c r="K205" s="2402" t="s">
        <v>6426</v>
      </c>
      <c r="L205" s="2489">
        <v>937</v>
      </c>
      <c r="M205" s="1632" t="s">
        <v>6427</v>
      </c>
      <c r="N205" s="2130"/>
      <c r="O205" s="2102">
        <v>3</v>
      </c>
    </row>
    <row r="206" spans="1:127" s="1883" customFormat="1" ht="60.8" customHeight="1">
      <c r="A206" s="3782"/>
      <c r="B206" s="1851" t="str">
        <f>TEXT(LEFT(K206,10),"0000000000")</f>
        <v>2200001898</v>
      </c>
      <c r="C206" s="1851" t="s">
        <v>3747</v>
      </c>
      <c r="D206" s="2203"/>
      <c r="E206" s="1872"/>
      <c r="F206" s="1495" t="s">
        <v>16</v>
      </c>
      <c r="G206" s="2159"/>
      <c r="H206" s="2159"/>
      <c r="I206" s="2374" t="s">
        <v>65</v>
      </c>
      <c r="J206" s="1872" t="s">
        <v>106</v>
      </c>
      <c r="K206" s="1628" t="s">
        <v>6428</v>
      </c>
      <c r="L206" s="2368">
        <v>258</v>
      </c>
      <c r="M206" s="2448" t="s">
        <v>5247</v>
      </c>
      <c r="N206" s="2130"/>
      <c r="O206" s="2102">
        <v>3</v>
      </c>
      <c r="Q206" s="1982"/>
    </row>
    <row r="207" spans="1:127" s="1883" customFormat="1" ht="60.8" customHeight="1">
      <c r="A207" s="3782"/>
      <c r="B207" s="1875" t="str">
        <f>TEXT(LEFT(K207,10),"0000000000")</f>
        <v>2200001907</v>
      </c>
      <c r="C207" s="1875" t="s">
        <v>3747</v>
      </c>
      <c r="D207" s="2545"/>
      <c r="E207" s="2028"/>
      <c r="F207" s="1543" t="s">
        <v>16</v>
      </c>
      <c r="G207" s="2420"/>
      <c r="H207" s="2420"/>
      <c r="I207" s="2546" t="s">
        <v>65</v>
      </c>
      <c r="J207" s="2028" t="s">
        <v>106</v>
      </c>
      <c r="K207" s="1988" t="s">
        <v>6429</v>
      </c>
      <c r="L207" s="2490">
        <v>46</v>
      </c>
      <c r="M207" s="2448" t="s">
        <v>5247</v>
      </c>
      <c r="N207" s="2393"/>
      <c r="O207" s="2102">
        <v>3</v>
      </c>
      <c r="Q207" s="1982"/>
    </row>
    <row r="208" spans="1:127" s="1945" customFormat="1" ht="60.8" customHeight="1">
      <c r="A208" s="3803"/>
      <c r="B208" s="1495" t="str">
        <f t="shared" ref="B208:B210" si="8">TEXT(LEFT(K208,10),"0000000000")</f>
        <v>2200001912</v>
      </c>
      <c r="C208" s="1495" t="s">
        <v>3747</v>
      </c>
      <c r="D208" s="2203"/>
      <c r="E208" s="1495"/>
      <c r="F208" s="1495" t="s">
        <v>16</v>
      </c>
      <c r="G208" s="1921"/>
      <c r="H208" s="1921"/>
      <c r="I208" s="1495" t="s">
        <v>65</v>
      </c>
      <c r="J208" s="1495" t="s">
        <v>106</v>
      </c>
      <c r="K208" s="2701" t="s">
        <v>6430</v>
      </c>
      <c r="L208" s="2299">
        <v>65</v>
      </c>
      <c r="M208" s="2205" t="s">
        <v>6431</v>
      </c>
      <c r="N208" s="1862"/>
      <c r="O208" s="2057"/>
      <c r="Q208" s="1985"/>
    </row>
    <row r="209" spans="1:127" s="1945" customFormat="1" ht="60.8" customHeight="1">
      <c r="A209" s="3803"/>
      <c r="B209" s="1495" t="str">
        <f t="shared" si="8"/>
        <v>2000002705</v>
      </c>
      <c r="C209" s="1495" t="s">
        <v>3747</v>
      </c>
      <c r="D209" s="2203"/>
      <c r="E209" s="1495"/>
      <c r="F209" s="1495" t="s">
        <v>16</v>
      </c>
      <c r="G209" s="1921"/>
      <c r="H209" s="1921"/>
      <c r="I209" s="1495" t="s">
        <v>65</v>
      </c>
      <c r="J209" s="1495" t="s">
        <v>164</v>
      </c>
      <c r="K209" s="2141" t="s">
        <v>6432</v>
      </c>
      <c r="L209" s="2490">
        <v>1500</v>
      </c>
      <c r="M209" s="2518" t="s">
        <v>6433</v>
      </c>
      <c r="N209" s="2393"/>
      <c r="O209" s="2053">
        <v>3</v>
      </c>
      <c r="Q209" s="1985"/>
    </row>
    <row r="210" spans="1:127" s="2150" customFormat="1" ht="81" customHeight="1">
      <c r="A210" s="3801"/>
      <c r="B210" s="1495" t="str">
        <f t="shared" si="8"/>
        <v>2000002744</v>
      </c>
      <c r="C210" s="1495" t="s">
        <v>3747</v>
      </c>
      <c r="D210" s="2203"/>
      <c r="E210" s="1495"/>
      <c r="F210" s="1495" t="s">
        <v>16</v>
      </c>
      <c r="G210" s="1495"/>
      <c r="H210" s="1495"/>
      <c r="I210" s="1495" t="s">
        <v>65</v>
      </c>
      <c r="J210" s="1495" t="s">
        <v>5400</v>
      </c>
      <c r="K210" s="1886" t="s">
        <v>6434</v>
      </c>
      <c r="L210" s="2299">
        <v>3200</v>
      </c>
      <c r="M210" s="2196" t="s">
        <v>5230</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6435</v>
      </c>
      <c r="D211" s="2453">
        <f>L211</f>
        <v>225</v>
      </c>
      <c r="E211" s="2547" t="s">
        <v>6357</v>
      </c>
      <c r="F211" s="2118" t="s">
        <v>38</v>
      </c>
      <c r="G211" s="2118" t="s">
        <v>6436</v>
      </c>
      <c r="H211" s="1632" t="s">
        <v>6330</v>
      </c>
      <c r="I211" s="2118" t="s">
        <v>65</v>
      </c>
      <c r="J211" s="2118" t="s">
        <v>6437</v>
      </c>
      <c r="K211" s="2161" t="s">
        <v>6438</v>
      </c>
      <c r="L211" s="2548">
        <v>225</v>
      </c>
      <c r="M211" s="2447" t="s">
        <v>5230</v>
      </c>
      <c r="N211" s="2549"/>
      <c r="O211" s="1632">
        <v>3</v>
      </c>
    </row>
    <row r="212" spans="1:127" s="2122" customFormat="1" ht="81" customHeight="1">
      <c r="A212" s="3781">
        <v>57</v>
      </c>
      <c r="B212" s="1921" t="str">
        <f t="shared" si="9"/>
        <v>2200001911</v>
      </c>
      <c r="C212" s="1921" t="s">
        <v>252</v>
      </c>
      <c r="D212" s="2537">
        <v>4000</v>
      </c>
      <c r="E212" s="2187" t="s">
        <v>6439</v>
      </c>
      <c r="F212" s="1921" t="s">
        <v>20</v>
      </c>
      <c r="G212" s="2187" t="s">
        <v>6440</v>
      </c>
      <c r="H212" s="2261" t="s">
        <v>6441</v>
      </c>
      <c r="I212" s="1921" t="s">
        <v>65</v>
      </c>
      <c r="J212" s="1921" t="s">
        <v>1179</v>
      </c>
      <c r="K212" s="2695" t="s">
        <v>6442</v>
      </c>
      <c r="L212" s="2538">
        <v>3010</v>
      </c>
      <c r="M212" s="2261" t="s">
        <v>6443</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82"/>
      <c r="B213" s="1495" t="str">
        <f t="shared" si="9"/>
        <v>2200001913</v>
      </c>
      <c r="C213" s="1495" t="s">
        <v>252</v>
      </c>
      <c r="D213" s="2539"/>
      <c r="E213" s="1543"/>
      <c r="F213" s="1495" t="s">
        <v>20</v>
      </c>
      <c r="G213" s="1543"/>
      <c r="H213" s="1543"/>
      <c r="I213" s="1495" t="s">
        <v>65</v>
      </c>
      <c r="J213" s="1773" t="s">
        <v>1179</v>
      </c>
      <c r="K213" s="1546" t="s">
        <v>6444</v>
      </c>
      <c r="L213" s="2517">
        <v>535</v>
      </c>
      <c r="M213" s="2051" t="s">
        <v>6445</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83"/>
      <c r="B214" s="1495" t="str">
        <f t="shared" si="9"/>
        <v>2200001917</v>
      </c>
      <c r="C214" s="1495" t="s">
        <v>252</v>
      </c>
      <c r="D214" s="2539"/>
      <c r="E214" s="1543"/>
      <c r="F214" s="1495" t="s">
        <v>20</v>
      </c>
      <c r="G214" s="1543"/>
      <c r="H214" s="2187"/>
      <c r="I214" s="1495" t="s">
        <v>65</v>
      </c>
      <c r="J214" s="1773" t="s">
        <v>1179</v>
      </c>
      <c r="K214" s="1967" t="s">
        <v>6446</v>
      </c>
      <c r="L214" s="2299">
        <v>500</v>
      </c>
      <c r="M214" s="1748" t="s">
        <v>6447</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81" t="s">
        <v>6448</v>
      </c>
      <c r="B215" s="1921" t="str">
        <f t="shared" si="9"/>
        <v>2000002756</v>
      </c>
      <c r="C215" s="1921" t="s">
        <v>5896</v>
      </c>
      <c r="D215" s="2550">
        <v>11940</v>
      </c>
      <c r="E215" s="2479" t="s">
        <v>6449</v>
      </c>
      <c r="F215" s="1921" t="s">
        <v>16</v>
      </c>
      <c r="G215" s="1921" t="s">
        <v>6450</v>
      </c>
      <c r="H215" s="1909" t="s">
        <v>6451</v>
      </c>
      <c r="I215" s="1921" t="s">
        <v>65</v>
      </c>
      <c r="J215" s="1921" t="s">
        <v>1179</v>
      </c>
      <c r="K215" s="1845" t="s">
        <v>6452</v>
      </c>
      <c r="L215" s="2337">
        <v>3560</v>
      </c>
      <c r="M215" s="1909" t="s">
        <v>6453</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5" customHeight="1">
      <c r="A216" s="3782"/>
      <c r="B216" s="1875" t="str">
        <f>TEXT(LEFT(K216,10),"0000000000")</f>
        <v>2000002759</v>
      </c>
      <c r="C216" s="1875" t="s">
        <v>5896</v>
      </c>
      <c r="D216" s="2551"/>
      <c r="E216" s="2552"/>
      <c r="F216" s="1495" t="s">
        <v>16</v>
      </c>
      <c r="G216" s="1851"/>
      <c r="H216" s="2030"/>
      <c r="I216" s="2546" t="s">
        <v>65</v>
      </c>
      <c r="J216" s="2028" t="s">
        <v>1179</v>
      </c>
      <c r="K216" s="1966" t="s">
        <v>6454</v>
      </c>
      <c r="L216" s="2553">
        <v>680</v>
      </c>
      <c r="M216" s="2506" t="s">
        <v>5230</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5" customHeight="1">
      <c r="A217" s="3782"/>
      <c r="B217" s="1875" t="str">
        <f>TEXT(LEFT(K217,10),"0000000000")</f>
        <v>2000002727</v>
      </c>
      <c r="C217" s="1495" t="s">
        <v>5896</v>
      </c>
      <c r="D217" s="2554"/>
      <c r="E217" s="1921"/>
      <c r="F217" s="1495" t="s">
        <v>16</v>
      </c>
      <c r="G217" s="1921"/>
      <c r="H217" s="1495"/>
      <c r="I217" s="1495" t="s">
        <v>65</v>
      </c>
      <c r="J217" s="1495" t="s">
        <v>1179</v>
      </c>
      <c r="K217" s="1845" t="s">
        <v>6455</v>
      </c>
      <c r="L217" s="2353">
        <v>1000</v>
      </c>
      <c r="M217" s="1748" t="s">
        <v>6456</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5" customHeight="1">
      <c r="A218" s="3782"/>
      <c r="B218" s="1495" t="str">
        <f t="shared" si="9"/>
        <v>2000002715</v>
      </c>
      <c r="C218" s="1495" t="s">
        <v>5896</v>
      </c>
      <c r="D218" s="2512"/>
      <c r="E218" s="2118"/>
      <c r="F218" s="1851" t="s">
        <v>16</v>
      </c>
      <c r="G218" s="2118"/>
      <c r="H218" s="2118"/>
      <c r="I218" s="2374" t="s">
        <v>65</v>
      </c>
      <c r="J218" s="1851" t="s">
        <v>1179</v>
      </c>
      <c r="K218" s="1497" t="s">
        <v>6457</v>
      </c>
      <c r="L218" s="2555">
        <v>2000</v>
      </c>
      <c r="M218" s="2160" t="s">
        <v>6458</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5" customHeight="1">
      <c r="A219" s="3782"/>
      <c r="B219" s="1495" t="str">
        <f t="shared" si="9"/>
        <v>2200001899</v>
      </c>
      <c r="C219" s="1495" t="s">
        <v>5896</v>
      </c>
      <c r="D219" s="2556"/>
      <c r="E219" s="2118"/>
      <c r="F219" s="1495" t="s">
        <v>16</v>
      </c>
      <c r="G219" s="1495"/>
      <c r="H219" s="1947"/>
      <c r="I219" s="2320" t="s">
        <v>65</v>
      </c>
      <c r="J219" s="1495" t="s">
        <v>1179</v>
      </c>
      <c r="K219" s="1628" t="s">
        <v>6459</v>
      </c>
      <c r="L219" s="2368">
        <v>72</v>
      </c>
      <c r="M219" s="2448" t="s">
        <v>5247</v>
      </c>
      <c r="N219" s="2131"/>
      <c r="O219" s="2102">
        <v>3</v>
      </c>
      <c r="P219" s="1945"/>
      <c r="DW219" s="1548"/>
    </row>
    <row r="220" spans="1:127" s="1883" customFormat="1" ht="64.55" customHeight="1">
      <c r="A220" s="3782"/>
      <c r="B220" s="1495" t="str">
        <f t="shared" si="9"/>
        <v>2000002742</v>
      </c>
      <c r="C220" s="1495" t="s">
        <v>5896</v>
      </c>
      <c r="D220" s="2557"/>
      <c r="E220" s="2118"/>
      <c r="F220" s="1495" t="s">
        <v>16</v>
      </c>
      <c r="G220" s="1921"/>
      <c r="H220" s="2159"/>
      <c r="I220" s="2320" t="s">
        <v>65</v>
      </c>
      <c r="J220" s="1495" t="s">
        <v>1179</v>
      </c>
      <c r="K220" s="1600" t="s">
        <v>6388</v>
      </c>
      <c r="L220" s="2299">
        <v>1500</v>
      </c>
      <c r="M220" s="2448" t="s">
        <v>5230</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5" customHeight="1">
      <c r="A221" s="3783"/>
      <c r="B221" s="1495" t="str">
        <f t="shared" si="9"/>
        <v>2000002724</v>
      </c>
      <c r="C221" s="1495" t="s">
        <v>5896</v>
      </c>
      <c r="D221" s="2558"/>
      <c r="E221" s="2118"/>
      <c r="F221" s="1495" t="s">
        <v>16</v>
      </c>
      <c r="G221" s="1495"/>
      <c r="H221" s="1495"/>
      <c r="I221" s="2486" t="s">
        <v>65</v>
      </c>
      <c r="J221" s="1495" t="s">
        <v>1179</v>
      </c>
      <c r="K221" s="2136" t="s">
        <v>6460</v>
      </c>
      <c r="L221" s="2357">
        <v>3100</v>
      </c>
      <c r="M221" s="2208" t="s">
        <v>6299</v>
      </c>
      <c r="N221" s="1843" t="s">
        <v>6461</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5567</v>
      </c>
      <c r="D222" s="2512">
        <v>591</v>
      </c>
      <c r="E222" s="2118" t="s">
        <v>6462</v>
      </c>
      <c r="F222" s="1851" t="s">
        <v>24</v>
      </c>
      <c r="G222" s="1851"/>
      <c r="H222" s="1851"/>
      <c r="I222" s="2118" t="s">
        <v>65</v>
      </c>
      <c r="J222" s="2118" t="s">
        <v>275</v>
      </c>
      <c r="K222" s="1873" t="s">
        <v>6463</v>
      </c>
      <c r="L222" s="2361">
        <v>591</v>
      </c>
      <c r="M222" s="2102" t="s">
        <v>5392</v>
      </c>
      <c r="N222" s="1962"/>
      <c r="O222" s="2030"/>
      <c r="P222" s="1982"/>
    </row>
    <row r="223" spans="1:127" s="1883" customFormat="1" ht="74.25" customHeight="1">
      <c r="A223" s="2270"/>
      <c r="B223" s="2118" t="str">
        <f t="shared" si="9"/>
        <v>2200001874</v>
      </c>
      <c r="C223" s="2118" t="s">
        <v>5567</v>
      </c>
      <c r="D223" s="2453">
        <v>3916</v>
      </c>
      <c r="E223" s="2118" t="s">
        <v>6464</v>
      </c>
      <c r="F223" s="2118" t="s">
        <v>24</v>
      </c>
      <c r="G223" s="2118"/>
      <c r="H223" s="2118"/>
      <c r="I223" s="2118" t="s">
        <v>65</v>
      </c>
      <c r="J223" s="2118" t="s">
        <v>275</v>
      </c>
      <c r="K223" s="2161" t="s">
        <v>6465</v>
      </c>
      <c r="L223" s="2322">
        <v>3916</v>
      </c>
      <c r="M223" s="2030" t="s">
        <v>6409</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6" customHeight="1">
      <c r="A224" s="2270"/>
      <c r="B224" s="1851" t="str">
        <f t="shared" si="9"/>
        <v>2200001869</v>
      </c>
      <c r="C224" s="1851" t="s">
        <v>5567</v>
      </c>
      <c r="D224" s="2182">
        <v>826</v>
      </c>
      <c r="E224" s="1872" t="s">
        <v>6466</v>
      </c>
      <c r="F224" s="1851" t="s">
        <v>24</v>
      </c>
      <c r="G224" s="1947"/>
      <c r="H224" s="1851"/>
      <c r="I224" s="1851" t="s">
        <v>65</v>
      </c>
      <c r="J224" s="1851" t="s">
        <v>275</v>
      </c>
      <c r="K224" s="1497" t="s">
        <v>6467</v>
      </c>
      <c r="L224" s="2361">
        <v>2000</v>
      </c>
      <c r="M224" s="2160" t="s">
        <v>5701</v>
      </c>
      <c r="N224" s="2369" t="s">
        <v>6468</v>
      </c>
      <c r="O224" s="2030">
        <v>2</v>
      </c>
    </row>
    <row r="225" spans="1:127" s="1880" customFormat="1" ht="58.6" customHeight="1">
      <c r="A225" s="2338"/>
      <c r="B225" s="1851" t="str">
        <f t="shared" si="9"/>
        <v>2200001878</v>
      </c>
      <c r="C225" s="1851" t="s">
        <v>5567</v>
      </c>
      <c r="D225" s="2454">
        <v>1208</v>
      </c>
      <c r="E225" s="1851" t="s">
        <v>6469</v>
      </c>
      <c r="F225" s="1872" t="s">
        <v>24</v>
      </c>
      <c r="G225" s="1851"/>
      <c r="H225" s="1947"/>
      <c r="I225" s="2374" t="s">
        <v>65</v>
      </c>
      <c r="J225" s="1872" t="s">
        <v>275</v>
      </c>
      <c r="K225" s="1628" t="s">
        <v>6470</v>
      </c>
      <c r="L225" s="2266">
        <v>1208</v>
      </c>
      <c r="M225" s="2447" t="s">
        <v>5230</v>
      </c>
      <c r="N225" s="2131" t="s">
        <v>6471</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6" customHeight="1">
      <c r="A226" s="2321"/>
      <c r="B226" s="1851" t="str">
        <f t="shared" si="9"/>
        <v>2000002694</v>
      </c>
      <c r="C226" s="1851" t="s">
        <v>5567</v>
      </c>
      <c r="D226" s="2454">
        <v>1000</v>
      </c>
      <c r="E226" s="1851" t="s">
        <v>6472</v>
      </c>
      <c r="F226" s="1872" t="s">
        <v>24</v>
      </c>
      <c r="G226" s="1495"/>
      <c r="H226" s="1947"/>
      <c r="I226" s="2320" t="s">
        <v>65</v>
      </c>
      <c r="J226" s="1872" t="s">
        <v>275</v>
      </c>
      <c r="K226" s="1496" t="s">
        <v>6473</v>
      </c>
      <c r="L226" s="2266">
        <v>1000</v>
      </c>
      <c r="M226" s="2448" t="s">
        <v>5230</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6" customHeight="1">
      <c r="A227" s="2469"/>
      <c r="B227" s="1851" t="str">
        <f t="shared" si="9"/>
        <v>2000002625</v>
      </c>
      <c r="C227" s="1851" t="s">
        <v>5567</v>
      </c>
      <c r="D227" s="2454">
        <v>1000</v>
      </c>
      <c r="E227" s="1851" t="s">
        <v>6474</v>
      </c>
      <c r="F227" s="1872" t="s">
        <v>24</v>
      </c>
      <c r="G227" s="1495"/>
      <c r="H227" s="1947" t="s">
        <v>6475</v>
      </c>
      <c r="I227" s="2320" t="s">
        <v>65</v>
      </c>
      <c r="J227" s="1872" t="s">
        <v>275</v>
      </c>
      <c r="K227" s="1496" t="s">
        <v>6476</v>
      </c>
      <c r="L227" s="2266">
        <v>1000</v>
      </c>
      <c r="M227" s="2448" t="s">
        <v>5230</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6" customHeight="1">
      <c r="A228" s="2321"/>
      <c r="B228" s="1851" t="str">
        <f t="shared" si="9"/>
        <v>2000002626</v>
      </c>
      <c r="C228" s="1851" t="s">
        <v>5567</v>
      </c>
      <c r="D228" s="2454">
        <v>1000</v>
      </c>
      <c r="E228" s="1851" t="s">
        <v>6477</v>
      </c>
      <c r="F228" s="1872" t="s">
        <v>24</v>
      </c>
      <c r="G228" s="1495"/>
      <c r="H228" s="1947" t="s">
        <v>6475</v>
      </c>
      <c r="I228" s="2320" t="s">
        <v>65</v>
      </c>
      <c r="J228" s="1872" t="s">
        <v>275</v>
      </c>
      <c r="K228" s="1496" t="s">
        <v>6478</v>
      </c>
      <c r="L228" s="2266">
        <v>1000</v>
      </c>
      <c r="M228" s="2448" t="s">
        <v>5230</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6" customHeight="1">
      <c r="A229" s="1542"/>
      <c r="B229" s="1493">
        <v>2000002676</v>
      </c>
      <c r="C229" s="1493" t="s">
        <v>5567</v>
      </c>
      <c r="D229" s="1494"/>
      <c r="E229" s="1495" t="s">
        <v>6479</v>
      </c>
      <c r="F229" s="1493" t="s">
        <v>24</v>
      </c>
      <c r="G229" s="1495"/>
      <c r="H229" s="1495"/>
      <c r="I229" s="1495" t="s">
        <v>65</v>
      </c>
      <c r="J229" s="1495" t="s">
        <v>275</v>
      </c>
      <c r="K229" s="1600" t="s">
        <v>6480</v>
      </c>
      <c r="L229" s="2357">
        <v>1500</v>
      </c>
      <c r="M229" s="2196" t="s">
        <v>5230</v>
      </c>
      <c r="N229" s="2498"/>
      <c r="O229" s="2359"/>
    </row>
    <row r="230" spans="1:127" ht="58.6" customHeight="1">
      <c r="B230" s="1"/>
      <c r="D230" s="1138"/>
    </row>
    <row r="231" spans="1:127" ht="58.6" customHeight="1">
      <c r="B231" s="1"/>
      <c r="D231" s="1138"/>
    </row>
    <row r="232" spans="1:127" ht="58.6" customHeight="1">
      <c r="B232" s="1"/>
      <c r="D232" s="1138"/>
    </row>
    <row r="233" spans="1:127" ht="58.6" customHeight="1">
      <c r="B233" s="1"/>
      <c r="D233" s="1138"/>
    </row>
    <row r="234" spans="1:127" ht="58.6" customHeight="1">
      <c r="B234" s="1"/>
      <c r="D234" s="1138"/>
    </row>
    <row r="235" spans="1:127" ht="58.6" customHeight="1">
      <c r="B235" s="1"/>
      <c r="D235" s="1138"/>
    </row>
    <row r="236" spans="1:127" ht="58.6" customHeight="1">
      <c r="B236" s="1"/>
      <c r="D236" s="1138"/>
    </row>
    <row r="237" spans="1:127" ht="58.6" customHeight="1">
      <c r="B237" s="1"/>
      <c r="D237" s="1138"/>
    </row>
    <row r="238" spans="1:127" ht="58.6" customHeight="1">
      <c r="B238" s="1"/>
      <c r="D238" s="1138"/>
    </row>
    <row r="239" spans="1:127" ht="58.6" customHeight="1">
      <c r="B239" s="1"/>
      <c r="D239" s="1138"/>
    </row>
    <row r="240" spans="1:127" ht="58.6"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84" priority="1111"/>
    <cfRule type="duplicateValues" dxfId="383"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6" customHeight="1">
      <c r="B1" s="1848"/>
      <c r="C1" s="10"/>
      <c r="D1" s="2080"/>
      <c r="E1" s="2080"/>
      <c r="F1" s="2080"/>
      <c r="G1" s="2080"/>
      <c r="H1" s="2080"/>
      <c r="I1" s="2080"/>
      <c r="J1" s="2080"/>
      <c r="K1" s="2080"/>
      <c r="L1" s="2105"/>
      <c r="N1" s="1848"/>
      <c r="O1" s="1848"/>
    </row>
    <row r="2" spans="1:127" ht="50.3" customHeight="1">
      <c r="A2" s="3826" t="s">
        <v>4798</v>
      </c>
      <c r="B2" s="3826"/>
      <c r="C2" s="3826"/>
      <c r="D2" s="3826"/>
      <c r="E2" s="3826"/>
      <c r="F2" s="3826"/>
      <c r="G2" s="3826"/>
      <c r="H2" s="3826"/>
      <c r="I2" s="3826"/>
      <c r="J2" s="3826"/>
      <c r="K2" s="3826"/>
      <c r="L2" s="3826"/>
      <c r="M2" s="3826"/>
      <c r="N2" s="3826"/>
      <c r="O2" s="3826"/>
    </row>
    <row r="3" spans="1:127" ht="39.75" customHeight="1">
      <c r="A3" s="3759" t="s">
        <v>3429</v>
      </c>
      <c r="B3" s="3759"/>
      <c r="C3" s="3759"/>
      <c r="D3" s="2091">
        <f>SUBTOTAL(9,D5:D618)</f>
        <v>285970</v>
      </c>
      <c r="E3" s="1932"/>
      <c r="F3" s="2092"/>
      <c r="G3" s="1932"/>
      <c r="H3" s="1932"/>
      <c r="I3" s="1932"/>
      <c r="J3" s="1932"/>
      <c r="K3" s="2093">
        <f ca="1">TODAY()</f>
        <v>45988</v>
      </c>
      <c r="L3" s="2091">
        <f>SUBTOTAL(9,L5:L618)</f>
        <v>282084</v>
      </c>
      <c r="M3" s="2094"/>
      <c r="N3" s="2099"/>
      <c r="O3" s="2099"/>
    </row>
    <row r="4" spans="1:127" s="1149" customFormat="1" ht="79.5" customHeight="1">
      <c r="A4" s="2109" t="s">
        <v>48</v>
      </c>
      <c r="B4" s="2110" t="s">
        <v>5213</v>
      </c>
      <c r="C4" s="2111" t="s">
        <v>49</v>
      </c>
      <c r="D4" s="2090" t="s">
        <v>5215</v>
      </c>
      <c r="E4" s="1970" t="s">
        <v>3430</v>
      </c>
      <c r="F4" s="1970" t="s">
        <v>52</v>
      </c>
      <c r="G4" s="1970" t="s">
        <v>3431</v>
      </c>
      <c r="H4" s="1970" t="s">
        <v>6004</v>
      </c>
      <c r="I4" s="1970" t="s">
        <v>55</v>
      </c>
      <c r="J4" s="1970" t="s">
        <v>56</v>
      </c>
      <c r="K4" s="1970" t="s">
        <v>6005</v>
      </c>
      <c r="L4" s="1970" t="s">
        <v>5561</v>
      </c>
      <c r="M4" s="1970" t="s">
        <v>6481</v>
      </c>
      <c r="N4" s="2100" t="s">
        <v>58</v>
      </c>
      <c r="O4" s="2100"/>
    </row>
    <row r="5" spans="1:127" s="2086" customFormat="1" ht="50.95" customHeight="1">
      <c r="A5" s="3827">
        <v>1</v>
      </c>
      <c r="B5" s="2101" t="str">
        <f t="shared" ref="B5:B36" si="0">TEXT(LEFT(K5,10),"0000000000")</f>
        <v>2200001829</v>
      </c>
      <c r="C5" s="1461" t="s">
        <v>3530</v>
      </c>
      <c r="D5" s="2124">
        <v>4300</v>
      </c>
      <c r="E5" s="1461" t="s">
        <v>4799</v>
      </c>
      <c r="F5" s="1461" t="s">
        <v>16</v>
      </c>
      <c r="G5" s="1461" t="s">
        <v>4800</v>
      </c>
      <c r="H5" s="1461" t="s">
        <v>1640</v>
      </c>
      <c r="I5" s="1461" t="s">
        <v>65</v>
      </c>
      <c r="J5" s="2125" t="s">
        <v>1000</v>
      </c>
      <c r="K5" s="1916" t="s">
        <v>6482</v>
      </c>
      <c r="L5" s="2126">
        <v>433</v>
      </c>
      <c r="M5" s="1461" t="s">
        <v>6483</v>
      </c>
      <c r="N5" s="2123" t="s">
        <v>6484</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0.95" customHeight="1">
      <c r="A6" s="3828"/>
      <c r="B6" s="2101" t="str">
        <f t="shared" si="0"/>
        <v>2200001831</v>
      </c>
      <c r="C6" s="1460" t="s">
        <v>3530</v>
      </c>
      <c r="D6" s="1460"/>
      <c r="E6" s="1460"/>
      <c r="F6" s="1460" t="s">
        <v>16</v>
      </c>
      <c r="G6" s="1460"/>
      <c r="H6" s="1460"/>
      <c r="I6" s="1460"/>
      <c r="J6" s="2098" t="s">
        <v>1000</v>
      </c>
      <c r="K6" s="1496" t="s">
        <v>6485</v>
      </c>
      <c r="L6" s="2106">
        <v>3825</v>
      </c>
      <c r="M6" s="1460" t="s">
        <v>6483</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59.95" customHeight="1">
      <c r="A7" s="3827">
        <v>2</v>
      </c>
      <c r="B7" s="2101" t="str">
        <f t="shared" si="0"/>
        <v>2000002556</v>
      </c>
      <c r="C7" s="1461" t="s">
        <v>3668</v>
      </c>
      <c r="D7" s="2124">
        <v>23000</v>
      </c>
      <c r="E7" s="1461" t="s">
        <v>4803</v>
      </c>
      <c r="F7" s="1461" t="s">
        <v>14</v>
      </c>
      <c r="G7" s="1461" t="s">
        <v>4804</v>
      </c>
      <c r="H7" s="1461" t="s">
        <v>1640</v>
      </c>
      <c r="I7" s="1461" t="s">
        <v>65</v>
      </c>
      <c r="J7" s="2125" t="s">
        <v>66</v>
      </c>
      <c r="K7" s="2148" t="s">
        <v>6486</v>
      </c>
      <c r="L7" s="2149">
        <v>23000</v>
      </c>
      <c r="M7" s="1461" t="s">
        <v>6487</v>
      </c>
      <c r="N7" s="2123" t="s">
        <v>6488</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0.95" customHeight="1">
      <c r="A8" s="3828"/>
      <c r="B8" s="2101" t="str">
        <f t="shared" si="0"/>
        <v>2000002559</v>
      </c>
      <c r="C8" s="1460" t="s">
        <v>3668</v>
      </c>
      <c r="D8" s="1460"/>
      <c r="E8" s="1460"/>
      <c r="F8" s="1460" t="s">
        <v>14</v>
      </c>
      <c r="G8" s="1460"/>
      <c r="H8" s="1460"/>
      <c r="I8" s="1460"/>
      <c r="J8" s="2098" t="s">
        <v>66</v>
      </c>
      <c r="K8" s="1496" t="s">
        <v>6489</v>
      </c>
      <c r="L8" s="2106"/>
      <c r="M8" s="1460" t="s">
        <v>6487</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0.95" customHeight="1">
      <c r="A9" s="3827">
        <v>3</v>
      </c>
      <c r="B9" s="2101" t="str">
        <f t="shared" si="0"/>
        <v>2000002585</v>
      </c>
      <c r="C9" s="1461" t="s">
        <v>3963</v>
      </c>
      <c r="D9" s="2124">
        <v>7200</v>
      </c>
      <c r="E9" s="1461" t="s">
        <v>4806</v>
      </c>
      <c r="F9" s="1461" t="s">
        <v>16</v>
      </c>
      <c r="G9" s="1461" t="s">
        <v>4807</v>
      </c>
      <c r="H9" s="1461" t="s">
        <v>1640</v>
      </c>
      <c r="I9" s="1461" t="s">
        <v>65</v>
      </c>
      <c r="J9" s="2125" t="s">
        <v>1179</v>
      </c>
      <c r="K9" s="1916" t="s">
        <v>6490</v>
      </c>
      <c r="L9" s="2126">
        <v>1000</v>
      </c>
      <c r="M9" s="1461" t="s">
        <v>6491</v>
      </c>
      <c r="N9" s="2123" t="s">
        <v>6484</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0.95" customHeight="1">
      <c r="A10" s="3828"/>
      <c r="B10" s="2101" t="str">
        <f t="shared" si="0"/>
        <v>2200001830</v>
      </c>
      <c r="C10" s="1460" t="s">
        <v>3963</v>
      </c>
      <c r="D10" s="2095"/>
      <c r="E10" s="1460"/>
      <c r="F10" s="1460" t="s">
        <v>16</v>
      </c>
      <c r="G10" s="1460"/>
      <c r="H10" s="1460"/>
      <c r="I10" s="1460"/>
      <c r="J10" s="2098" t="s">
        <v>1179</v>
      </c>
      <c r="K10" s="1598" t="s">
        <v>6492</v>
      </c>
      <c r="L10" s="2106">
        <v>6200</v>
      </c>
      <c r="M10" s="1460" t="s">
        <v>6483</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0.95" customHeight="1">
      <c r="A11" s="2096">
        <v>4</v>
      </c>
      <c r="B11" s="2101" t="str">
        <f t="shared" si="0"/>
        <v>2000002588</v>
      </c>
      <c r="C11" s="1851" t="s">
        <v>97</v>
      </c>
      <c r="D11" s="2097">
        <v>4600</v>
      </c>
      <c r="E11" s="1851" t="s">
        <v>4809</v>
      </c>
      <c r="F11" s="1851" t="s">
        <v>18</v>
      </c>
      <c r="G11" s="1851"/>
      <c r="H11" s="1460" t="s">
        <v>1640</v>
      </c>
      <c r="I11" s="1851" t="s">
        <v>65</v>
      </c>
      <c r="J11" s="1872" t="s">
        <v>240</v>
      </c>
      <c r="K11" s="1548" t="s">
        <v>6493</v>
      </c>
      <c r="L11" s="2107">
        <v>4600</v>
      </c>
      <c r="M11" s="1460" t="s">
        <v>6487</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99999999999994" customHeight="1">
      <c r="A12" s="3812">
        <v>5</v>
      </c>
      <c r="B12" s="2101" t="str">
        <f t="shared" si="0"/>
        <v>2200001818</v>
      </c>
      <c r="C12" s="2118" t="s">
        <v>114</v>
      </c>
      <c r="D12" s="2119">
        <v>3720</v>
      </c>
      <c r="E12" s="2118" t="s">
        <v>4809</v>
      </c>
      <c r="F12" s="2120" t="s">
        <v>22</v>
      </c>
      <c r="G12" s="2118" t="s">
        <v>4811</v>
      </c>
      <c r="H12" s="1461" t="s">
        <v>1640</v>
      </c>
      <c r="I12" s="2118" t="s">
        <v>65</v>
      </c>
      <c r="J12" s="2120" t="s">
        <v>1000</v>
      </c>
      <c r="K12" s="2150" t="s">
        <v>6494</v>
      </c>
      <c r="L12" s="2151">
        <v>540</v>
      </c>
      <c r="M12" s="1461" t="s">
        <v>6487</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0.95" customHeight="1">
      <c r="A13" s="3814"/>
      <c r="B13" s="2101" t="str">
        <f t="shared" si="0"/>
        <v>2200001834</v>
      </c>
      <c r="C13" s="1851" t="s">
        <v>114</v>
      </c>
      <c r="D13" s="2097"/>
      <c r="E13" s="1851"/>
      <c r="F13" s="1872" t="s">
        <v>22</v>
      </c>
      <c r="G13" s="1851"/>
      <c r="H13" s="1460"/>
      <c r="I13" s="1851"/>
      <c r="J13" s="1872" t="s">
        <v>1000</v>
      </c>
      <c r="K13" s="1548" t="s">
        <v>6495</v>
      </c>
      <c r="L13" s="2108">
        <v>1142</v>
      </c>
      <c r="M13" s="1460" t="s">
        <v>6487</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0.95" customHeight="1">
      <c r="A14" s="3814"/>
      <c r="B14" s="2101" t="str">
        <f t="shared" si="0"/>
        <v>2200001830</v>
      </c>
      <c r="C14" s="1851" t="s">
        <v>114</v>
      </c>
      <c r="D14" s="2097"/>
      <c r="E14" s="1851"/>
      <c r="F14" s="1872" t="s">
        <v>22</v>
      </c>
      <c r="G14" s="1851"/>
      <c r="H14" s="1460"/>
      <c r="I14" s="1851"/>
      <c r="J14" s="1872" t="s">
        <v>1000</v>
      </c>
      <c r="K14" s="1548" t="s">
        <v>6492</v>
      </c>
      <c r="L14" s="2108">
        <v>1700</v>
      </c>
      <c r="M14" s="1460" t="s">
        <v>6487</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0.95" customHeight="1">
      <c r="A15" s="3813"/>
      <c r="B15" s="2101" t="str">
        <f t="shared" si="0"/>
        <v>2000002589</v>
      </c>
      <c r="C15" s="1851" t="s">
        <v>114</v>
      </c>
      <c r="D15" s="2097"/>
      <c r="E15" s="1851"/>
      <c r="F15" s="1872" t="s">
        <v>22</v>
      </c>
      <c r="G15" s="1851"/>
      <c r="H15" s="1460"/>
      <c r="I15" s="1851"/>
      <c r="J15" s="1872" t="s">
        <v>1000</v>
      </c>
      <c r="K15" s="1496" t="s">
        <v>6496</v>
      </c>
      <c r="L15" s="2108">
        <v>385</v>
      </c>
      <c r="M15" s="1460" t="s">
        <v>6487</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099999999999994" customHeight="1">
      <c r="A16" s="3812">
        <v>6</v>
      </c>
      <c r="B16" s="2101" t="str">
        <f t="shared" si="0"/>
        <v>2200001837</v>
      </c>
      <c r="C16" s="2118" t="s">
        <v>87</v>
      </c>
      <c r="D16" s="2119">
        <v>5950</v>
      </c>
      <c r="E16" s="2118" t="s">
        <v>4813</v>
      </c>
      <c r="F16" s="2120" t="s">
        <v>16</v>
      </c>
      <c r="G16" s="1921" t="s">
        <v>4814</v>
      </c>
      <c r="H16" s="1461" t="s">
        <v>1640</v>
      </c>
      <c r="I16" s="2118" t="s">
        <v>65</v>
      </c>
      <c r="J16" s="2120" t="s">
        <v>1179</v>
      </c>
      <c r="K16" s="2150" t="s">
        <v>6497</v>
      </c>
      <c r="L16" s="2121">
        <v>2800</v>
      </c>
      <c r="M16" s="1461" t="s">
        <v>6487</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099999999999994" customHeight="1">
      <c r="A17" s="3814"/>
      <c r="B17" s="2101" t="str">
        <f t="shared" si="0"/>
        <v>2200001838</v>
      </c>
      <c r="C17" s="1851" t="s">
        <v>87</v>
      </c>
      <c r="D17" s="2097"/>
      <c r="E17" s="1851"/>
      <c r="F17" s="1872" t="s">
        <v>16</v>
      </c>
      <c r="G17" s="1495"/>
      <c r="H17" s="1460"/>
      <c r="I17" s="1851"/>
      <c r="J17" s="2098" t="s">
        <v>1179</v>
      </c>
      <c r="K17" s="1548" t="s">
        <v>6498</v>
      </c>
      <c r="L17" s="2108">
        <v>770</v>
      </c>
      <c r="M17" s="1460" t="s">
        <v>6487</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099999999999994" customHeight="1">
      <c r="A18" s="3814"/>
      <c r="B18" s="2101" t="str">
        <f t="shared" si="0"/>
        <v>2200001839</v>
      </c>
      <c r="C18" s="1851" t="s">
        <v>87</v>
      </c>
      <c r="D18" s="2097"/>
      <c r="E18" s="1851"/>
      <c r="F18" s="1872" t="s">
        <v>16</v>
      </c>
      <c r="G18" s="1495"/>
      <c r="H18" s="1460"/>
      <c r="I18" s="1851"/>
      <c r="J18" s="2098" t="s">
        <v>1179</v>
      </c>
      <c r="K18" s="1548" t="s">
        <v>6499</v>
      </c>
      <c r="L18" s="2108">
        <v>2200</v>
      </c>
      <c r="M18" s="1460" t="s">
        <v>6487</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099999999999994" customHeight="1">
      <c r="A19" s="3813"/>
      <c r="B19" s="2101" t="str">
        <f t="shared" si="0"/>
        <v>2200001836</v>
      </c>
      <c r="C19" s="1851" t="s">
        <v>87</v>
      </c>
      <c r="D19" s="2097"/>
      <c r="E19" s="1851"/>
      <c r="F19" s="1872" t="s">
        <v>16</v>
      </c>
      <c r="G19" s="1495"/>
      <c r="H19" s="1460"/>
      <c r="I19" s="1851"/>
      <c r="J19" s="2098" t="s">
        <v>1179</v>
      </c>
      <c r="K19" s="1496" t="s">
        <v>6500</v>
      </c>
      <c r="L19" s="2108">
        <v>200</v>
      </c>
      <c r="M19" s="1460" t="s">
        <v>6487</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5" customHeight="1">
      <c r="A20" s="3812">
        <v>7</v>
      </c>
      <c r="B20" s="2101" t="str">
        <f t="shared" si="0"/>
        <v>2000002588</v>
      </c>
      <c r="C20" s="2118" t="s">
        <v>252</v>
      </c>
      <c r="D20" s="2119">
        <v>3950</v>
      </c>
      <c r="E20" s="2118" t="s">
        <v>6501</v>
      </c>
      <c r="F20" s="2120" t="s">
        <v>20</v>
      </c>
      <c r="G20" s="1921" t="s">
        <v>6502</v>
      </c>
      <c r="H20" s="1461" t="s">
        <v>1640</v>
      </c>
      <c r="I20" s="2118" t="s">
        <v>65</v>
      </c>
      <c r="J20" s="2120" t="s">
        <v>240</v>
      </c>
      <c r="K20" s="2150" t="s">
        <v>6503</v>
      </c>
      <c r="L20" s="2151">
        <v>1400</v>
      </c>
      <c r="M20" s="2118" t="s">
        <v>6487</v>
      </c>
      <c r="N20" s="2117" t="s">
        <v>6504</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5" customHeight="1">
      <c r="A21" s="3813"/>
      <c r="B21" s="2101" t="str">
        <f t="shared" si="0"/>
        <v>2200001840</v>
      </c>
      <c r="C21" s="1851" t="s">
        <v>252</v>
      </c>
      <c r="D21" s="2097"/>
      <c r="E21" s="1851"/>
      <c r="F21" s="1872" t="s">
        <v>20</v>
      </c>
      <c r="G21" s="1495"/>
      <c r="H21" s="1947"/>
      <c r="I21" s="1851"/>
      <c r="J21" s="1872" t="s">
        <v>142</v>
      </c>
      <c r="K21" s="1548" t="s">
        <v>6505</v>
      </c>
      <c r="L21" s="2108">
        <v>2500</v>
      </c>
      <c r="M21" s="1851" t="s">
        <v>6487</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8" customHeight="1">
      <c r="A22" s="3812">
        <v>8</v>
      </c>
      <c r="B22" s="2101" t="str">
        <f t="shared" si="0"/>
        <v>2200001840</v>
      </c>
      <c r="C22" s="2118" t="s">
        <v>3503</v>
      </c>
      <c r="D22" s="2119">
        <v>2355</v>
      </c>
      <c r="E22" s="2118" t="s">
        <v>6506</v>
      </c>
      <c r="F22" s="2120" t="s">
        <v>22</v>
      </c>
      <c r="G22" s="1921" t="s">
        <v>6507</v>
      </c>
      <c r="H22" s="2159" t="s">
        <v>394</v>
      </c>
      <c r="I22" s="2118" t="s">
        <v>65</v>
      </c>
      <c r="J22" s="2120" t="s">
        <v>142</v>
      </c>
      <c r="K22" s="2150" t="s">
        <v>6505</v>
      </c>
      <c r="L22" s="2121">
        <v>800</v>
      </c>
      <c r="M22" s="2118" t="s">
        <v>6487</v>
      </c>
      <c r="N22" s="2117" t="s">
        <v>6508</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8" customHeight="1">
      <c r="A23" s="3814"/>
      <c r="B23" s="2101" t="str">
        <f t="shared" si="0"/>
        <v>2200001835</v>
      </c>
      <c r="C23" s="1851" t="s">
        <v>3503</v>
      </c>
      <c r="D23" s="2097"/>
      <c r="E23" s="1851"/>
      <c r="F23" s="1872" t="s">
        <v>22</v>
      </c>
      <c r="G23" s="1495"/>
      <c r="H23" s="1947"/>
      <c r="I23" s="1851"/>
      <c r="J23" s="1872" t="s">
        <v>164</v>
      </c>
      <c r="K23" s="1548" t="s">
        <v>6509</v>
      </c>
      <c r="L23" s="2108">
        <v>500</v>
      </c>
      <c r="M23" s="1851" t="s">
        <v>6487</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8" customHeight="1">
      <c r="A24" s="3814"/>
      <c r="B24" s="2101" t="str">
        <f t="shared" si="0"/>
        <v>2000002601</v>
      </c>
      <c r="C24" s="1851" t="s">
        <v>3503</v>
      </c>
      <c r="D24" s="2097"/>
      <c r="E24" s="1851"/>
      <c r="F24" s="1872" t="s">
        <v>22</v>
      </c>
      <c r="G24" s="1495"/>
      <c r="H24" s="1947"/>
      <c r="I24" s="1851"/>
      <c r="J24" s="1872" t="s">
        <v>164</v>
      </c>
      <c r="K24" s="1546" t="s">
        <v>6510</v>
      </c>
      <c r="L24" s="2108">
        <v>1000</v>
      </c>
      <c r="M24" s="1851" t="s">
        <v>6487</v>
      </c>
      <c r="N24" s="2102" t="s">
        <v>6511</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8" customHeight="1">
      <c r="A25" s="3813"/>
      <c r="B25" s="2101" t="str">
        <f t="shared" si="0"/>
        <v>2000002550</v>
      </c>
      <c r="C25" s="1851" t="s">
        <v>3503</v>
      </c>
      <c r="D25" s="2097"/>
      <c r="E25" s="1851"/>
      <c r="F25" s="1872" t="s">
        <v>22</v>
      </c>
      <c r="G25" s="1495"/>
      <c r="H25" s="1947"/>
      <c r="I25" s="1851"/>
      <c r="J25" s="1872" t="s">
        <v>164</v>
      </c>
      <c r="K25" s="1548" t="s">
        <v>6512</v>
      </c>
      <c r="L25" s="2108">
        <v>200</v>
      </c>
      <c r="M25" s="1851" t="s">
        <v>6487</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4824</v>
      </c>
      <c r="D26" s="2097">
        <v>5800</v>
      </c>
      <c r="E26" s="1851" t="s">
        <v>6513</v>
      </c>
      <c r="F26" s="1872" t="s">
        <v>18</v>
      </c>
      <c r="G26" s="1495" t="s">
        <v>6514</v>
      </c>
      <c r="H26" s="1947" t="s">
        <v>1640</v>
      </c>
      <c r="I26" s="1851" t="s">
        <v>65</v>
      </c>
      <c r="J26" s="1872" t="s">
        <v>5858</v>
      </c>
      <c r="K26" s="1883" t="s">
        <v>6515</v>
      </c>
      <c r="L26" s="2108">
        <v>5800</v>
      </c>
      <c r="M26" s="1851" t="s">
        <v>6487</v>
      </c>
      <c r="N26" s="2131" t="s">
        <v>6516</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35" customHeight="1">
      <c r="A27" s="3812">
        <v>10</v>
      </c>
      <c r="B27" s="2101" t="str">
        <f t="shared" si="0"/>
        <v>2200001841</v>
      </c>
      <c r="C27" s="2118" t="s">
        <v>3772</v>
      </c>
      <c r="D27" s="2119">
        <v>8700</v>
      </c>
      <c r="E27" s="2118" t="s">
        <v>6517</v>
      </c>
      <c r="F27" s="2120" t="s">
        <v>16</v>
      </c>
      <c r="G27" s="1921" t="s">
        <v>6518</v>
      </c>
      <c r="H27" s="1947" t="s">
        <v>1640</v>
      </c>
      <c r="I27" s="2118" t="s">
        <v>65</v>
      </c>
      <c r="J27" s="2120" t="s">
        <v>1179</v>
      </c>
      <c r="K27" s="2150" t="s">
        <v>6519</v>
      </c>
      <c r="L27" s="2151">
        <v>1600</v>
      </c>
      <c r="M27" s="2118" t="s">
        <v>6520</v>
      </c>
      <c r="N27" s="2130" t="s">
        <v>6521</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35" customHeight="1">
      <c r="A28" s="3814"/>
      <c r="B28" s="2101" t="str">
        <f t="shared" si="0"/>
        <v>2200001842</v>
      </c>
      <c r="C28" s="1851" t="s">
        <v>3772</v>
      </c>
      <c r="D28" s="2097"/>
      <c r="E28" s="1851"/>
      <c r="F28" s="1872" t="s">
        <v>16</v>
      </c>
      <c r="G28" s="1495"/>
      <c r="H28" s="1947"/>
      <c r="I28" s="1851"/>
      <c r="J28" s="2098" t="s">
        <v>1179</v>
      </c>
      <c r="K28" s="1548" t="s">
        <v>6522</v>
      </c>
      <c r="L28" s="2108">
        <v>1100</v>
      </c>
      <c r="M28" s="1851" t="s">
        <v>6520</v>
      </c>
      <c r="N28" s="2131" t="s">
        <v>6521</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35" customHeight="1">
      <c r="A29" s="3814"/>
      <c r="B29" s="2101" t="str">
        <f t="shared" si="0"/>
        <v>2200001843</v>
      </c>
      <c r="C29" s="1851" t="s">
        <v>3772</v>
      </c>
      <c r="D29" s="2097"/>
      <c r="E29" s="1851"/>
      <c r="F29" s="1872" t="s">
        <v>16</v>
      </c>
      <c r="G29" s="1495"/>
      <c r="H29" s="1947"/>
      <c r="I29" s="1851"/>
      <c r="J29" s="2098" t="s">
        <v>1179</v>
      </c>
      <c r="K29" s="1548" t="s">
        <v>6523</v>
      </c>
      <c r="L29" s="2108">
        <v>3200</v>
      </c>
      <c r="M29" s="1851" t="s">
        <v>6520</v>
      </c>
      <c r="N29" s="2131" t="s">
        <v>6521</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35" customHeight="1">
      <c r="A30" s="3814"/>
      <c r="B30" s="2101" t="str">
        <f t="shared" si="0"/>
        <v>2200001844</v>
      </c>
      <c r="C30" s="1851" t="s">
        <v>3772</v>
      </c>
      <c r="D30" s="2097"/>
      <c r="E30" s="1851"/>
      <c r="F30" s="1872" t="s">
        <v>16</v>
      </c>
      <c r="G30" s="1495"/>
      <c r="H30" s="1947"/>
      <c r="I30" s="1851"/>
      <c r="J30" s="2098" t="s">
        <v>1179</v>
      </c>
      <c r="K30" s="1548" t="s">
        <v>6524</v>
      </c>
      <c r="L30" s="2108">
        <v>1300</v>
      </c>
      <c r="M30" s="1851" t="s">
        <v>6520</v>
      </c>
      <c r="N30" s="2131" t="s">
        <v>6521</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35" customHeight="1">
      <c r="A31" s="3813"/>
      <c r="B31" s="2101" t="str">
        <f t="shared" si="0"/>
        <v>2200001836</v>
      </c>
      <c r="C31" s="1851" t="s">
        <v>3772</v>
      </c>
      <c r="D31" s="2097"/>
      <c r="E31" s="1851"/>
      <c r="F31" s="1872" t="s">
        <v>16</v>
      </c>
      <c r="G31" s="1495"/>
      <c r="H31" s="1947"/>
      <c r="I31" s="1851"/>
      <c r="J31" s="2098" t="s">
        <v>1179</v>
      </c>
      <c r="K31" s="1559" t="s">
        <v>6500</v>
      </c>
      <c r="L31" s="2108">
        <v>1500</v>
      </c>
      <c r="M31" s="1851" t="s">
        <v>6487</v>
      </c>
      <c r="N31" s="2131" t="s">
        <v>6525</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5" customHeight="1">
      <c r="A32" s="3812">
        <v>11</v>
      </c>
      <c r="B32" s="2101" t="str">
        <f t="shared" si="0"/>
        <v>2000002587</v>
      </c>
      <c r="C32" s="2118" t="s">
        <v>3499</v>
      </c>
      <c r="D32" s="2119">
        <v>3500</v>
      </c>
      <c r="E32" s="2118" t="s">
        <v>6526</v>
      </c>
      <c r="F32" s="2120" t="s">
        <v>20</v>
      </c>
      <c r="G32" s="1921" t="s">
        <v>6527</v>
      </c>
      <c r="H32" s="1947" t="s">
        <v>1640</v>
      </c>
      <c r="I32" s="2118" t="s">
        <v>65</v>
      </c>
      <c r="J32" s="2120" t="s">
        <v>106</v>
      </c>
      <c r="K32" s="2162" t="s">
        <v>6528</v>
      </c>
      <c r="L32" s="2151">
        <v>500</v>
      </c>
      <c r="M32" s="2160" t="s">
        <v>6487</v>
      </c>
      <c r="N32" s="2117" t="s">
        <v>6529</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5" customHeight="1">
      <c r="A33" s="3814"/>
      <c r="B33" s="2101" t="str">
        <f t="shared" si="0"/>
        <v>2000002590</v>
      </c>
      <c r="C33" s="1851" t="s">
        <v>3499</v>
      </c>
      <c r="D33" s="2097"/>
      <c r="E33" s="1851"/>
      <c r="F33" s="1872" t="s">
        <v>20</v>
      </c>
      <c r="G33" s="1495"/>
      <c r="H33" s="1947"/>
      <c r="I33" s="1851"/>
      <c r="J33" s="1872" t="s">
        <v>106</v>
      </c>
      <c r="K33" s="1994" t="s">
        <v>6530</v>
      </c>
      <c r="L33" s="2108">
        <v>2500</v>
      </c>
      <c r="M33" s="2160" t="s">
        <v>6487</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5" customHeight="1">
      <c r="A34" s="3813"/>
      <c r="B34" s="2101" t="str">
        <f t="shared" si="0"/>
        <v>2200001848</v>
      </c>
      <c r="C34" s="1851" t="s">
        <v>3499</v>
      </c>
      <c r="D34" s="2097"/>
      <c r="E34" s="1851"/>
      <c r="F34" s="1872" t="s">
        <v>20</v>
      </c>
      <c r="G34" s="1495"/>
      <c r="H34" s="1947"/>
      <c r="I34" s="1851"/>
      <c r="J34" s="1872" t="s">
        <v>142</v>
      </c>
      <c r="K34" s="2197" t="s">
        <v>6531</v>
      </c>
      <c r="L34" s="2108">
        <v>550</v>
      </c>
      <c r="M34" s="2160" t="s">
        <v>6487</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5" customHeight="1">
      <c r="A35" s="3812">
        <v>12</v>
      </c>
      <c r="B35" s="2101" t="str">
        <f t="shared" si="0"/>
        <v>2200001846</v>
      </c>
      <c r="C35" s="2118" t="s">
        <v>2947</v>
      </c>
      <c r="D35" s="2119">
        <v>3500</v>
      </c>
      <c r="E35" s="2118" t="s">
        <v>6532</v>
      </c>
      <c r="F35" s="2120" t="s">
        <v>22</v>
      </c>
      <c r="G35" s="1921" t="s">
        <v>6533</v>
      </c>
      <c r="H35" s="1947" t="s">
        <v>1640</v>
      </c>
      <c r="I35" s="2118" t="s">
        <v>65</v>
      </c>
      <c r="J35" s="2120" t="s">
        <v>1179</v>
      </c>
      <c r="K35" s="1916" t="s">
        <v>6534</v>
      </c>
      <c r="L35" s="2151">
        <v>2883</v>
      </c>
      <c r="M35" s="2160" t="s">
        <v>6487</v>
      </c>
      <c r="N35" s="2130" t="s">
        <v>6535</v>
      </c>
      <c r="O35" s="3810" t="s">
        <v>6536</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5" customHeight="1">
      <c r="A36" s="3813"/>
      <c r="B36" s="2101" t="str">
        <f t="shared" si="0"/>
        <v>2200001847</v>
      </c>
      <c r="C36" s="1851" t="s">
        <v>2947</v>
      </c>
      <c r="D36" s="2097"/>
      <c r="E36" s="1851"/>
      <c r="F36" s="1872" t="s">
        <v>22</v>
      </c>
      <c r="G36" s="1495"/>
      <c r="H36" s="1947"/>
      <c r="I36" s="1851"/>
      <c r="J36" s="1872" t="s">
        <v>1179</v>
      </c>
      <c r="K36" s="1994" t="s">
        <v>6537</v>
      </c>
      <c r="L36" s="2108">
        <v>1654</v>
      </c>
      <c r="M36" s="2160" t="s">
        <v>6487</v>
      </c>
      <c r="N36" s="2102"/>
      <c r="O36" s="3811"/>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5" customHeight="1">
      <c r="A37" s="3812">
        <v>13</v>
      </c>
      <c r="B37" s="2101" t="str">
        <f t="shared" ref="B37:B68" si="1">TEXT(LEFT(K37,10),"0000000000")</f>
        <v>2000002602</v>
      </c>
      <c r="C37" s="2118" t="s">
        <v>6538</v>
      </c>
      <c r="D37" s="2119">
        <v>4150</v>
      </c>
      <c r="E37" s="2118" t="s">
        <v>6532</v>
      </c>
      <c r="F37" s="2120" t="s">
        <v>18</v>
      </c>
      <c r="G37" s="1921" t="s">
        <v>6539</v>
      </c>
      <c r="H37" s="1947" t="s">
        <v>1640</v>
      </c>
      <c r="I37" s="2118" t="s">
        <v>65</v>
      </c>
      <c r="J37" s="2120" t="s">
        <v>164</v>
      </c>
      <c r="K37" s="1547" t="s">
        <v>6540</v>
      </c>
      <c r="L37" s="2151">
        <v>3000</v>
      </c>
      <c r="M37" s="2160" t="s">
        <v>6487</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5" customHeight="1">
      <c r="A38" s="3813"/>
      <c r="B38" s="2101" t="str">
        <f t="shared" si="1"/>
        <v>2000002603</v>
      </c>
      <c r="C38" s="1851" t="s">
        <v>6538</v>
      </c>
      <c r="D38" s="2097"/>
      <c r="E38" s="1851"/>
      <c r="F38" s="1872" t="s">
        <v>18</v>
      </c>
      <c r="G38" s="1495"/>
      <c r="H38" s="1947"/>
      <c r="I38" s="1851"/>
      <c r="J38" s="1872" t="s">
        <v>164</v>
      </c>
      <c r="K38" s="1628" t="s">
        <v>6541</v>
      </c>
      <c r="L38" s="2108">
        <v>1150</v>
      </c>
      <c r="M38" s="2160" t="s">
        <v>6487</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5" customHeight="1">
      <c r="A39" s="3812">
        <v>14</v>
      </c>
      <c r="B39" s="2101" t="str">
        <f t="shared" si="1"/>
        <v>2200001836</v>
      </c>
      <c r="C39" s="2118" t="s">
        <v>3432</v>
      </c>
      <c r="D39" s="2119">
        <v>3100</v>
      </c>
      <c r="E39" s="2118" t="s">
        <v>6532</v>
      </c>
      <c r="F39" s="2120" t="s">
        <v>24</v>
      </c>
      <c r="G39" s="1921" t="s">
        <v>6542</v>
      </c>
      <c r="H39" s="1947" t="s">
        <v>1640</v>
      </c>
      <c r="I39" s="2118" t="s">
        <v>65</v>
      </c>
      <c r="J39" s="2120" t="s">
        <v>1000</v>
      </c>
      <c r="K39" s="2161" t="s">
        <v>6543</v>
      </c>
      <c r="L39" s="2151">
        <v>1800</v>
      </c>
      <c r="M39" s="2160" t="s">
        <v>6487</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5" customHeight="1">
      <c r="A40" s="3814"/>
      <c r="B40" s="2101" t="str">
        <f t="shared" si="1"/>
        <v>2200001846</v>
      </c>
      <c r="C40" s="1851" t="s">
        <v>3432</v>
      </c>
      <c r="D40" s="2097"/>
      <c r="E40" s="1851"/>
      <c r="F40" s="1872" t="s">
        <v>24</v>
      </c>
      <c r="G40" s="1495"/>
      <c r="H40" s="1947"/>
      <c r="I40" s="1851"/>
      <c r="J40" s="1872" t="s">
        <v>1000</v>
      </c>
      <c r="K40" s="1628" t="s">
        <v>6544</v>
      </c>
      <c r="L40" s="2108">
        <v>1000</v>
      </c>
      <c r="M40" s="2160" t="s">
        <v>6487</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5" customHeight="1">
      <c r="A41" s="3813"/>
      <c r="B41" s="2101" t="str">
        <f t="shared" si="1"/>
        <v>2200001850</v>
      </c>
      <c r="C41" s="1851" t="s">
        <v>3432</v>
      </c>
      <c r="D41" s="2097"/>
      <c r="E41" s="1851"/>
      <c r="F41" s="1872" t="s">
        <v>24</v>
      </c>
      <c r="G41" s="1495"/>
      <c r="H41" s="1947"/>
      <c r="I41" s="1851"/>
      <c r="J41" s="1872" t="s">
        <v>1000</v>
      </c>
      <c r="K41" s="1628" t="s">
        <v>6545</v>
      </c>
      <c r="L41" s="2108">
        <v>330</v>
      </c>
      <c r="M41" s="2160" t="s">
        <v>6487</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5" customHeight="1">
      <c r="A42" s="2165">
        <v>15</v>
      </c>
      <c r="B42" s="2101" t="str">
        <f t="shared" si="1"/>
        <v>2200001851</v>
      </c>
      <c r="C42" s="2118" t="s">
        <v>260</v>
      </c>
      <c r="D42" s="2119">
        <v>3750</v>
      </c>
      <c r="E42" s="2118" t="s">
        <v>6546</v>
      </c>
      <c r="F42" s="2120" t="s">
        <v>20</v>
      </c>
      <c r="G42" s="1921" t="s">
        <v>6547</v>
      </c>
      <c r="H42" s="1947" t="s">
        <v>1640</v>
      </c>
      <c r="I42" s="2118" t="s">
        <v>65</v>
      </c>
      <c r="J42" s="2120" t="s">
        <v>1179</v>
      </c>
      <c r="K42" s="2161" t="s">
        <v>6548</v>
      </c>
      <c r="L42" s="2151">
        <v>3750</v>
      </c>
      <c r="M42" s="2160" t="s">
        <v>6549</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5" customHeight="1">
      <c r="A43" s="3809">
        <v>16</v>
      </c>
      <c r="B43" s="2101" t="str">
        <f t="shared" si="1"/>
        <v>2000002603</v>
      </c>
      <c r="C43" s="2118" t="s">
        <v>87</v>
      </c>
      <c r="D43" s="2119">
        <v>5950</v>
      </c>
      <c r="E43" s="2118" t="s">
        <v>4847</v>
      </c>
      <c r="F43" s="2120" t="s">
        <v>16</v>
      </c>
      <c r="G43" s="1921" t="s">
        <v>194</v>
      </c>
      <c r="H43" s="1947" t="s">
        <v>1640</v>
      </c>
      <c r="I43" s="2118" t="s">
        <v>65</v>
      </c>
      <c r="J43" s="2120" t="s">
        <v>164</v>
      </c>
      <c r="K43" s="1547" t="s">
        <v>6550</v>
      </c>
      <c r="L43" s="2121">
        <v>1850</v>
      </c>
      <c r="M43" s="2160" t="s">
        <v>6009</v>
      </c>
      <c r="N43" s="2117" t="s">
        <v>6551</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5" customHeight="1">
      <c r="A44" s="3809"/>
      <c r="B44" s="2101" t="str">
        <f t="shared" si="1"/>
        <v>2000002628</v>
      </c>
      <c r="C44" s="1851" t="s">
        <v>87</v>
      </c>
      <c r="D44" s="2119"/>
      <c r="E44" s="2118"/>
      <c r="F44" s="1872" t="s">
        <v>16</v>
      </c>
      <c r="G44" s="1921"/>
      <c r="H44" s="2159"/>
      <c r="I44" s="2118"/>
      <c r="J44" s="1872" t="s">
        <v>164</v>
      </c>
      <c r="K44" s="1881" t="s">
        <v>6552</v>
      </c>
      <c r="L44" s="2107">
        <v>474</v>
      </c>
      <c r="M44" s="2160" t="s">
        <v>6009</v>
      </c>
      <c r="N44" s="2117" t="s">
        <v>6553</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5" customHeight="1">
      <c r="A45" s="3809"/>
      <c r="B45" s="2101" t="str">
        <f t="shared" si="1"/>
        <v>2000002627</v>
      </c>
      <c r="C45" s="1851" t="s">
        <v>87</v>
      </c>
      <c r="D45" s="2097"/>
      <c r="E45" s="1851"/>
      <c r="F45" s="1872" t="s">
        <v>16</v>
      </c>
      <c r="G45" s="1495"/>
      <c r="H45" s="1947" t="s">
        <v>263</v>
      </c>
      <c r="I45" s="1851"/>
      <c r="J45" s="1872" t="s">
        <v>4386</v>
      </c>
      <c r="K45" s="1628" t="s">
        <v>6554</v>
      </c>
      <c r="L45" s="2107">
        <v>3760</v>
      </c>
      <c r="M45" s="2160" t="s">
        <v>6009</v>
      </c>
      <c r="N45" s="2117" t="s">
        <v>6553</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5" customHeight="1">
      <c r="A46" s="3781">
        <v>17</v>
      </c>
      <c r="B46" s="2101" t="str">
        <f t="shared" si="1"/>
        <v>2000002636</v>
      </c>
      <c r="C46" s="2118" t="s">
        <v>3602</v>
      </c>
      <c r="D46" s="2178">
        <v>3490</v>
      </c>
      <c r="E46" s="2118" t="s">
        <v>6555</v>
      </c>
      <c r="F46" s="2118" t="s">
        <v>20</v>
      </c>
      <c r="G46" s="1921" t="s">
        <v>6556</v>
      </c>
      <c r="H46" s="1947" t="s">
        <v>1640</v>
      </c>
      <c r="I46" s="2118" t="s">
        <v>65</v>
      </c>
      <c r="J46" s="1921" t="s">
        <v>117</v>
      </c>
      <c r="K46" s="1845" t="s">
        <v>6557</v>
      </c>
      <c r="L46" s="2179">
        <v>2300</v>
      </c>
      <c r="M46" s="2160" t="s">
        <v>6009</v>
      </c>
      <c r="N46" s="1748" t="s">
        <v>6558</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5" customHeight="1">
      <c r="A47" s="3783"/>
      <c r="B47" s="2101" t="str">
        <f t="shared" si="1"/>
        <v>2000002637</v>
      </c>
      <c r="C47" s="1851" t="s">
        <v>3602</v>
      </c>
      <c r="D47" s="2182"/>
      <c r="E47" s="1851"/>
      <c r="F47" s="1495" t="s">
        <v>20</v>
      </c>
      <c r="G47" s="1495"/>
      <c r="H47" s="1495"/>
      <c r="I47" s="1851"/>
      <c r="J47" s="1495" t="s">
        <v>117</v>
      </c>
      <c r="K47" s="1600" t="s">
        <v>6559</v>
      </c>
      <c r="L47" s="2183">
        <v>1190</v>
      </c>
      <c r="M47" s="2160" t="s">
        <v>6009</v>
      </c>
      <c r="N47" s="1748" t="s">
        <v>6558</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5" customHeight="1">
      <c r="A48" s="2165">
        <v>18</v>
      </c>
      <c r="B48" s="2101" t="str">
        <f t="shared" si="1"/>
        <v>2000002635</v>
      </c>
      <c r="C48" s="2184" t="s">
        <v>134</v>
      </c>
      <c r="D48" s="2185">
        <v>2950</v>
      </c>
      <c r="E48" s="2184" t="s">
        <v>6560</v>
      </c>
      <c r="F48" s="2186" t="s">
        <v>22</v>
      </c>
      <c r="G48" s="2187" t="s">
        <v>6561</v>
      </c>
      <c r="H48" s="1947" t="s">
        <v>1640</v>
      </c>
      <c r="I48" s="2184" t="s">
        <v>65</v>
      </c>
      <c r="J48" s="2186" t="s">
        <v>117</v>
      </c>
      <c r="K48" s="2188" t="s">
        <v>6562</v>
      </c>
      <c r="L48" s="2189">
        <v>2950</v>
      </c>
      <c r="M48" s="2190" t="s">
        <v>6009</v>
      </c>
      <c r="N48" s="2191" t="s">
        <v>6563</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5" customHeight="1">
      <c r="A49" s="2192">
        <v>19</v>
      </c>
      <c r="B49" s="2101" t="str">
        <f t="shared" si="1"/>
        <v>2400001009</v>
      </c>
      <c r="C49" s="1921" t="s">
        <v>6564</v>
      </c>
      <c r="D49" s="2193">
        <v>11200</v>
      </c>
      <c r="E49" s="1921" t="s">
        <v>6565</v>
      </c>
      <c r="F49" s="1921" t="s">
        <v>3460</v>
      </c>
      <c r="G49" s="1921" t="s">
        <v>6566</v>
      </c>
      <c r="H49" s="1947" t="s">
        <v>1640</v>
      </c>
      <c r="I49" s="1921" t="s">
        <v>65</v>
      </c>
      <c r="J49" s="1921" t="s">
        <v>327</v>
      </c>
      <c r="K49" s="2194" t="s">
        <v>6567</v>
      </c>
      <c r="L49" s="2195">
        <f>D49</f>
        <v>11200</v>
      </c>
      <c r="M49" s="2196" t="s">
        <v>6009</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5" customHeight="1">
      <c r="A50" s="3812">
        <v>20</v>
      </c>
      <c r="B50" s="2101" t="str">
        <f t="shared" si="1"/>
        <v>2000002609</v>
      </c>
      <c r="C50" s="2118" t="s">
        <v>3150</v>
      </c>
      <c r="D50" s="2178">
        <v>18500</v>
      </c>
      <c r="E50" s="2118" t="s">
        <v>6568</v>
      </c>
      <c r="F50" s="2118" t="s">
        <v>16</v>
      </c>
      <c r="G50" s="2118" t="s">
        <v>6569</v>
      </c>
      <c r="H50" s="2118" t="s">
        <v>394</v>
      </c>
      <c r="I50" s="2118" t="s">
        <v>65</v>
      </c>
      <c r="J50" s="2118" t="s">
        <v>106</v>
      </c>
      <c r="K50" s="2402" t="s">
        <v>6570</v>
      </c>
      <c r="L50" s="2199">
        <v>7450</v>
      </c>
      <c r="M50" s="2160" t="s">
        <v>6009</v>
      </c>
      <c r="N50" s="2117" t="s">
        <v>6571</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14"/>
      <c r="B51" s="2101" t="str">
        <f t="shared" si="1"/>
        <v>2000002611</v>
      </c>
      <c r="C51" s="1495" t="s">
        <v>3150</v>
      </c>
      <c r="D51" s="2201"/>
      <c r="E51" s="1921"/>
      <c r="F51" s="1495" t="s">
        <v>16</v>
      </c>
      <c r="G51" s="1921"/>
      <c r="H51" s="1921"/>
      <c r="I51" s="1495"/>
      <c r="J51" s="1495" t="s">
        <v>106</v>
      </c>
      <c r="K51" s="1600" t="s">
        <v>6572</v>
      </c>
      <c r="L51" s="2195">
        <v>754</v>
      </c>
      <c r="M51" s="2160" t="s">
        <v>6009</v>
      </c>
      <c r="N51" s="2208" t="s">
        <v>6573</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5" customHeight="1">
      <c r="A52" s="3814"/>
      <c r="B52" s="2101" t="str">
        <f t="shared" si="1"/>
        <v>2000002644</v>
      </c>
      <c r="C52" s="1495" t="s">
        <v>3150</v>
      </c>
      <c r="D52" s="2201"/>
      <c r="E52" s="1921"/>
      <c r="F52" s="1495" t="s">
        <v>16</v>
      </c>
      <c r="G52" s="1921"/>
      <c r="H52" s="1921"/>
      <c r="I52" s="1495"/>
      <c r="J52" s="1495" t="s">
        <v>106</v>
      </c>
      <c r="K52" s="1600" t="s">
        <v>6574</v>
      </c>
      <c r="L52" s="2204">
        <v>100</v>
      </c>
      <c r="M52" s="2160" t="s">
        <v>6009</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5" customHeight="1">
      <c r="A53" s="3814"/>
      <c r="B53" s="2101" t="str">
        <f t="shared" si="1"/>
        <v>2000002647</v>
      </c>
      <c r="C53" s="1495" t="s">
        <v>3150</v>
      </c>
      <c r="D53" s="2201"/>
      <c r="E53" s="1921"/>
      <c r="F53" s="1495" t="s">
        <v>16</v>
      </c>
      <c r="G53" s="1921"/>
      <c r="H53" s="1921"/>
      <c r="I53" s="1495"/>
      <c r="J53" s="1495" t="s">
        <v>164</v>
      </c>
      <c r="K53" s="1600" t="s">
        <v>6575</v>
      </c>
      <c r="L53" s="2204">
        <v>2500</v>
      </c>
      <c r="M53" s="2160" t="s">
        <v>6009</v>
      </c>
      <c r="N53" s="2202" t="s">
        <v>6576</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5" customHeight="1">
      <c r="A54" s="3814"/>
      <c r="B54" s="2101" t="str">
        <f t="shared" si="1"/>
        <v>2000002648</v>
      </c>
      <c r="C54" s="1495" t="s">
        <v>3150</v>
      </c>
      <c r="D54" s="2201"/>
      <c r="E54" s="1921"/>
      <c r="F54" s="1495" t="s">
        <v>16</v>
      </c>
      <c r="G54" s="1921"/>
      <c r="H54" s="1921"/>
      <c r="I54" s="1495"/>
      <c r="J54" s="1495" t="s">
        <v>164</v>
      </c>
      <c r="K54" s="1600" t="s">
        <v>6577</v>
      </c>
      <c r="L54" s="2204">
        <v>2500</v>
      </c>
      <c r="M54" s="2160" t="s">
        <v>6009</v>
      </c>
      <c r="N54" s="2202" t="s">
        <v>6576</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5" customHeight="1">
      <c r="A55" s="3814"/>
      <c r="B55" s="2101" t="str">
        <f t="shared" si="1"/>
        <v>2000002649</v>
      </c>
      <c r="C55" s="1495" t="s">
        <v>3150</v>
      </c>
      <c r="D55" s="2201"/>
      <c r="E55" s="1921"/>
      <c r="F55" s="1495" t="s">
        <v>16</v>
      </c>
      <c r="G55" s="1921"/>
      <c r="H55" s="1921"/>
      <c r="I55" s="1495"/>
      <c r="J55" s="1495" t="s">
        <v>164</v>
      </c>
      <c r="K55" s="1600" t="s">
        <v>6578</v>
      </c>
      <c r="L55" s="2204">
        <v>2000</v>
      </c>
      <c r="M55" s="2160" t="s">
        <v>6009</v>
      </c>
      <c r="N55" s="2202" t="s">
        <v>6576</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5" customHeight="1">
      <c r="A56" s="3813"/>
      <c r="B56" s="2101" t="str">
        <f t="shared" si="1"/>
        <v>2000002650</v>
      </c>
      <c r="C56" s="1495" t="s">
        <v>3150</v>
      </c>
      <c r="D56" s="2203"/>
      <c r="E56" s="1495"/>
      <c r="F56" s="1495" t="s">
        <v>16</v>
      </c>
      <c r="G56" s="1495"/>
      <c r="H56" s="1495"/>
      <c r="I56" s="1495"/>
      <c r="J56" s="1495" t="s">
        <v>164</v>
      </c>
      <c r="K56" s="1600" t="s">
        <v>6579</v>
      </c>
      <c r="L56" s="2204">
        <v>3000</v>
      </c>
      <c r="M56" s="2160" t="s">
        <v>6009</v>
      </c>
      <c r="N56" s="2202" t="s">
        <v>6576</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5" customHeight="1">
      <c r="A57" s="3781">
        <v>21</v>
      </c>
      <c r="B57" s="2101" t="str">
        <f t="shared" si="1"/>
        <v>2000002660</v>
      </c>
      <c r="C57" s="1921" t="s">
        <v>6580</v>
      </c>
      <c r="D57" s="2201">
        <v>4450</v>
      </c>
      <c r="E57" s="1921" t="s">
        <v>6581</v>
      </c>
      <c r="F57" s="1921" t="s">
        <v>16</v>
      </c>
      <c r="G57" s="1921" t="s">
        <v>6582</v>
      </c>
      <c r="H57" s="1921"/>
      <c r="I57" s="1921"/>
      <c r="J57" s="1921" t="s">
        <v>164</v>
      </c>
      <c r="K57" s="1845" t="s">
        <v>6583</v>
      </c>
      <c r="L57" s="2195">
        <v>2600</v>
      </c>
      <c r="M57" s="2160" t="s">
        <v>6009</v>
      </c>
      <c r="N57" s="1748" t="s">
        <v>6558</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5" customHeight="1">
      <c r="A58" s="3783"/>
      <c r="B58" s="2101" t="str">
        <f t="shared" si="1"/>
        <v>2000002661</v>
      </c>
      <c r="C58" s="1495" t="s">
        <v>6580</v>
      </c>
      <c r="D58" s="2203"/>
      <c r="E58" s="1495" t="s">
        <v>6581</v>
      </c>
      <c r="F58" s="1495" t="s">
        <v>16</v>
      </c>
      <c r="G58" s="1495"/>
      <c r="H58" s="1495"/>
      <c r="I58" s="1495" t="s">
        <v>65</v>
      </c>
      <c r="J58" s="1495" t="s">
        <v>164</v>
      </c>
      <c r="K58" s="1600" t="s">
        <v>6584</v>
      </c>
      <c r="L58" s="2204">
        <v>1850</v>
      </c>
      <c r="M58" s="2206" t="s">
        <v>6009</v>
      </c>
      <c r="N58" s="1748" t="s">
        <v>6558</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5" customHeight="1">
      <c r="A59" s="2198">
        <v>22</v>
      </c>
      <c r="B59" s="2101" t="str">
        <f t="shared" si="1"/>
        <v>2200001858</v>
      </c>
      <c r="C59" s="2263" t="s">
        <v>114</v>
      </c>
      <c r="D59" s="2119">
        <v>3720</v>
      </c>
      <c r="E59" s="2118" t="s">
        <v>6585</v>
      </c>
      <c r="F59" s="2120" t="s">
        <v>22</v>
      </c>
      <c r="G59" s="2187" t="s">
        <v>6586</v>
      </c>
      <c r="H59" s="2159"/>
      <c r="I59" s="2118" t="s">
        <v>65</v>
      </c>
      <c r="J59" s="1921" t="s">
        <v>1000</v>
      </c>
      <c r="K59" s="2161" t="s">
        <v>6587</v>
      </c>
      <c r="L59" s="2199">
        <v>3700</v>
      </c>
      <c r="M59" s="2200" t="s">
        <v>6588</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5" customHeight="1">
      <c r="A60" s="3781">
        <v>28</v>
      </c>
      <c r="B60" s="2101" t="str">
        <f t="shared" si="1"/>
        <v>2000002659</v>
      </c>
      <c r="C60" s="1921" t="s">
        <v>5278</v>
      </c>
      <c r="D60" s="2262">
        <v>4300</v>
      </c>
      <c r="E60" s="2118" t="s">
        <v>6589</v>
      </c>
      <c r="F60" s="2120" t="s">
        <v>20</v>
      </c>
      <c r="G60" s="1921" t="s">
        <v>6590</v>
      </c>
      <c r="H60" s="2159"/>
      <c r="I60" s="2118" t="s">
        <v>65</v>
      </c>
      <c r="J60" s="2118" t="s">
        <v>1179</v>
      </c>
      <c r="K60" s="2161" t="s">
        <v>6591</v>
      </c>
      <c r="L60" s="2199">
        <v>2300</v>
      </c>
      <c r="M60" s="2200" t="s">
        <v>6009</v>
      </c>
      <c r="N60" s="1748" t="s">
        <v>6558</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5" customHeight="1">
      <c r="A61" s="3783"/>
      <c r="B61" s="2101" t="str">
        <f t="shared" si="1"/>
        <v>2200001858</v>
      </c>
      <c r="C61" s="1947" t="s">
        <v>5278</v>
      </c>
      <c r="D61" s="2203"/>
      <c r="E61" s="1495"/>
      <c r="F61" s="1495" t="s">
        <v>20</v>
      </c>
      <c r="G61" s="1851"/>
      <c r="H61" s="1495"/>
      <c r="I61" s="1851"/>
      <c r="J61" s="1851" t="s">
        <v>1179</v>
      </c>
      <c r="K61" s="2194" t="s">
        <v>6592</v>
      </c>
      <c r="L61" s="2204">
        <v>2000</v>
      </c>
      <c r="M61" s="2200" t="s">
        <v>6593</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 customHeight="1">
      <c r="A62" s="3781">
        <v>24</v>
      </c>
      <c r="B62" s="2101" t="str">
        <f t="shared" si="1"/>
        <v>2400001018</v>
      </c>
      <c r="C62" s="2118" t="s">
        <v>6594</v>
      </c>
      <c r="D62" s="2119">
        <v>9000</v>
      </c>
      <c r="E62" s="2118" t="s">
        <v>4847</v>
      </c>
      <c r="F62" s="2120" t="s">
        <v>554</v>
      </c>
      <c r="G62" s="1921" t="s">
        <v>6595</v>
      </c>
      <c r="H62" s="2159"/>
      <c r="I62" s="2118" t="s">
        <v>65</v>
      </c>
      <c r="J62" s="1872" t="s">
        <v>5959</v>
      </c>
      <c r="K62" s="2194" t="s">
        <v>6596</v>
      </c>
      <c r="L62" s="2121">
        <f>D62</f>
        <v>9000</v>
      </c>
      <c r="M62" s="2160" t="s">
        <v>6009</v>
      </c>
      <c r="N62" s="2117" t="s">
        <v>6597</v>
      </c>
      <c r="O62" s="2117"/>
    </row>
    <row r="63" spans="1:127" s="1548" customFormat="1" ht="54.7" customHeight="1">
      <c r="A63" s="3783"/>
      <c r="B63" s="2101" t="str">
        <f t="shared" si="1"/>
        <v>2400001017</v>
      </c>
      <c r="C63" s="1851" t="s">
        <v>6594</v>
      </c>
      <c r="D63" s="2097"/>
      <c r="E63" s="1851"/>
      <c r="F63" s="1872" t="s">
        <v>554</v>
      </c>
      <c r="G63" s="1495"/>
      <c r="H63" s="1947"/>
      <c r="I63" s="1851"/>
      <c r="J63" s="1872" t="s">
        <v>5959</v>
      </c>
      <c r="K63" s="1496" t="s">
        <v>6598</v>
      </c>
      <c r="L63" s="2107"/>
      <c r="M63" s="2160" t="s">
        <v>6009</v>
      </c>
      <c r="N63" s="2102" t="s">
        <v>6599</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 customHeight="1">
      <c r="A64" s="3815">
        <v>25</v>
      </c>
      <c r="B64" s="2101" t="str">
        <f t="shared" si="1"/>
        <v>2200001854</v>
      </c>
      <c r="C64" s="1902" t="s">
        <v>3530</v>
      </c>
      <c r="D64" s="2179">
        <v>4300</v>
      </c>
      <c r="E64" s="1921" t="s">
        <v>6600</v>
      </c>
      <c r="F64" s="1902" t="s">
        <v>16</v>
      </c>
      <c r="G64" s="1921" t="s">
        <v>6601</v>
      </c>
      <c r="H64" s="2150"/>
      <c r="I64" s="2118" t="s">
        <v>65</v>
      </c>
      <c r="J64" s="1921" t="s">
        <v>1179</v>
      </c>
      <c r="K64" s="1916" t="s">
        <v>6602</v>
      </c>
      <c r="L64" s="2179">
        <v>526</v>
      </c>
      <c r="M64" s="2200" t="s">
        <v>6603</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6" customHeight="1">
      <c r="A65" s="3818"/>
      <c r="B65" s="2101" t="str">
        <f t="shared" si="1"/>
        <v>2200001855</v>
      </c>
      <c r="C65" s="1493" t="s">
        <v>3530</v>
      </c>
      <c r="D65" s="2150"/>
      <c r="E65" s="1902"/>
      <c r="F65" s="1493" t="s">
        <v>16</v>
      </c>
      <c r="G65" s="2150"/>
      <c r="H65" s="2150"/>
      <c r="I65" s="2118"/>
      <c r="J65" s="1495" t="s">
        <v>1179</v>
      </c>
      <c r="K65" s="1770" t="s">
        <v>6604</v>
      </c>
      <c r="L65" s="2179">
        <v>1100</v>
      </c>
      <c r="M65" s="2200" t="s">
        <v>6603</v>
      </c>
      <c r="N65" s="2209" t="s">
        <v>6605</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 customHeight="1">
      <c r="A66" s="3818"/>
      <c r="B66" s="2101" t="str">
        <f t="shared" si="1"/>
        <v>2000002631</v>
      </c>
      <c r="C66" s="1493" t="s">
        <v>3530</v>
      </c>
      <c r="D66" s="2203"/>
      <c r="E66" s="1495"/>
      <c r="F66" s="1493" t="s">
        <v>16</v>
      </c>
      <c r="G66" s="1495"/>
      <c r="H66" s="1495"/>
      <c r="I66" s="1495"/>
      <c r="J66" s="1495" t="s">
        <v>1179</v>
      </c>
      <c r="K66" s="1600" t="s">
        <v>6606</v>
      </c>
      <c r="L66" s="2204">
        <v>1000</v>
      </c>
      <c r="M66" s="2200" t="s">
        <v>6607</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 customHeight="1">
      <c r="A67" s="3816"/>
      <c r="B67" s="2101" t="str">
        <f t="shared" si="1"/>
        <v>2200001858</v>
      </c>
      <c r="C67" s="1493" t="s">
        <v>3530</v>
      </c>
      <c r="D67" s="2097"/>
      <c r="E67" s="1851"/>
      <c r="F67" s="1493" t="s">
        <v>16</v>
      </c>
      <c r="G67" s="1543"/>
      <c r="H67" s="1947"/>
      <c r="I67" s="1851"/>
      <c r="J67" s="1495" t="s">
        <v>1179</v>
      </c>
      <c r="K67" s="1628" t="s">
        <v>6608</v>
      </c>
      <c r="L67" s="2207">
        <v>1700</v>
      </c>
      <c r="M67" s="2200" t="s">
        <v>5966</v>
      </c>
      <c r="N67" s="1748"/>
      <c r="O67" s="1939"/>
    </row>
    <row r="68" spans="1:127" s="1883" customFormat="1" ht="54.7" customHeight="1">
      <c r="A68" s="3781">
        <v>26</v>
      </c>
      <c r="B68" s="2101" t="str">
        <f t="shared" si="1"/>
        <v>2000002637</v>
      </c>
      <c r="C68" s="2118" t="s">
        <v>6609</v>
      </c>
      <c r="D68" s="2178">
        <v>4300</v>
      </c>
      <c r="E68" s="2118" t="s">
        <v>6589</v>
      </c>
      <c r="F68" s="2118" t="s">
        <v>20</v>
      </c>
      <c r="G68" s="1921" t="s">
        <v>6610</v>
      </c>
      <c r="H68" s="1921"/>
      <c r="I68" s="2118" t="s">
        <v>65</v>
      </c>
      <c r="J68" s="1921" t="s">
        <v>117</v>
      </c>
      <c r="K68" s="1845" t="s">
        <v>6611</v>
      </c>
      <c r="L68" s="2179">
        <v>1060</v>
      </c>
      <c r="M68" s="2160" t="s">
        <v>6009</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 customHeight="1">
      <c r="A69" s="3782"/>
      <c r="B69" s="2101" t="str">
        <f t="shared" ref="B69:B100" si="2">TEXT(LEFT(K69,10),"0000000000")</f>
        <v>2000002638</v>
      </c>
      <c r="C69" s="1851" t="s">
        <v>6609</v>
      </c>
      <c r="D69" s="2182"/>
      <c r="E69" s="1851"/>
      <c r="F69" s="1495" t="s">
        <v>20</v>
      </c>
      <c r="G69" s="1495"/>
      <c r="H69" s="1495"/>
      <c r="I69" s="1851"/>
      <c r="J69" s="1495" t="s">
        <v>117</v>
      </c>
      <c r="K69" s="1600" t="s">
        <v>6612</v>
      </c>
      <c r="L69" s="2183">
        <v>1850</v>
      </c>
      <c r="M69" s="2160" t="s">
        <v>6009</v>
      </c>
      <c r="N69" s="1748" t="s">
        <v>6558</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 customHeight="1">
      <c r="A70" s="3783"/>
      <c r="B70" s="2101" t="str">
        <f t="shared" si="2"/>
        <v>2200001856</v>
      </c>
      <c r="C70" s="1851" t="s">
        <v>6609</v>
      </c>
      <c r="D70" s="2182"/>
      <c r="E70" s="1851"/>
      <c r="F70" s="1495" t="s">
        <v>20</v>
      </c>
      <c r="G70" s="1495"/>
      <c r="H70" s="1495"/>
      <c r="I70" s="1851"/>
      <c r="J70" s="1495" t="s">
        <v>142</v>
      </c>
      <c r="K70" s="1600" t="s">
        <v>6613</v>
      </c>
      <c r="L70" s="2183">
        <v>1400</v>
      </c>
      <c r="M70" s="2200" t="s">
        <v>6603</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 customHeight="1">
      <c r="A71" s="3815">
        <v>27</v>
      </c>
      <c r="B71" s="2101" t="str">
        <f t="shared" si="2"/>
        <v>2200001855</v>
      </c>
      <c r="C71" s="1902" t="s">
        <v>5239</v>
      </c>
      <c r="D71" s="2119">
        <v>4000</v>
      </c>
      <c r="E71" s="2118" t="s">
        <v>6614</v>
      </c>
      <c r="F71" s="2120" t="s">
        <v>22</v>
      </c>
      <c r="G71" s="2187" t="s">
        <v>6615</v>
      </c>
      <c r="H71" s="2159"/>
      <c r="I71" s="2118" t="s">
        <v>65</v>
      </c>
      <c r="J71" s="1921" t="s">
        <v>1000</v>
      </c>
      <c r="K71" s="2161" t="s">
        <v>6616</v>
      </c>
      <c r="L71" s="2199">
        <v>2000</v>
      </c>
      <c r="M71" s="2200" t="s">
        <v>6603</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 customHeight="1">
      <c r="A72" s="3816"/>
      <c r="B72" s="2101" t="str">
        <f t="shared" si="2"/>
        <v>2200001857</v>
      </c>
      <c r="C72" s="1493" t="s">
        <v>5239</v>
      </c>
      <c r="D72" s="2097"/>
      <c r="E72" s="1851"/>
      <c r="F72" s="1872" t="s">
        <v>22</v>
      </c>
      <c r="G72" s="1543"/>
      <c r="H72" s="1947"/>
      <c r="I72" s="2118"/>
      <c r="J72" s="1851" t="s">
        <v>1000</v>
      </c>
      <c r="K72" s="1628" t="s">
        <v>6617</v>
      </c>
      <c r="L72" s="2207">
        <v>2058</v>
      </c>
      <c r="M72" s="2200" t="s">
        <v>6603</v>
      </c>
      <c r="N72" s="1748"/>
      <c r="O72" s="1939"/>
    </row>
    <row r="73" spans="1:127" s="1883" customFormat="1" ht="54.7" customHeight="1">
      <c r="A73" s="3812">
        <v>28</v>
      </c>
      <c r="B73" s="2101" t="str">
        <f t="shared" si="2"/>
        <v>2000002610</v>
      </c>
      <c r="C73" s="2118" t="s">
        <v>198</v>
      </c>
      <c r="D73" s="2119">
        <v>3240</v>
      </c>
      <c r="E73" s="2118" t="s">
        <v>6618</v>
      </c>
      <c r="F73" s="2120" t="s">
        <v>20</v>
      </c>
      <c r="G73" s="1921" t="s">
        <v>6619</v>
      </c>
      <c r="H73" s="2159"/>
      <c r="I73" s="2118" t="s">
        <v>65</v>
      </c>
      <c r="J73" s="2120" t="s">
        <v>106</v>
      </c>
      <c r="K73" s="2161" t="s">
        <v>6620</v>
      </c>
      <c r="L73" s="2121">
        <v>2500</v>
      </c>
      <c r="M73" s="2160" t="s">
        <v>6009</v>
      </c>
      <c r="N73" s="2117" t="s">
        <v>6621</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 customHeight="1">
      <c r="A74" s="3813"/>
      <c r="B74" s="2101" t="str">
        <f t="shared" si="2"/>
        <v>2000002629</v>
      </c>
      <c r="C74" s="1851" t="s">
        <v>198</v>
      </c>
      <c r="D74" s="2097"/>
      <c r="E74" s="1851"/>
      <c r="F74" s="1872" t="s">
        <v>20</v>
      </c>
      <c r="G74" s="1495"/>
      <c r="H74" s="1947"/>
      <c r="I74" s="1851"/>
      <c r="J74" s="1872" t="s">
        <v>164</v>
      </c>
      <c r="K74" s="1628" t="s">
        <v>6622</v>
      </c>
      <c r="L74" s="2107">
        <v>740</v>
      </c>
      <c r="M74" s="2160" t="s">
        <v>6009</v>
      </c>
      <c r="N74" s="2117" t="s">
        <v>6553</v>
      </c>
      <c r="O74" s="2102"/>
    </row>
    <row r="75" spans="1:127" s="2122" customFormat="1" ht="48.75" customHeight="1">
      <c r="A75" s="3781">
        <v>29</v>
      </c>
      <c r="B75" s="2101" t="str">
        <f t="shared" si="2"/>
        <v>2400001007</v>
      </c>
      <c r="C75" s="2118" t="s">
        <v>6623</v>
      </c>
      <c r="D75" s="2119">
        <v>7500</v>
      </c>
      <c r="E75" s="2118" t="s">
        <v>6624</v>
      </c>
      <c r="F75" s="2120" t="s">
        <v>3460</v>
      </c>
      <c r="G75" s="1921" t="s">
        <v>6625</v>
      </c>
      <c r="H75" s="2159"/>
      <c r="I75" s="2118" t="s">
        <v>65</v>
      </c>
      <c r="J75" s="2120" t="s">
        <v>327</v>
      </c>
      <c r="K75" s="2194" t="s">
        <v>6626</v>
      </c>
      <c r="L75" s="2121">
        <v>2500</v>
      </c>
      <c r="M75" s="2160" t="s">
        <v>6009</v>
      </c>
      <c r="N75" s="2117" t="s">
        <v>6627</v>
      </c>
      <c r="O75" s="2117"/>
    </row>
    <row r="76" spans="1:127" s="1883" customFormat="1" ht="48.75" customHeight="1">
      <c r="A76" s="3783"/>
      <c r="B76" s="2101" t="str">
        <f t="shared" si="2"/>
        <v>2400001016</v>
      </c>
      <c r="C76" s="1851" t="s">
        <v>6623</v>
      </c>
      <c r="D76" s="2097">
        <f>L76</f>
        <v>5000</v>
      </c>
      <c r="E76" s="1851"/>
      <c r="F76" s="1872" t="s">
        <v>3460</v>
      </c>
      <c r="G76" s="1495"/>
      <c r="H76" s="1947"/>
      <c r="I76" s="1851"/>
      <c r="J76" s="1872" t="s">
        <v>4845</v>
      </c>
      <c r="K76" s="1496" t="s">
        <v>6628</v>
      </c>
      <c r="L76" s="2107">
        <v>5000</v>
      </c>
      <c r="M76" s="2160" t="s">
        <v>6009</v>
      </c>
      <c r="N76" s="2102" t="s">
        <v>6629</v>
      </c>
      <c r="O76" s="2102"/>
    </row>
    <row r="77" spans="1:127" s="1883" customFormat="1" ht="48.75" customHeight="1">
      <c r="A77" s="2214">
        <v>30</v>
      </c>
      <c r="B77" s="2101" t="str">
        <f t="shared" si="2"/>
        <v>2000002652</v>
      </c>
      <c r="C77" s="1921" t="s">
        <v>5579</v>
      </c>
      <c r="D77" s="2201">
        <v>4200</v>
      </c>
      <c r="E77" s="1921" t="s">
        <v>6630</v>
      </c>
      <c r="F77" s="1921" t="s">
        <v>20</v>
      </c>
      <c r="G77" s="1921" t="s">
        <v>6631</v>
      </c>
      <c r="H77" s="1921"/>
      <c r="I77" s="1921" t="s">
        <v>65</v>
      </c>
      <c r="J77" s="1921" t="s">
        <v>1179</v>
      </c>
      <c r="K77" s="1845" t="s">
        <v>6632</v>
      </c>
      <c r="L77" s="2179">
        <v>4200</v>
      </c>
      <c r="M77" s="1561" t="s">
        <v>6009</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81">
        <v>31</v>
      </c>
      <c r="B78" s="2101" t="str">
        <f t="shared" si="2"/>
        <v>2000002570</v>
      </c>
      <c r="C78" s="2118" t="s">
        <v>3668</v>
      </c>
      <c r="D78" s="2201">
        <v>24000</v>
      </c>
      <c r="E78" s="1921" t="s">
        <v>6633</v>
      </c>
      <c r="F78" s="1921" t="s">
        <v>14</v>
      </c>
      <c r="G78" s="1921" t="s">
        <v>6634</v>
      </c>
      <c r="H78" s="1921"/>
      <c r="I78" s="1921" t="s">
        <v>65</v>
      </c>
      <c r="J78" s="1921" t="s">
        <v>106</v>
      </c>
      <c r="K78" s="1845" t="s">
        <v>6635</v>
      </c>
      <c r="L78" s="2195">
        <v>2000</v>
      </c>
      <c r="M78" s="2160" t="s">
        <v>6009</v>
      </c>
      <c r="N78" s="2202" t="s">
        <v>6636</v>
      </c>
      <c r="O78" s="2117"/>
    </row>
    <row r="79" spans="1:127" s="1548" customFormat="1" ht="55.55" customHeight="1">
      <c r="A79" s="3782"/>
      <c r="B79" s="2101" t="str">
        <f t="shared" si="2"/>
        <v>2000002571</v>
      </c>
      <c r="C79" s="1495" t="s">
        <v>3668</v>
      </c>
      <c r="D79" s="2203"/>
      <c r="E79" s="1495"/>
      <c r="F79" s="1495" t="s">
        <v>14</v>
      </c>
      <c r="G79" s="1495"/>
      <c r="H79" s="1495"/>
      <c r="I79" s="1495"/>
      <c r="J79" s="1495" t="s">
        <v>106</v>
      </c>
      <c r="K79" s="1600" t="s">
        <v>6637</v>
      </c>
      <c r="L79" s="2204">
        <v>2000</v>
      </c>
      <c r="M79" s="2160" t="s">
        <v>6009</v>
      </c>
      <c r="N79" s="2202" t="s">
        <v>6638</v>
      </c>
      <c r="O79" s="2208"/>
    </row>
    <row r="80" spans="1:127" s="1548" customFormat="1" ht="55.55" customHeight="1">
      <c r="A80" s="3782"/>
      <c r="B80" s="2101" t="str">
        <f t="shared" si="2"/>
        <v>2000002633</v>
      </c>
      <c r="C80" s="1495" t="s">
        <v>3668</v>
      </c>
      <c r="D80" s="2203"/>
      <c r="E80" s="1495"/>
      <c r="F80" s="1495" t="s">
        <v>14</v>
      </c>
      <c r="G80" s="1495"/>
      <c r="H80" s="1495"/>
      <c r="I80" s="1495"/>
      <c r="J80" s="1495" t="s">
        <v>106</v>
      </c>
      <c r="K80" s="1854" t="s">
        <v>6639</v>
      </c>
      <c r="L80" s="2204">
        <v>1625</v>
      </c>
      <c r="M80" s="2160" t="s">
        <v>6009</v>
      </c>
      <c r="N80" s="2102" t="s">
        <v>6010</v>
      </c>
      <c r="O80" s="2208"/>
    </row>
    <row r="81" spans="1:127" s="1548" customFormat="1" ht="55.55" customHeight="1">
      <c r="A81" s="3782"/>
      <c r="B81" s="2101" t="str">
        <f t="shared" si="2"/>
        <v>2000002634</v>
      </c>
      <c r="C81" s="1495" t="s">
        <v>3668</v>
      </c>
      <c r="D81" s="2203"/>
      <c r="E81" s="1495"/>
      <c r="F81" s="1495" t="s">
        <v>14</v>
      </c>
      <c r="G81" s="1495"/>
      <c r="H81" s="1495"/>
      <c r="I81" s="1495"/>
      <c r="J81" s="1495" t="s">
        <v>106</v>
      </c>
      <c r="K81" s="1854" t="s">
        <v>6640</v>
      </c>
      <c r="L81" s="2204">
        <v>1575</v>
      </c>
      <c r="M81" s="2160" t="s">
        <v>6009</v>
      </c>
      <c r="N81" s="2102" t="s">
        <v>6010</v>
      </c>
      <c r="O81" s="2208"/>
    </row>
    <row r="82" spans="1:127" s="1548" customFormat="1" ht="55.55" customHeight="1">
      <c r="A82" s="3782"/>
      <c r="B82" s="2101" t="str">
        <f t="shared" si="2"/>
        <v>2000002611</v>
      </c>
      <c r="C82" s="1495" t="s">
        <v>3668</v>
      </c>
      <c r="D82" s="2203"/>
      <c r="E82" s="1495"/>
      <c r="F82" s="1495" t="s">
        <v>14</v>
      </c>
      <c r="G82" s="1495"/>
      <c r="H82" s="1495"/>
      <c r="I82" s="1495"/>
      <c r="J82" s="1495" t="s">
        <v>106</v>
      </c>
      <c r="K82" s="1600" t="s">
        <v>6641</v>
      </c>
      <c r="L82" s="2204">
        <v>14000</v>
      </c>
      <c r="M82" s="2160" t="s">
        <v>6009</v>
      </c>
      <c r="N82" s="2208" t="s">
        <v>6642</v>
      </c>
      <c r="O82" s="2208"/>
    </row>
    <row r="83" spans="1:127" s="1548" customFormat="1" ht="55.55" customHeight="1">
      <c r="A83" s="3783"/>
      <c r="B83" s="2101" t="str">
        <f t="shared" si="2"/>
        <v>2000002609</v>
      </c>
      <c r="C83" s="1495" t="s">
        <v>3668</v>
      </c>
      <c r="D83" s="2203"/>
      <c r="E83" s="1495"/>
      <c r="F83" s="1495" t="s">
        <v>14</v>
      </c>
      <c r="G83" s="1495"/>
      <c r="H83" s="1495"/>
      <c r="I83" s="1495"/>
      <c r="J83" s="1495" t="s">
        <v>106</v>
      </c>
      <c r="K83" s="1600" t="s">
        <v>6643</v>
      </c>
      <c r="L83" s="2204">
        <v>2550</v>
      </c>
      <c r="M83" s="2160" t="s">
        <v>6009</v>
      </c>
      <c r="N83" s="2202" t="s">
        <v>6644</v>
      </c>
      <c r="O83" s="2208"/>
    </row>
    <row r="84" spans="1:127" s="1548" customFormat="1" ht="55.55" customHeight="1">
      <c r="A84" s="3814">
        <v>32</v>
      </c>
      <c r="B84" s="2101" t="str">
        <f t="shared" si="2"/>
        <v>2400001013</v>
      </c>
      <c r="C84" s="2118" t="s">
        <v>6645</v>
      </c>
      <c r="D84" s="2119">
        <v>19525</v>
      </c>
      <c r="E84" s="2118" t="s">
        <v>6646</v>
      </c>
      <c r="F84" s="2120" t="s">
        <v>38</v>
      </c>
      <c r="G84" s="1921" t="s">
        <v>6647</v>
      </c>
      <c r="H84" s="2159"/>
      <c r="I84" s="2118" t="s">
        <v>65</v>
      </c>
      <c r="J84" s="2120" t="s">
        <v>4834</v>
      </c>
      <c r="K84" s="2194" t="s">
        <v>6648</v>
      </c>
      <c r="L84" s="2227">
        <v>500</v>
      </c>
      <c r="M84" s="2160" t="s">
        <v>6487</v>
      </c>
      <c r="N84" s="2117" t="s">
        <v>6649</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4837</v>
      </c>
    </row>
    <row r="85" spans="1:127" s="1548" customFormat="1" ht="55.55" customHeight="1">
      <c r="A85" s="3814"/>
      <c r="B85" s="2101" t="str">
        <f t="shared" si="2"/>
        <v>2400001000</v>
      </c>
      <c r="C85" s="1851" t="s">
        <v>6645</v>
      </c>
      <c r="D85" s="2097"/>
      <c r="E85" s="2118"/>
      <c r="F85" s="1872" t="s">
        <v>38</v>
      </c>
      <c r="G85" s="1495"/>
      <c r="H85" s="1947"/>
      <c r="I85" s="1851"/>
      <c r="J85" s="1872"/>
      <c r="K85" s="1496" t="s">
        <v>6650</v>
      </c>
      <c r="L85" s="2226">
        <v>5250</v>
      </c>
      <c r="M85" s="2160" t="s">
        <v>6009</v>
      </c>
      <c r="N85" s="2102" t="s">
        <v>6010</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5" customHeight="1">
      <c r="A86" s="3814"/>
      <c r="B86" s="2101" t="str">
        <f t="shared" si="2"/>
        <v>2400001001</v>
      </c>
      <c r="C86" s="1851" t="s">
        <v>6645</v>
      </c>
      <c r="D86" s="2097"/>
      <c r="E86" s="2118"/>
      <c r="F86" s="1872" t="s">
        <v>38</v>
      </c>
      <c r="G86" s="1495"/>
      <c r="H86" s="1947"/>
      <c r="I86" s="1851"/>
      <c r="J86" s="1872"/>
      <c r="K86" s="1496" t="s">
        <v>6651</v>
      </c>
      <c r="L86" s="2226">
        <v>450</v>
      </c>
      <c r="M86" s="2160" t="s">
        <v>6009</v>
      </c>
      <c r="N86" s="2102" t="s">
        <v>6010</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5" customHeight="1">
      <c r="A87" s="3814"/>
      <c r="B87" s="2101" t="str">
        <f t="shared" si="2"/>
        <v>2400001002</v>
      </c>
      <c r="C87" s="1851" t="s">
        <v>6645</v>
      </c>
      <c r="D87" s="2097"/>
      <c r="E87" s="2118"/>
      <c r="F87" s="1872" t="s">
        <v>38</v>
      </c>
      <c r="G87" s="1495"/>
      <c r="H87" s="1947"/>
      <c r="I87" s="1851"/>
      <c r="J87" s="1872"/>
      <c r="K87" s="1496" t="s">
        <v>6652</v>
      </c>
      <c r="L87" s="2226">
        <v>300</v>
      </c>
      <c r="M87" s="2160" t="s">
        <v>6009</v>
      </c>
      <c r="N87" s="2102" t="s">
        <v>6010</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5" customHeight="1">
      <c r="A88" s="3814"/>
      <c r="B88" s="2101" t="str">
        <f t="shared" si="2"/>
        <v>2400001019</v>
      </c>
      <c r="C88" s="1851" t="s">
        <v>6645</v>
      </c>
      <c r="D88" s="2097"/>
      <c r="E88" s="2118"/>
      <c r="F88" s="1872" t="s">
        <v>38</v>
      </c>
      <c r="G88" s="1495"/>
      <c r="H88" s="1947"/>
      <c r="I88" s="1851"/>
      <c r="J88" s="1872"/>
      <c r="K88" s="1496" t="s">
        <v>6653</v>
      </c>
      <c r="L88" s="2226">
        <v>650</v>
      </c>
      <c r="M88" s="2160" t="s">
        <v>6009</v>
      </c>
      <c r="N88" s="2102" t="s">
        <v>6010</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5" customHeight="1">
      <c r="A89" s="3814"/>
      <c r="B89" s="2101" t="str">
        <f t="shared" si="2"/>
        <v>2400001020</v>
      </c>
      <c r="C89" s="1851" t="s">
        <v>6645</v>
      </c>
      <c r="D89" s="2097"/>
      <c r="E89" s="2118"/>
      <c r="F89" s="1872" t="s">
        <v>38</v>
      </c>
      <c r="G89" s="1495"/>
      <c r="H89" s="1947"/>
      <c r="I89" s="1851"/>
      <c r="J89" s="1872"/>
      <c r="K89" s="1496" t="s">
        <v>6654</v>
      </c>
      <c r="L89" s="2226">
        <v>425</v>
      </c>
      <c r="M89" s="2160" t="s">
        <v>6009</v>
      </c>
      <c r="N89" s="2102" t="s">
        <v>6010</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5" customHeight="1">
      <c r="A90" s="3814"/>
      <c r="B90" s="2101" t="str">
        <f t="shared" si="2"/>
        <v>2400001008</v>
      </c>
      <c r="C90" s="1851" t="s">
        <v>6645</v>
      </c>
      <c r="D90" s="2097"/>
      <c r="E90" s="2118"/>
      <c r="F90" s="1872" t="s">
        <v>38</v>
      </c>
      <c r="G90" s="1495"/>
      <c r="H90" s="1947"/>
      <c r="I90" s="1851"/>
      <c r="J90" s="1872"/>
      <c r="K90" s="1496" t="s">
        <v>6655</v>
      </c>
      <c r="L90" s="2226">
        <v>800</v>
      </c>
      <c r="M90" s="2160" t="s">
        <v>6009</v>
      </c>
      <c r="N90" s="2102" t="s">
        <v>6010</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5" customHeight="1">
      <c r="A91" s="3814"/>
      <c r="B91" s="2101" t="str">
        <f t="shared" si="2"/>
        <v>2400001010</v>
      </c>
      <c r="C91" s="1851" t="s">
        <v>6645</v>
      </c>
      <c r="D91" s="2097"/>
      <c r="E91" s="1851"/>
      <c r="F91" s="1872" t="s">
        <v>38</v>
      </c>
      <c r="G91" s="1495"/>
      <c r="H91" s="1947"/>
      <c r="I91" s="1851"/>
      <c r="J91" s="1872"/>
      <c r="K91" s="1496" t="s">
        <v>6656</v>
      </c>
      <c r="L91" s="2226">
        <v>4200</v>
      </c>
      <c r="M91" s="2160" t="s">
        <v>6009</v>
      </c>
      <c r="N91" s="2102" t="s">
        <v>6010</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5" customHeight="1">
      <c r="A92" s="3814"/>
      <c r="B92" s="2101" t="str">
        <f t="shared" si="2"/>
        <v>2400001011</v>
      </c>
      <c r="C92" s="1851" t="s">
        <v>6645</v>
      </c>
      <c r="D92" s="2097"/>
      <c r="E92" s="1851"/>
      <c r="F92" s="1872" t="s">
        <v>38</v>
      </c>
      <c r="G92" s="1495"/>
      <c r="H92" s="1947"/>
      <c r="I92" s="1851"/>
      <c r="J92" s="1872"/>
      <c r="K92" s="1496" t="s">
        <v>6657</v>
      </c>
      <c r="L92" s="2226">
        <v>3000</v>
      </c>
      <c r="M92" s="2160" t="s">
        <v>6009</v>
      </c>
      <c r="N92" s="2102" t="s">
        <v>6010</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5" customHeight="1">
      <c r="A93" s="3814"/>
      <c r="B93" s="2101" t="str">
        <f t="shared" si="2"/>
        <v>2400001004</v>
      </c>
      <c r="C93" s="1851" t="s">
        <v>6645</v>
      </c>
      <c r="D93" s="2097"/>
      <c r="E93" s="1851"/>
      <c r="F93" s="1872" t="s">
        <v>38</v>
      </c>
      <c r="G93" s="1495"/>
      <c r="H93" s="1947"/>
      <c r="I93" s="1851"/>
      <c r="J93" s="1872"/>
      <c r="K93" s="1496" t="s">
        <v>6658</v>
      </c>
      <c r="L93" s="2226">
        <v>400</v>
      </c>
      <c r="M93" s="2160" t="s">
        <v>6009</v>
      </c>
      <c r="N93" s="2102" t="s">
        <v>6010</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5" customHeight="1">
      <c r="A94" s="3814"/>
      <c r="B94" s="2101" t="str">
        <f t="shared" si="2"/>
        <v>2400001021</v>
      </c>
      <c r="C94" s="1851" t="s">
        <v>6645</v>
      </c>
      <c r="D94" s="2097"/>
      <c r="E94" s="1851"/>
      <c r="F94" s="1872" t="s">
        <v>38</v>
      </c>
      <c r="G94" s="1495"/>
      <c r="H94" s="1947"/>
      <c r="I94" s="1851"/>
      <c r="J94" s="1872"/>
      <c r="K94" s="1496" t="s">
        <v>6659</v>
      </c>
      <c r="L94" s="2226">
        <v>2000</v>
      </c>
      <c r="M94" s="2160" t="s">
        <v>6009</v>
      </c>
      <c r="N94" s="2102" t="s">
        <v>6010</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5" customHeight="1">
      <c r="A95" s="3814"/>
      <c r="B95" s="2101" t="str">
        <f t="shared" si="2"/>
        <v>2400001022</v>
      </c>
      <c r="C95" s="1851" t="s">
        <v>6645</v>
      </c>
      <c r="D95" s="2097"/>
      <c r="E95" s="1851"/>
      <c r="F95" s="1872" t="s">
        <v>38</v>
      </c>
      <c r="G95" s="1495"/>
      <c r="H95" s="1947"/>
      <c r="I95" s="1851"/>
      <c r="J95" s="1872"/>
      <c r="K95" s="1496" t="s">
        <v>6660</v>
      </c>
      <c r="L95" s="2226">
        <v>800</v>
      </c>
      <c r="M95" s="2160" t="s">
        <v>6009</v>
      </c>
      <c r="N95" s="2102" t="s">
        <v>6010</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5" customHeight="1">
      <c r="A96" s="3814"/>
      <c r="B96" s="2101" t="str">
        <f t="shared" si="2"/>
        <v>2400001023</v>
      </c>
      <c r="C96" s="1851" t="s">
        <v>6645</v>
      </c>
      <c r="D96" s="2097"/>
      <c r="E96" s="1851"/>
      <c r="F96" s="1872" t="s">
        <v>38</v>
      </c>
      <c r="G96" s="1495"/>
      <c r="H96" s="1947"/>
      <c r="I96" s="1851"/>
      <c r="J96" s="1872"/>
      <c r="K96" s="1496" t="s">
        <v>6661</v>
      </c>
      <c r="L96" s="2226">
        <v>200</v>
      </c>
      <c r="M96" s="2160" t="s">
        <v>6009</v>
      </c>
      <c r="N96" s="2102" t="s">
        <v>6010</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5" customHeight="1">
      <c r="A97" s="3814"/>
      <c r="B97" s="2101" t="str">
        <f t="shared" si="2"/>
        <v>2400001024</v>
      </c>
      <c r="C97" s="1851" t="s">
        <v>6645</v>
      </c>
      <c r="D97" s="2097"/>
      <c r="E97" s="1851"/>
      <c r="F97" s="1872" t="s">
        <v>38</v>
      </c>
      <c r="G97" s="1495"/>
      <c r="H97" s="1947"/>
      <c r="I97" s="1851"/>
      <c r="J97" s="1872"/>
      <c r="K97" s="1496" t="s">
        <v>6662</v>
      </c>
      <c r="L97" s="2226">
        <v>175</v>
      </c>
      <c r="M97" s="2160" t="s">
        <v>6009</v>
      </c>
      <c r="N97" s="2102" t="s">
        <v>6010</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5" customHeight="1">
      <c r="A98" s="3814"/>
      <c r="B98" s="2101" t="str">
        <f t="shared" si="2"/>
        <v>2400001005</v>
      </c>
      <c r="C98" s="1851" t="s">
        <v>6645</v>
      </c>
      <c r="D98" s="2097"/>
      <c r="E98" s="1851"/>
      <c r="F98" s="1872" t="s">
        <v>38</v>
      </c>
      <c r="G98" s="1495"/>
      <c r="H98" s="1947"/>
      <c r="I98" s="1851"/>
      <c r="J98" s="1872"/>
      <c r="K98" s="1546" t="s">
        <v>6663</v>
      </c>
      <c r="L98" s="2226">
        <v>375</v>
      </c>
      <c r="M98" s="2160" t="s">
        <v>6009</v>
      </c>
      <c r="N98" s="2053" t="s">
        <v>6010</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5" customHeight="1">
      <c r="A99" s="2192">
        <v>33</v>
      </c>
      <c r="B99" s="2101" t="str">
        <f t="shared" si="2"/>
        <v>2000002656</v>
      </c>
      <c r="C99" s="1921" t="s">
        <v>3895</v>
      </c>
      <c r="D99" s="2201">
        <v>3950</v>
      </c>
      <c r="E99" s="1921" t="s">
        <v>6664</v>
      </c>
      <c r="F99" s="1921" t="s">
        <v>26</v>
      </c>
      <c r="G99" s="1921" t="s">
        <v>6665</v>
      </c>
      <c r="H99" s="1921"/>
      <c r="I99" s="1921" t="s">
        <v>65</v>
      </c>
      <c r="J99" s="1921" t="s">
        <v>240</v>
      </c>
      <c r="K99" s="1845" t="s">
        <v>6666</v>
      </c>
      <c r="L99" s="2222">
        <v>3950</v>
      </c>
      <c r="M99" s="2200" t="s">
        <v>6667</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5" customHeight="1">
      <c r="A100" s="3808">
        <v>34</v>
      </c>
      <c r="B100" s="2101" t="str">
        <f t="shared" si="2"/>
        <v>2000002618</v>
      </c>
      <c r="C100" s="1921" t="s">
        <v>252</v>
      </c>
      <c r="D100" s="2201">
        <v>4000</v>
      </c>
      <c r="E100" s="1921" t="s">
        <v>6668</v>
      </c>
      <c r="F100" s="1921" t="s">
        <v>20</v>
      </c>
      <c r="G100" s="1921" t="s">
        <v>4697</v>
      </c>
      <c r="H100" s="1921"/>
      <c r="I100" s="1921" t="s">
        <v>65</v>
      </c>
      <c r="J100" s="1921" t="s">
        <v>117</v>
      </c>
      <c r="K100" s="1845" t="s">
        <v>6669</v>
      </c>
      <c r="L100" s="2195">
        <v>1400</v>
      </c>
      <c r="M100" s="2200" t="s">
        <v>6009</v>
      </c>
      <c r="N100" s="1748" t="s">
        <v>6010</v>
      </c>
      <c r="O100" s="2221"/>
    </row>
    <row r="101" spans="1:127" s="1548" customFormat="1" ht="55.55" customHeight="1">
      <c r="A101" s="3808"/>
      <c r="B101" s="2101" t="str">
        <f t="shared" ref="B101:B109" si="3">TEXT(LEFT(K101,10),"0000000000")</f>
        <v>2000002616</v>
      </c>
      <c r="C101" s="1921" t="s">
        <v>252</v>
      </c>
      <c r="D101" s="2201"/>
      <c r="E101" s="1921"/>
      <c r="F101" s="1495" t="s">
        <v>20</v>
      </c>
      <c r="G101" s="1495"/>
      <c r="H101" s="1495"/>
      <c r="I101" s="1495"/>
      <c r="J101" s="1495" t="s">
        <v>117</v>
      </c>
      <c r="K101" s="1600" t="s">
        <v>6670</v>
      </c>
      <c r="L101" s="2204">
        <v>1500</v>
      </c>
      <c r="M101" s="2200" t="s">
        <v>6009</v>
      </c>
      <c r="N101" s="1748" t="s">
        <v>6010</v>
      </c>
      <c r="O101" s="2221"/>
    </row>
    <row r="102" spans="1:127" s="1548" customFormat="1" ht="55.55" customHeight="1">
      <c r="A102" s="3808"/>
      <c r="B102" s="2101" t="str">
        <f t="shared" si="3"/>
        <v>2000002646</v>
      </c>
      <c r="C102" s="1921" t="s">
        <v>252</v>
      </c>
      <c r="D102" s="2203"/>
      <c r="E102" s="1495"/>
      <c r="F102" s="1495" t="s">
        <v>20</v>
      </c>
      <c r="G102" s="1495"/>
      <c r="H102" s="1495"/>
      <c r="I102" s="1495"/>
      <c r="J102" s="1495" t="s">
        <v>117</v>
      </c>
      <c r="K102" s="1600" t="s">
        <v>6671</v>
      </c>
      <c r="L102" s="2204">
        <v>1000</v>
      </c>
      <c r="M102" s="2200" t="s">
        <v>6009</v>
      </c>
      <c r="N102" s="1748" t="s">
        <v>6010</v>
      </c>
      <c r="O102" s="2221"/>
    </row>
    <row r="103" spans="1:127" s="1548" customFormat="1" ht="55.55" customHeight="1">
      <c r="A103" s="3809">
        <v>35</v>
      </c>
      <c r="B103" s="2101" t="str">
        <f t="shared" si="3"/>
        <v>2200001859</v>
      </c>
      <c r="C103" s="1921" t="s">
        <v>153</v>
      </c>
      <c r="D103" s="2201">
        <v>11650</v>
      </c>
      <c r="E103" s="2118" t="s">
        <v>6672</v>
      </c>
      <c r="F103" s="1921" t="s">
        <v>22</v>
      </c>
      <c r="G103" s="1921" t="s">
        <v>6673</v>
      </c>
      <c r="H103" s="2159" t="s">
        <v>6674</v>
      </c>
      <c r="I103" s="1921" t="s">
        <v>65</v>
      </c>
      <c r="J103" s="1921" t="s">
        <v>1179</v>
      </c>
      <c r="K103" s="1845" t="s">
        <v>6675</v>
      </c>
      <c r="L103" s="2195">
        <v>2935</v>
      </c>
      <c r="M103" s="2200" t="s">
        <v>5392</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5" customHeight="1">
      <c r="A104" s="3809"/>
      <c r="B104" s="2101" t="str">
        <f t="shared" si="3"/>
        <v>2200001862</v>
      </c>
      <c r="C104" s="1851" t="s">
        <v>153</v>
      </c>
      <c r="D104" s="2178"/>
      <c r="E104" s="2118"/>
      <c r="F104" s="1872" t="s">
        <v>22</v>
      </c>
      <c r="G104" s="1921"/>
      <c r="H104" s="2159"/>
      <c r="I104" s="2118"/>
      <c r="J104" s="1872" t="s">
        <v>1179</v>
      </c>
      <c r="K104" s="1497" t="s">
        <v>6676</v>
      </c>
      <c r="L104" s="2199">
        <v>2965</v>
      </c>
      <c r="M104" s="2200" t="s">
        <v>6677</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5" customHeight="1">
      <c r="A105" s="3809"/>
      <c r="B105" s="2101" t="str">
        <f t="shared" si="3"/>
        <v>2000002652</v>
      </c>
      <c r="C105" s="1851" t="s">
        <v>153</v>
      </c>
      <c r="D105" s="2097"/>
      <c r="E105" s="1851"/>
      <c r="F105" s="1872" t="s">
        <v>22</v>
      </c>
      <c r="G105" s="1495"/>
      <c r="H105" s="1947"/>
      <c r="I105" s="1851"/>
      <c r="J105" s="1872" t="s">
        <v>1179</v>
      </c>
      <c r="K105" s="1628" t="s">
        <v>6632</v>
      </c>
      <c r="L105" s="2207">
        <v>5750</v>
      </c>
      <c r="M105" s="2160" t="s">
        <v>6009</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5" customHeight="1">
      <c r="A106" s="3781">
        <v>36</v>
      </c>
      <c r="B106" s="2101" t="str">
        <f t="shared" si="3"/>
        <v>2000002656</v>
      </c>
      <c r="C106" s="1921" t="s">
        <v>3499</v>
      </c>
      <c r="D106" s="2201">
        <v>4000</v>
      </c>
      <c r="E106" s="1921" t="s">
        <v>6672</v>
      </c>
      <c r="F106" s="1921" t="s">
        <v>20</v>
      </c>
      <c r="G106" s="1921" t="s">
        <v>6678</v>
      </c>
      <c r="H106" s="2159" t="s">
        <v>6674</v>
      </c>
      <c r="I106" s="1921" t="s">
        <v>65</v>
      </c>
      <c r="J106" s="1921" t="s">
        <v>240</v>
      </c>
      <c r="K106" s="1845" t="s">
        <v>6679</v>
      </c>
      <c r="L106" s="2222">
        <v>2050</v>
      </c>
      <c r="M106" s="2200" t="s">
        <v>5392</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5" customHeight="1">
      <c r="A107" s="3782"/>
      <c r="B107" s="2101" t="str">
        <f t="shared" si="3"/>
        <v>2000002640</v>
      </c>
      <c r="C107" s="1495" t="s">
        <v>3499</v>
      </c>
      <c r="D107" s="2201"/>
      <c r="E107" s="1921"/>
      <c r="F107" s="1495" t="s">
        <v>20</v>
      </c>
      <c r="G107" s="1921"/>
      <c r="H107" s="1921"/>
      <c r="I107" s="1495" t="s">
        <v>65</v>
      </c>
      <c r="J107" s="1495" t="s">
        <v>5400</v>
      </c>
      <c r="K107" s="1600" t="s">
        <v>6203</v>
      </c>
      <c r="L107" s="2204">
        <v>2000</v>
      </c>
      <c r="M107" s="2200" t="s">
        <v>6009</v>
      </c>
      <c r="N107" s="1748" t="s">
        <v>6010</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8" customHeight="1">
      <c r="A108" s="3781">
        <v>37</v>
      </c>
      <c r="B108" s="2101" t="str">
        <f t="shared" si="3"/>
        <v>2000002623</v>
      </c>
      <c r="C108" s="2118" t="s">
        <v>4824</v>
      </c>
      <c r="D108" s="2178">
        <v>5800</v>
      </c>
      <c r="E108" s="2118" t="s">
        <v>6680</v>
      </c>
      <c r="F108" s="1921" t="s">
        <v>18</v>
      </c>
      <c r="G108" s="1921" t="s">
        <v>6681</v>
      </c>
      <c r="H108" s="2159"/>
      <c r="I108" s="2118" t="s">
        <v>65</v>
      </c>
      <c r="J108" s="1921" t="s">
        <v>4386</v>
      </c>
      <c r="K108" s="1845" t="s">
        <v>6682</v>
      </c>
      <c r="L108" s="2179">
        <v>5000</v>
      </c>
      <c r="M108" s="2200" t="s">
        <v>6009</v>
      </c>
      <c r="N108" s="2237" t="s">
        <v>6649</v>
      </c>
      <c r="O108" s="2238"/>
      <c r="P108" s="2181"/>
    </row>
    <row r="109" spans="1:127" s="1548" customFormat="1" ht="67.599999999999994" customHeight="1">
      <c r="A109" s="3782"/>
      <c r="B109" s="2239" t="str">
        <f t="shared" si="3"/>
        <v>2000002661</v>
      </c>
      <c r="C109" s="1875" t="s">
        <v>4824</v>
      </c>
      <c r="D109" s="2240"/>
      <c r="E109" s="1851"/>
      <c r="F109" s="1495" t="s">
        <v>18</v>
      </c>
      <c r="G109" s="1495"/>
      <c r="H109" s="1495"/>
      <c r="I109" s="1495"/>
      <c r="J109" s="1495" t="s">
        <v>164</v>
      </c>
      <c r="K109" s="1600" t="s">
        <v>6683</v>
      </c>
      <c r="L109" s="2183">
        <v>800</v>
      </c>
      <c r="M109" s="2200" t="s">
        <v>6009</v>
      </c>
      <c r="N109" s="2208"/>
      <c r="O109" s="1780"/>
      <c r="P109" s="1807"/>
    </row>
    <row r="110" spans="1:127" s="1777" customFormat="1" ht="67.599999999999994" customHeight="1">
      <c r="A110" s="2230" t="s">
        <v>6684</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8.95" customHeight="1">
      <c r="A111" s="3819">
        <v>37</v>
      </c>
      <c r="B111" s="2231" t="str">
        <f t="shared" ref="B111:B128" si="4">TEXT(LEFT(K111,10),"0000000000")</f>
        <v>2000002643</v>
      </c>
      <c r="C111" s="2241" t="s">
        <v>3963</v>
      </c>
      <c r="D111" s="2242">
        <v>7200</v>
      </c>
      <c r="E111" s="2115" t="s">
        <v>6039</v>
      </c>
      <c r="F111" s="2113" t="s">
        <v>16</v>
      </c>
      <c r="G111" s="2171" t="s">
        <v>6046</v>
      </c>
      <c r="H111" s="2115"/>
      <c r="I111" s="2114" t="s">
        <v>65</v>
      </c>
      <c r="J111" s="2114" t="s">
        <v>1179</v>
      </c>
      <c r="K111" s="2146" t="s">
        <v>6685</v>
      </c>
      <c r="L111" s="2243">
        <v>2700</v>
      </c>
      <c r="M111" s="2163" t="s">
        <v>6009</v>
      </c>
      <c r="N111" s="1772" t="s">
        <v>6010</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8.95" customHeight="1">
      <c r="A112" s="3819"/>
      <c r="B112" s="2174" t="str">
        <f t="shared" si="4"/>
        <v>2000002624</v>
      </c>
      <c r="C112" s="102" t="s">
        <v>3963</v>
      </c>
      <c r="D112" s="2244"/>
      <c r="E112" s="735"/>
      <c r="F112" s="1926" t="s">
        <v>16</v>
      </c>
      <c r="G112" s="111"/>
      <c r="H112" s="2001"/>
      <c r="I112" s="735"/>
      <c r="J112" s="109" t="s">
        <v>1179</v>
      </c>
      <c r="K112" s="2139" t="s">
        <v>6686</v>
      </c>
      <c r="L112" s="2245">
        <v>2000</v>
      </c>
      <c r="M112" s="2163" t="s">
        <v>6009</v>
      </c>
      <c r="N112" s="1772" t="s">
        <v>6022</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8.95" customHeight="1">
      <c r="A113" s="3820"/>
      <c r="B113" s="2174" t="str">
        <f t="shared" si="4"/>
        <v>2200001858</v>
      </c>
      <c r="C113" s="102" t="s">
        <v>3963</v>
      </c>
      <c r="D113" s="2244"/>
      <c r="E113" s="735"/>
      <c r="F113" s="1926" t="s">
        <v>16</v>
      </c>
      <c r="G113" s="111"/>
      <c r="H113" s="2001"/>
      <c r="I113" s="735"/>
      <c r="J113" s="109" t="s">
        <v>1179</v>
      </c>
      <c r="K113" s="2139" t="s">
        <v>6608</v>
      </c>
      <c r="L113" s="2245">
        <v>2600</v>
      </c>
      <c r="M113" s="2163" t="s">
        <v>6687</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5" customHeight="1">
      <c r="A114" s="3821">
        <v>40</v>
      </c>
      <c r="B114" s="2174" t="str">
        <f t="shared" si="4"/>
        <v>2000002641</v>
      </c>
      <c r="C114" s="2114" t="s">
        <v>3440</v>
      </c>
      <c r="D114" s="2246">
        <v>9250</v>
      </c>
      <c r="E114" s="2114" t="s">
        <v>6688</v>
      </c>
      <c r="F114" s="2114" t="s">
        <v>16</v>
      </c>
      <c r="G114" s="2114" t="s">
        <v>6689</v>
      </c>
      <c r="H114" s="2114" t="s">
        <v>6013</v>
      </c>
      <c r="I114" s="2114" t="s">
        <v>65</v>
      </c>
      <c r="J114" s="2114" t="s">
        <v>164</v>
      </c>
      <c r="K114" s="2173" t="s">
        <v>6690</v>
      </c>
      <c r="L114" s="2247">
        <v>300</v>
      </c>
      <c r="M114" s="2152" t="s">
        <v>6009</v>
      </c>
      <c r="N114" s="2103" t="s">
        <v>6010</v>
      </c>
      <c r="O114" s="2168"/>
    </row>
    <row r="115" spans="1:127" s="1777" customFormat="1" ht="64.55" customHeight="1">
      <c r="A115" s="3822"/>
      <c r="B115" s="2174" t="str">
        <f t="shared" si="4"/>
        <v>2000002642</v>
      </c>
      <c r="C115" s="109" t="s">
        <v>3440</v>
      </c>
      <c r="D115" s="2248"/>
      <c r="E115" s="109"/>
      <c r="F115" s="109" t="s">
        <v>16</v>
      </c>
      <c r="G115" s="109"/>
      <c r="H115" s="109"/>
      <c r="I115" s="109"/>
      <c r="J115" s="109" t="s">
        <v>164</v>
      </c>
      <c r="K115" s="1923" t="s">
        <v>6691</v>
      </c>
      <c r="L115" s="2249">
        <v>250</v>
      </c>
      <c r="M115" s="2152" t="s">
        <v>6009</v>
      </c>
      <c r="N115" s="2103" t="s">
        <v>6010</v>
      </c>
      <c r="O115" s="2041"/>
    </row>
    <row r="116" spans="1:127" s="1777" customFormat="1" ht="64.55" customHeight="1">
      <c r="A116" s="3822"/>
      <c r="B116" s="2174" t="str">
        <f t="shared" si="4"/>
        <v>2200001856</v>
      </c>
      <c r="C116" s="109" t="s">
        <v>3440</v>
      </c>
      <c r="D116" s="2248"/>
      <c r="E116" s="109"/>
      <c r="F116" s="109" t="s">
        <v>16</v>
      </c>
      <c r="G116" s="109"/>
      <c r="H116" s="109"/>
      <c r="I116" s="109"/>
      <c r="J116" s="106" t="s">
        <v>106</v>
      </c>
      <c r="K116" s="670" t="s">
        <v>6692</v>
      </c>
      <c r="L116" s="2250">
        <v>600</v>
      </c>
      <c r="M116" s="2163" t="s">
        <v>6603</v>
      </c>
      <c r="N116" s="2041"/>
      <c r="O116" s="2041"/>
    </row>
    <row r="117" spans="1:127" s="1777" customFormat="1" ht="49.6" customHeight="1">
      <c r="A117" s="3822"/>
      <c r="B117" s="2174" t="str">
        <f t="shared" si="4"/>
        <v>2000002665</v>
      </c>
      <c r="C117" s="109" t="s">
        <v>3440</v>
      </c>
      <c r="D117" s="2248"/>
      <c r="E117" s="109"/>
      <c r="F117" s="109" t="s">
        <v>16</v>
      </c>
      <c r="G117" s="109"/>
      <c r="H117" s="109"/>
      <c r="I117" s="109"/>
      <c r="J117" s="109" t="s">
        <v>106</v>
      </c>
      <c r="K117" s="1877" t="s">
        <v>6693</v>
      </c>
      <c r="L117" s="2249">
        <v>7600</v>
      </c>
      <c r="M117" s="2152" t="s">
        <v>6009</v>
      </c>
      <c r="N117" s="2041" t="s">
        <v>6031</v>
      </c>
      <c r="O117" s="2041"/>
    </row>
    <row r="118" spans="1:127" s="1777" customFormat="1" ht="66.099999999999994" customHeight="1">
      <c r="A118" s="3823"/>
      <c r="B118" s="2174" t="str">
        <f t="shared" si="4"/>
        <v>2000002622</v>
      </c>
      <c r="C118" s="109" t="s">
        <v>3440</v>
      </c>
      <c r="D118" s="2248"/>
      <c r="E118" s="109"/>
      <c r="F118" s="109" t="s">
        <v>16</v>
      </c>
      <c r="G118" s="109"/>
      <c r="H118" s="109"/>
      <c r="I118" s="109"/>
      <c r="J118" s="109" t="s">
        <v>106</v>
      </c>
      <c r="K118" s="696" t="s">
        <v>6694</v>
      </c>
      <c r="L118" s="2249">
        <v>500</v>
      </c>
      <c r="M118" s="2152" t="s">
        <v>6009</v>
      </c>
      <c r="N118" s="2046" t="s">
        <v>6010</v>
      </c>
      <c r="O118" s="2041"/>
    </row>
    <row r="119" spans="1:127" s="1777" customFormat="1" ht="66.099999999999994" customHeight="1">
      <c r="A119" s="3821">
        <v>35</v>
      </c>
      <c r="B119" s="2174" t="str">
        <f t="shared" si="4"/>
        <v>2000002599</v>
      </c>
      <c r="C119" s="2169" t="s">
        <v>97</v>
      </c>
      <c r="D119" s="2251">
        <v>4620</v>
      </c>
      <c r="E119" s="2112" t="s">
        <v>6695</v>
      </c>
      <c r="F119" s="2114" t="s">
        <v>18</v>
      </c>
      <c r="G119" s="2114" t="s">
        <v>6696</v>
      </c>
      <c r="H119" s="2114"/>
      <c r="I119" s="2112" t="s">
        <v>65</v>
      </c>
      <c r="J119" s="2112" t="s">
        <v>1179</v>
      </c>
      <c r="K119" s="2173" t="s">
        <v>6697</v>
      </c>
      <c r="L119" s="2252">
        <v>300</v>
      </c>
      <c r="M119" s="2163" t="s">
        <v>6009</v>
      </c>
      <c r="N119" s="1772" t="s">
        <v>6010</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099999999999994" customHeight="1">
      <c r="A120" s="3822"/>
      <c r="B120" s="2174" t="str">
        <f t="shared" si="4"/>
        <v>2200001851</v>
      </c>
      <c r="C120" s="111" t="s">
        <v>97</v>
      </c>
      <c r="D120" s="2254"/>
      <c r="E120" s="735"/>
      <c r="F120" s="1926" t="s">
        <v>18</v>
      </c>
      <c r="G120" s="109"/>
      <c r="H120" s="2001"/>
      <c r="I120" s="735"/>
      <c r="J120" s="735" t="s">
        <v>1179</v>
      </c>
      <c r="K120" s="2139" t="s">
        <v>6698</v>
      </c>
      <c r="L120" s="2245">
        <v>1140</v>
      </c>
      <c r="M120" s="2163" t="s">
        <v>6037</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099999999999994" customHeight="1">
      <c r="A121" s="3823"/>
      <c r="B121" s="2174" t="str">
        <f t="shared" si="4"/>
        <v>2000002658</v>
      </c>
      <c r="C121" s="109" t="s">
        <v>97</v>
      </c>
      <c r="D121" s="2254"/>
      <c r="E121" s="735"/>
      <c r="F121" s="1926" t="s">
        <v>18</v>
      </c>
      <c r="G121" s="1926"/>
      <c r="H121" s="735"/>
      <c r="I121" s="735"/>
      <c r="J121" s="735" t="s">
        <v>1179</v>
      </c>
      <c r="K121" s="2139" t="s">
        <v>6699</v>
      </c>
      <c r="L121" s="2245">
        <v>3200</v>
      </c>
      <c r="M121" s="2163" t="s">
        <v>6009</v>
      </c>
      <c r="N121" s="1772" t="s">
        <v>6010</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099999999999994" customHeight="1">
      <c r="A122" s="3824">
        <v>42</v>
      </c>
      <c r="B122" s="2174" t="str">
        <f t="shared" si="4"/>
        <v>2000002645</v>
      </c>
      <c r="C122" s="2114" t="s">
        <v>3612</v>
      </c>
      <c r="D122" s="2246">
        <v>4000</v>
      </c>
      <c r="E122" s="2114" t="s">
        <v>6688</v>
      </c>
      <c r="F122" s="2114" t="s">
        <v>22</v>
      </c>
      <c r="G122" s="2114" t="s">
        <v>6700</v>
      </c>
      <c r="H122" s="2114"/>
      <c r="I122" s="2114" t="s">
        <v>65</v>
      </c>
      <c r="J122" s="2114" t="s">
        <v>117</v>
      </c>
      <c r="K122" s="2173" t="s">
        <v>6701</v>
      </c>
      <c r="L122" s="2255">
        <v>700</v>
      </c>
      <c r="M122" s="2152" t="s">
        <v>6009</v>
      </c>
      <c r="N122" s="2103" t="s">
        <v>6010</v>
      </c>
      <c r="O122" s="2168"/>
    </row>
    <row r="123" spans="1:127" s="2167" customFormat="1" ht="66.099999999999994" customHeight="1">
      <c r="A123" s="3825"/>
      <c r="B123" s="2174" t="str">
        <f t="shared" si="4"/>
        <v>2000002636</v>
      </c>
      <c r="C123" s="109" t="s">
        <v>3612</v>
      </c>
      <c r="D123" s="2246"/>
      <c r="E123" s="2114"/>
      <c r="F123" s="102" t="s">
        <v>22</v>
      </c>
      <c r="G123" s="2114"/>
      <c r="H123" s="2114"/>
      <c r="I123" s="2114"/>
      <c r="J123" s="109" t="s">
        <v>117</v>
      </c>
      <c r="K123" s="696" t="s">
        <v>6702</v>
      </c>
      <c r="L123" s="2256">
        <v>145</v>
      </c>
      <c r="M123" s="2152" t="s">
        <v>6009</v>
      </c>
      <c r="N123" s="2103" t="s">
        <v>6043</v>
      </c>
      <c r="O123" s="2168"/>
    </row>
    <row r="124" spans="1:127" s="1777" customFormat="1" ht="66.099999999999994" customHeight="1">
      <c r="A124" s="3825"/>
      <c r="B124" s="2174" t="str">
        <f t="shared" si="4"/>
        <v>2200001861</v>
      </c>
      <c r="C124" s="109" t="s">
        <v>3612</v>
      </c>
      <c r="D124" s="1148"/>
      <c r="E124" s="109"/>
      <c r="F124" s="102" t="s">
        <v>22</v>
      </c>
      <c r="G124" s="109"/>
      <c r="H124" s="109"/>
      <c r="I124" s="2114"/>
      <c r="J124" s="2114" t="s">
        <v>142</v>
      </c>
      <c r="K124" s="696" t="s">
        <v>6703</v>
      </c>
      <c r="L124" s="2177">
        <v>3200</v>
      </c>
      <c r="M124" s="2163" t="s">
        <v>5392</v>
      </c>
      <c r="N124" s="2257"/>
      <c r="O124" s="2104"/>
    </row>
    <row r="125" spans="1:127" s="1777" customFormat="1" ht="66.099999999999994" customHeight="1">
      <c r="A125" s="3817">
        <v>36</v>
      </c>
      <c r="B125" s="2174" t="str">
        <f t="shared" si="4"/>
        <v>2000002655</v>
      </c>
      <c r="C125" s="2114" t="s">
        <v>5654</v>
      </c>
      <c r="D125" s="2246">
        <v>4300</v>
      </c>
      <c r="E125" s="2114" t="s">
        <v>6011</v>
      </c>
      <c r="F125" s="2114" t="s">
        <v>24</v>
      </c>
      <c r="G125" s="2114" t="s">
        <v>6704</v>
      </c>
      <c r="H125" s="2114" t="s">
        <v>6013</v>
      </c>
      <c r="I125" s="2114" t="s">
        <v>65</v>
      </c>
      <c r="J125" s="2114" t="s">
        <v>117</v>
      </c>
      <c r="K125" s="2173" t="s">
        <v>6705</v>
      </c>
      <c r="L125" s="2247">
        <v>1600</v>
      </c>
      <c r="M125" s="2163" t="s">
        <v>6009</v>
      </c>
      <c r="N125" s="1772" t="s">
        <v>6010</v>
      </c>
      <c r="O125" s="2258"/>
    </row>
    <row r="126" spans="1:127" s="1777" customFormat="1" ht="66.099999999999994" customHeight="1">
      <c r="A126" s="3817"/>
      <c r="B126" s="2174" t="str">
        <f t="shared" si="4"/>
        <v>2000002653</v>
      </c>
      <c r="C126" s="2114" t="s">
        <v>5654</v>
      </c>
      <c r="D126" s="2246"/>
      <c r="E126" s="2114"/>
      <c r="F126" s="109" t="s">
        <v>24</v>
      </c>
      <c r="G126" s="109"/>
      <c r="H126" s="109"/>
      <c r="I126" s="109"/>
      <c r="J126" s="109" t="s">
        <v>117</v>
      </c>
      <c r="K126" s="696" t="s">
        <v>6706</v>
      </c>
      <c r="L126" s="2249">
        <v>400</v>
      </c>
      <c r="M126" s="2163" t="s">
        <v>6009</v>
      </c>
      <c r="N126" s="2172" t="s">
        <v>6010</v>
      </c>
      <c r="O126" s="2258"/>
    </row>
    <row r="127" spans="1:127" s="1777" customFormat="1" ht="66.099999999999994" customHeight="1">
      <c r="A127" s="3817"/>
      <c r="B127" s="2174" t="str">
        <f t="shared" si="4"/>
        <v>2000002654</v>
      </c>
      <c r="C127" s="2114" t="s">
        <v>5654</v>
      </c>
      <c r="D127" s="2246"/>
      <c r="E127" s="2114"/>
      <c r="F127" s="109" t="s">
        <v>24</v>
      </c>
      <c r="G127" s="109"/>
      <c r="H127" s="109"/>
      <c r="I127" s="109"/>
      <c r="J127" s="109" t="s">
        <v>117</v>
      </c>
      <c r="K127" s="696" t="s">
        <v>6707</v>
      </c>
      <c r="L127" s="2249">
        <v>1900</v>
      </c>
      <c r="M127" s="2163" t="s">
        <v>6009</v>
      </c>
      <c r="N127" s="1772" t="s">
        <v>6010</v>
      </c>
      <c r="O127" s="2258"/>
    </row>
    <row r="128" spans="1:127" s="1777" customFormat="1" ht="66.099999999999994" customHeight="1">
      <c r="A128" s="3817"/>
      <c r="B128" s="2174" t="str">
        <f t="shared" si="4"/>
        <v>2000002645</v>
      </c>
      <c r="C128" s="2114" t="s">
        <v>5654</v>
      </c>
      <c r="D128" s="2248"/>
      <c r="E128" s="109"/>
      <c r="F128" s="109" t="s">
        <v>24</v>
      </c>
      <c r="G128" s="109"/>
      <c r="H128" s="109"/>
      <c r="I128" s="109"/>
      <c r="J128" s="109" t="s">
        <v>117</v>
      </c>
      <c r="K128" s="696" t="s">
        <v>6708</v>
      </c>
      <c r="L128" s="2249">
        <v>400</v>
      </c>
      <c r="M128" s="2163" t="s">
        <v>6009</v>
      </c>
      <c r="N128" s="1772" t="s">
        <v>6010</v>
      </c>
      <c r="O128" s="2258"/>
    </row>
    <row r="129" spans="1:15" s="1777" customFormat="1" ht="66.099999999999994" customHeight="1">
      <c r="A129" s="2170"/>
      <c r="B129" s="2103"/>
      <c r="C129" s="102"/>
      <c r="D129" s="1167"/>
      <c r="E129" s="735"/>
      <c r="F129" s="875"/>
      <c r="G129" s="109"/>
      <c r="H129" s="109"/>
      <c r="I129" s="2114"/>
      <c r="J129" s="2114"/>
      <c r="K129" s="696"/>
      <c r="L129" s="2177"/>
      <c r="M129" s="2163"/>
      <c r="N129" s="2213"/>
      <c r="O129" s="2104"/>
    </row>
    <row r="130" spans="1:15" s="1777" customFormat="1" ht="66.099999999999994" customHeight="1">
      <c r="A130" s="2170"/>
      <c r="B130" s="2103"/>
      <c r="C130" s="102"/>
      <c r="D130" s="1167"/>
      <c r="E130" s="735"/>
      <c r="F130" s="875"/>
      <c r="G130" s="109"/>
      <c r="H130" s="109"/>
      <c r="I130" s="2114"/>
      <c r="J130" s="2114"/>
      <c r="K130" s="696"/>
      <c r="L130" s="2177"/>
      <c r="M130" s="2163"/>
      <c r="N130" s="2104"/>
      <c r="O130" s="2104"/>
    </row>
    <row r="131" spans="1:15" s="1777" customFormat="1" ht="66.099999999999994" customHeight="1">
      <c r="A131" s="2170"/>
      <c r="B131" s="2103"/>
      <c r="C131" s="102"/>
      <c r="D131" s="1167"/>
      <c r="E131" s="735"/>
      <c r="F131" s="875"/>
      <c r="G131" s="109"/>
      <c r="H131" s="109"/>
      <c r="I131" s="2114"/>
      <c r="J131" s="2114"/>
      <c r="K131" s="696"/>
      <c r="L131" s="2177"/>
      <c r="M131" s="2163"/>
      <c r="N131" s="2104"/>
      <c r="O131" s="2104"/>
    </row>
    <row r="132" spans="1:15" s="2167" customFormat="1" ht="49.6" customHeight="1"/>
    <row r="133" spans="1:15" s="2167" customFormat="1" ht="49.6" customHeight="1"/>
    <row r="134" spans="1:15" s="1777" customFormat="1" ht="58.6" customHeight="1"/>
    <row r="135" spans="1:15" s="1777" customFormat="1" ht="58.6" customHeight="1"/>
    <row r="136" spans="1:15" s="1777" customFormat="1" ht="58.6" customHeight="1"/>
    <row r="137" spans="1:15" s="1777" customFormat="1" ht="58.6" customHeight="1"/>
    <row r="138" spans="1:15" s="1777" customFormat="1" ht="58.6" customHeight="1">
      <c r="A138" s="738"/>
      <c r="B138" s="2104"/>
      <c r="C138" s="102"/>
      <c r="D138" s="1167"/>
      <c r="E138" s="109"/>
      <c r="F138" s="102"/>
      <c r="G138" s="109"/>
      <c r="H138" s="109"/>
      <c r="I138" s="109"/>
      <c r="J138" s="109"/>
      <c r="K138" s="143"/>
      <c r="L138" s="102"/>
      <c r="M138" s="102"/>
      <c r="N138" s="2104"/>
      <c r="O138" s="2104"/>
    </row>
    <row r="139" spans="1:15" s="1777" customFormat="1" ht="58.6" customHeight="1">
      <c r="A139" s="738"/>
      <c r="B139" s="2104"/>
      <c r="C139" s="102"/>
      <c r="D139" s="1167"/>
      <c r="E139" s="109"/>
      <c r="F139" s="102"/>
      <c r="G139" s="109"/>
      <c r="H139" s="109"/>
      <c r="I139" s="109"/>
      <c r="J139" s="109"/>
      <c r="K139" s="143"/>
      <c r="L139" s="102"/>
      <c r="M139" s="102"/>
      <c r="N139" s="2104"/>
      <c r="O139" s="2104"/>
    </row>
    <row r="140" spans="1:15" s="1777" customFormat="1" ht="58.6" customHeight="1">
      <c r="A140" s="738"/>
      <c r="B140" s="2104"/>
      <c r="C140" s="102"/>
      <c r="D140" s="1167"/>
      <c r="E140" s="109"/>
      <c r="F140" s="102"/>
      <c r="G140" s="109"/>
      <c r="H140" s="109"/>
      <c r="I140" s="109"/>
      <c r="J140" s="109"/>
      <c r="K140" s="143"/>
      <c r="L140" s="102"/>
      <c r="M140" s="102"/>
      <c r="N140" s="2104"/>
      <c r="O140" s="2104"/>
    </row>
    <row r="141" spans="1:15" s="1777" customFormat="1" ht="58.6" customHeight="1">
      <c r="A141" s="738"/>
      <c r="B141" s="2104"/>
      <c r="C141" s="102"/>
      <c r="D141" s="1167"/>
      <c r="E141" s="109"/>
      <c r="F141" s="102"/>
      <c r="G141" s="109"/>
      <c r="H141" s="109"/>
      <c r="I141" s="109"/>
      <c r="J141" s="109"/>
      <c r="K141" s="143"/>
      <c r="L141" s="102"/>
      <c r="M141" s="102"/>
      <c r="N141" s="2104"/>
      <c r="O141" s="2104"/>
    </row>
    <row r="142" spans="1:15" s="1777" customFormat="1" ht="58.6"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82" priority="11"/>
  </conditionalFormatting>
  <conditionalFormatting sqref="A4">
    <cfRule type="duplicateValues" dxfId="381" priority="7"/>
  </conditionalFormatting>
  <conditionalFormatting sqref="B138:B1048576 B1:B109 B111:B131">
    <cfRule type="duplicateValues" dxfId="380" priority="5"/>
    <cfRule type="duplicateValues" dxfId="379" priority="6"/>
  </conditionalFormatting>
  <conditionalFormatting sqref="C4">
    <cfRule type="duplicateValues" dxfId="378" priority="8"/>
    <cfRule type="duplicateValues" dxfId="377" priority="9"/>
    <cfRule type="duplicateValues" dxfId="376"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6.25" style="359" customWidth="1"/>
    <col min="3" max="3" width="32.125" style="1" customWidth="1"/>
    <col min="4" max="4" width="17" style="1138" customWidth="1"/>
    <col min="5" max="5" width="30.375" style="271" customWidth="1"/>
    <col min="6" max="6" width="27.375" style="1" customWidth="1"/>
    <col min="7" max="7" width="25.75" style="271" customWidth="1"/>
    <col min="8" max="8" width="33.25" style="271" customWidth="1"/>
    <col min="9" max="10" width="32.125" style="271" customWidth="1"/>
    <col min="11" max="11" width="83" style="9" customWidth="1"/>
    <col min="12" max="12" width="32.25" style="2407" customWidth="1"/>
    <col min="13" max="13" width="46.375" style="9" customWidth="1"/>
    <col min="14" max="14" width="26.25" style="1" customWidth="1"/>
    <col min="15" max="15" width="18.75" style="763" customWidth="1"/>
    <col min="16" max="16" width="35.375" style="3" customWidth="1"/>
    <col min="17" max="16384" width="32.125" style="3"/>
  </cols>
  <sheetData>
    <row r="1" spans="1:129" ht="58.6" customHeight="1">
      <c r="C1" s="10"/>
      <c r="D1" s="3671"/>
      <c r="E1" s="3671"/>
      <c r="F1" s="3671"/>
      <c r="G1" s="3671"/>
      <c r="H1" s="3671"/>
      <c r="I1" s="3671"/>
      <c r="J1" s="3671"/>
      <c r="K1" s="3671"/>
      <c r="L1" s="3671"/>
      <c r="M1" s="3671"/>
      <c r="O1" s="1848"/>
    </row>
    <row r="2" spans="1:129" ht="64.55" customHeight="1">
      <c r="A2" s="3829" t="s">
        <v>6709</v>
      </c>
      <c r="B2" s="3829"/>
      <c r="C2" s="3826"/>
      <c r="D2" s="3826"/>
      <c r="E2" s="3826"/>
      <c r="F2" s="3826"/>
      <c r="G2" s="3826"/>
      <c r="H2" s="3826"/>
      <c r="I2" s="3826"/>
      <c r="J2" s="3826"/>
      <c r="K2" s="3826"/>
      <c r="L2" s="3826"/>
      <c r="M2" s="3830"/>
      <c r="N2" s="2395"/>
      <c r="O2" s="2395"/>
      <c r="P2" s="287"/>
    </row>
    <row r="3" spans="1:129" s="1777" customFormat="1" ht="37.549999999999997" customHeight="1">
      <c r="A3" s="3759" t="s">
        <v>3429</v>
      </c>
      <c r="B3" s="3759"/>
      <c r="C3" s="3759"/>
      <c r="D3" s="1960">
        <f>SUBTOTAL(9,D5:D143)</f>
        <v>13920</v>
      </c>
      <c r="E3" s="1815"/>
      <c r="F3" s="1961"/>
      <c r="G3" s="1815"/>
      <c r="H3" s="1815"/>
      <c r="I3" s="1815"/>
      <c r="J3" s="1815"/>
      <c r="K3" s="1816">
        <f ca="1">TODAY()</f>
        <v>45988</v>
      </c>
      <c r="L3" s="1960">
        <f>SUBTOTAL(9,L5:L143)</f>
        <v>7213</v>
      </c>
      <c r="M3" s="143"/>
      <c r="N3" s="1816"/>
      <c r="O3" s="1961"/>
      <c r="P3" s="218"/>
    </row>
    <row r="4" spans="1:129" s="2077" customFormat="1" ht="53.35" customHeight="1">
      <c r="A4" s="2109" t="s">
        <v>48</v>
      </c>
      <c r="B4" s="2109" t="s">
        <v>5213</v>
      </c>
      <c r="C4" s="2396" t="s">
        <v>49</v>
      </c>
      <c r="D4" s="2397" t="s">
        <v>50</v>
      </c>
      <c r="E4" s="2396" t="s">
        <v>3430</v>
      </c>
      <c r="F4" s="2396" t="s">
        <v>52</v>
      </c>
      <c r="G4" s="2111" t="s">
        <v>3431</v>
      </c>
      <c r="H4" s="2396" t="s">
        <v>54</v>
      </c>
      <c r="I4" s="2111" t="s">
        <v>55</v>
      </c>
      <c r="J4" s="2396" t="s">
        <v>56</v>
      </c>
      <c r="K4" s="2396" t="s">
        <v>5217</v>
      </c>
      <c r="L4" s="2404" t="s">
        <v>5561</v>
      </c>
      <c r="M4" s="2396" t="s">
        <v>58</v>
      </c>
      <c r="N4" s="2396" t="s">
        <v>59</v>
      </c>
      <c r="O4" s="2398" t="s">
        <v>60</v>
      </c>
      <c r="P4" s="2399" t="e">
        <f>SUM(#REF!)</f>
        <v>#REF!</v>
      </c>
    </row>
    <row r="5" spans="1:129" s="2122" customFormat="1" ht="56.25" hidden="1" customHeight="1">
      <c r="A5" s="3831">
        <v>1</v>
      </c>
      <c r="B5" s="1909" t="str">
        <f>TEXT(LEFT(K5,10),"0000000000")</f>
        <v>2000002506</v>
      </c>
      <c r="C5" s="2159" t="s">
        <v>3668</v>
      </c>
      <c r="D5" s="2400">
        <v>24000</v>
      </c>
      <c r="E5" s="2118" t="s">
        <v>6710</v>
      </c>
      <c r="F5" s="2401" t="s">
        <v>14</v>
      </c>
      <c r="G5" s="1921" t="s">
        <v>6711</v>
      </c>
      <c r="H5" s="2159" t="s">
        <v>267</v>
      </c>
      <c r="I5" s="2118" t="s">
        <v>65</v>
      </c>
      <c r="J5" s="2118" t="s">
        <v>66</v>
      </c>
      <c r="K5" s="2161" t="s">
        <v>6712</v>
      </c>
      <c r="L5" s="2413">
        <v>860</v>
      </c>
      <c r="M5" s="2402" t="s">
        <v>6713</v>
      </c>
      <c r="N5" s="2391"/>
      <c r="O5" s="2403"/>
      <c r="DY5" s="2122" t="s">
        <v>4837</v>
      </c>
    </row>
    <row r="6" spans="1:129" s="1883" customFormat="1" ht="50.3" hidden="1" customHeight="1">
      <c r="A6" s="3831"/>
      <c r="B6" s="1748" t="str">
        <f t="shared" ref="B6:B69" si="0">TEXT(LEFT(K6,10),"0000000000")</f>
        <v>2000002493</v>
      </c>
      <c r="C6" s="1947" t="s">
        <v>3668</v>
      </c>
      <c r="D6" s="1915"/>
      <c r="E6" s="1851"/>
      <c r="F6" s="1935" t="s">
        <v>14</v>
      </c>
      <c r="G6" s="1495"/>
      <c r="H6" s="1947"/>
      <c r="I6" s="1851" t="s">
        <v>65</v>
      </c>
      <c r="J6" s="1851" t="s">
        <v>66</v>
      </c>
      <c r="K6" s="1628" t="s">
        <v>6714</v>
      </c>
      <c r="L6" s="2408">
        <v>13000</v>
      </c>
      <c r="M6" s="1497"/>
      <c r="N6" s="1630"/>
      <c r="O6" s="1882"/>
    </row>
    <row r="7" spans="1:129" s="1883" customFormat="1" ht="50.3" hidden="1" customHeight="1">
      <c r="A7" s="3831"/>
      <c r="B7" s="1748" t="str">
        <f t="shared" si="0"/>
        <v>2200001811</v>
      </c>
      <c r="C7" s="1947" t="s">
        <v>3668</v>
      </c>
      <c r="D7" s="1915"/>
      <c r="E7" s="1851"/>
      <c r="F7" s="1935" t="s">
        <v>14</v>
      </c>
      <c r="G7" s="1495"/>
      <c r="H7" s="1947"/>
      <c r="I7" s="1851" t="s">
        <v>65</v>
      </c>
      <c r="J7" s="1851" t="s">
        <v>5858</v>
      </c>
      <c r="K7" s="1628" t="s">
        <v>6715</v>
      </c>
      <c r="L7" s="2408">
        <v>4800</v>
      </c>
      <c r="M7" s="1497"/>
      <c r="N7" s="1630"/>
      <c r="O7" s="1882"/>
    </row>
    <row r="8" spans="1:129" s="1883" customFormat="1" ht="50.3" hidden="1" customHeight="1">
      <c r="A8" s="3831"/>
      <c r="B8" s="1748" t="str">
        <f t="shared" si="0"/>
        <v>2200001812</v>
      </c>
      <c r="C8" s="1947" t="s">
        <v>3668</v>
      </c>
      <c r="D8" s="1915"/>
      <c r="E8" s="1851"/>
      <c r="F8" s="1935" t="s">
        <v>14</v>
      </c>
      <c r="G8" s="1495"/>
      <c r="H8" s="1947"/>
      <c r="I8" s="1851" t="s">
        <v>65</v>
      </c>
      <c r="J8" s="1851" t="s">
        <v>5858</v>
      </c>
      <c r="K8" s="1628" t="s">
        <v>6716</v>
      </c>
      <c r="L8" s="2408">
        <v>5017</v>
      </c>
      <c r="M8" s="1497"/>
      <c r="N8" s="1630"/>
      <c r="O8" s="1882"/>
    </row>
    <row r="9" spans="1:129" s="1883" customFormat="1" ht="50.3" hidden="1" customHeight="1">
      <c r="A9" s="3832"/>
      <c r="B9" s="1748" t="str">
        <f t="shared" si="0"/>
        <v>2200001813</v>
      </c>
      <c r="C9" s="1947" t="s">
        <v>3668</v>
      </c>
      <c r="D9" s="1915"/>
      <c r="E9" s="1851"/>
      <c r="F9" s="1935" t="s">
        <v>14</v>
      </c>
      <c r="G9" s="1495"/>
      <c r="H9" s="1947"/>
      <c r="I9" s="1851" t="s">
        <v>65</v>
      </c>
      <c r="J9" s="1851" t="s">
        <v>5858</v>
      </c>
      <c r="K9" s="1628" t="s">
        <v>6717</v>
      </c>
      <c r="L9" s="2408">
        <v>645</v>
      </c>
      <c r="M9" s="1497"/>
      <c r="N9" s="1630"/>
      <c r="O9" s="1882"/>
    </row>
    <row r="10" spans="1:129" s="1777" customFormat="1" ht="314.35000000000002" hidden="1" customHeight="1">
      <c r="A10" s="1850">
        <v>2</v>
      </c>
      <c r="B10" s="1850"/>
      <c r="C10" s="1851" t="s">
        <v>6718</v>
      </c>
      <c r="D10" s="1915">
        <v>13475</v>
      </c>
      <c r="E10" s="1851" t="s">
        <v>6719</v>
      </c>
      <c r="F10" s="1935" t="s">
        <v>38</v>
      </c>
      <c r="G10" s="1495" t="s">
        <v>6720</v>
      </c>
      <c r="H10" s="1947" t="s">
        <v>267</v>
      </c>
      <c r="I10" s="1851" t="s">
        <v>65</v>
      </c>
      <c r="J10" s="1851" t="s">
        <v>3552</v>
      </c>
      <c r="K10" s="1628" t="s">
        <v>6721</v>
      </c>
      <c r="L10" s="2408">
        <v>13475</v>
      </c>
      <c r="M10" s="1497" t="s">
        <v>6722</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5" hidden="1" customHeight="1">
      <c r="A11" s="3771">
        <v>3</v>
      </c>
      <c r="B11" s="1909" t="str">
        <f t="shared" si="0"/>
        <v>2000002507</v>
      </c>
      <c r="C11" s="2118" t="s">
        <v>3150</v>
      </c>
      <c r="D11" s="2400">
        <v>18000</v>
      </c>
      <c r="E11" s="2118" t="s">
        <v>6723</v>
      </c>
      <c r="F11" s="2401" t="s">
        <v>16</v>
      </c>
      <c r="G11" s="1921" t="s">
        <v>6724</v>
      </c>
      <c r="H11" s="2159" t="s">
        <v>267</v>
      </c>
      <c r="I11" s="2118" t="s">
        <v>65</v>
      </c>
      <c r="J11" s="2118" t="s">
        <v>106</v>
      </c>
      <c r="K11" s="2161" t="s">
        <v>6725</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5" hidden="1" customHeight="1">
      <c r="A12" s="3772"/>
      <c r="B12" s="1748" t="str">
        <f t="shared" si="0"/>
        <v>2000002508</v>
      </c>
      <c r="C12" s="1851" t="s">
        <v>3150</v>
      </c>
      <c r="D12" s="1915"/>
      <c r="E12" s="1851"/>
      <c r="F12" s="1935" t="s">
        <v>16</v>
      </c>
      <c r="G12" s="1495"/>
      <c r="H12" s="1947"/>
      <c r="I12" s="1851" t="s">
        <v>65</v>
      </c>
      <c r="J12" s="1851" t="s">
        <v>106</v>
      </c>
      <c r="K12" s="1628" t="s">
        <v>6726</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5" hidden="1" customHeight="1">
      <c r="A13" s="3772"/>
      <c r="B13" s="1748" t="str">
        <f t="shared" si="0"/>
        <v>2000002509</v>
      </c>
      <c r="C13" s="1851" t="s">
        <v>3150</v>
      </c>
      <c r="D13" s="1915"/>
      <c r="E13" s="1851"/>
      <c r="F13" s="1935" t="s">
        <v>16</v>
      </c>
      <c r="G13" s="1495"/>
      <c r="H13" s="1947"/>
      <c r="I13" s="1851" t="s">
        <v>65</v>
      </c>
      <c r="J13" s="1851" t="s">
        <v>106</v>
      </c>
      <c r="K13" s="1628" t="s">
        <v>6727</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5" hidden="1" customHeight="1">
      <c r="A14" s="3772"/>
      <c r="B14" s="1748" t="str">
        <f t="shared" si="0"/>
        <v>2000002510</v>
      </c>
      <c r="C14" s="1851" t="s">
        <v>3150</v>
      </c>
      <c r="D14" s="1915"/>
      <c r="E14" s="1851"/>
      <c r="F14" s="1935" t="s">
        <v>16</v>
      </c>
      <c r="G14" s="1495"/>
      <c r="H14" s="1947"/>
      <c r="I14" s="1851" t="s">
        <v>65</v>
      </c>
      <c r="J14" s="1851" t="s">
        <v>106</v>
      </c>
      <c r="K14" s="1628" t="s">
        <v>6728</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5" hidden="1" customHeight="1">
      <c r="A15" s="3772"/>
      <c r="B15" s="1748" t="str">
        <f t="shared" si="0"/>
        <v>2000002511</v>
      </c>
      <c r="C15" s="1851" t="s">
        <v>3150</v>
      </c>
      <c r="D15" s="1915"/>
      <c r="E15" s="1851"/>
      <c r="F15" s="1935" t="s">
        <v>16</v>
      </c>
      <c r="G15" s="1495"/>
      <c r="H15" s="1947"/>
      <c r="I15" s="1851" t="s">
        <v>65</v>
      </c>
      <c r="J15" s="1851" t="s">
        <v>106</v>
      </c>
      <c r="K15" s="1628" t="s">
        <v>6729</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5" hidden="1" customHeight="1">
      <c r="A16" s="3772"/>
      <c r="B16" s="1748" t="str">
        <f t="shared" si="0"/>
        <v>2000002528</v>
      </c>
      <c r="C16" s="1851" t="s">
        <v>3150</v>
      </c>
      <c r="D16" s="1915"/>
      <c r="E16" s="1851"/>
      <c r="F16" s="1935" t="s">
        <v>16</v>
      </c>
      <c r="G16" s="1495"/>
      <c r="H16" s="1947"/>
      <c r="I16" s="1851" t="s">
        <v>65</v>
      </c>
      <c r="J16" s="1851" t="s">
        <v>106</v>
      </c>
      <c r="K16" s="1628" t="s">
        <v>6730</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5" hidden="1" customHeight="1">
      <c r="A17" s="3772"/>
      <c r="B17" s="1748" t="str">
        <f t="shared" si="0"/>
        <v>2000002529</v>
      </c>
      <c r="C17" s="1851" t="s">
        <v>3150</v>
      </c>
      <c r="D17" s="1915"/>
      <c r="E17" s="1851"/>
      <c r="F17" s="1935" t="s">
        <v>16</v>
      </c>
      <c r="G17" s="1495"/>
      <c r="H17" s="1947"/>
      <c r="I17" s="1851" t="s">
        <v>65</v>
      </c>
      <c r="J17" s="1851" t="s">
        <v>106</v>
      </c>
      <c r="K17" s="1628" t="s">
        <v>6731</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5" hidden="1" customHeight="1">
      <c r="A18" s="3772"/>
      <c r="B18" s="1748" t="str">
        <f t="shared" si="0"/>
        <v>2000002530</v>
      </c>
      <c r="C18" s="1851" t="s">
        <v>3150</v>
      </c>
      <c r="D18" s="1915"/>
      <c r="E18" s="1851"/>
      <c r="F18" s="1935" t="s">
        <v>16</v>
      </c>
      <c r="G18" s="1495"/>
      <c r="H18" s="1947"/>
      <c r="I18" s="1851" t="s">
        <v>65</v>
      </c>
      <c r="J18" s="1851" t="s">
        <v>106</v>
      </c>
      <c r="K18" s="1628" t="s">
        <v>6732</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73"/>
      <c r="B19" s="1748" t="str">
        <f t="shared" si="0"/>
        <v>2000002513</v>
      </c>
      <c r="C19" s="1851" t="s">
        <v>3150</v>
      </c>
      <c r="D19" s="1915"/>
      <c r="E19" s="1851"/>
      <c r="F19" s="1935" t="s">
        <v>16</v>
      </c>
      <c r="G19" s="1495"/>
      <c r="H19" s="1947"/>
      <c r="I19" s="1851" t="s">
        <v>65</v>
      </c>
      <c r="J19" s="1851" t="s">
        <v>106</v>
      </c>
      <c r="K19" s="1628" t="s">
        <v>6733</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099999999999994" hidden="1" customHeight="1">
      <c r="A20" s="3771">
        <v>4</v>
      </c>
      <c r="B20" s="1909" t="str">
        <f t="shared" si="0"/>
        <v>2200001806</v>
      </c>
      <c r="C20" s="2118" t="s">
        <v>3895</v>
      </c>
      <c r="D20" s="2400">
        <v>3900</v>
      </c>
      <c r="E20" s="2118" t="s">
        <v>6734</v>
      </c>
      <c r="F20" s="2401" t="s">
        <v>24</v>
      </c>
      <c r="G20" s="1921" t="s">
        <v>6735</v>
      </c>
      <c r="H20" s="2159" t="s">
        <v>267</v>
      </c>
      <c r="I20" s="2118" t="s">
        <v>65</v>
      </c>
      <c r="J20" s="2118" t="s">
        <v>1179</v>
      </c>
      <c r="K20" s="2161" t="s">
        <v>6736</v>
      </c>
      <c r="L20" s="2413">
        <v>3200</v>
      </c>
      <c r="M20" s="2402" t="s">
        <v>6737</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099999999999994" hidden="1" customHeight="1">
      <c r="A21" s="3773"/>
      <c r="B21" s="1748" t="str">
        <f t="shared" si="0"/>
        <v>2000002472</v>
      </c>
      <c r="C21" s="1851" t="s">
        <v>3895</v>
      </c>
      <c r="D21" s="1915"/>
      <c r="E21" s="1851"/>
      <c r="F21" s="1935" t="s">
        <v>24</v>
      </c>
      <c r="G21" s="1495"/>
      <c r="H21" s="1947"/>
      <c r="I21" s="1851" t="s">
        <v>65</v>
      </c>
      <c r="J21" s="1851" t="s">
        <v>1179</v>
      </c>
      <c r="K21" s="1628" t="s">
        <v>6738</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2947</v>
      </c>
      <c r="D22" s="2400">
        <v>3500</v>
      </c>
      <c r="E22" s="2118" t="s">
        <v>6739</v>
      </c>
      <c r="F22" s="2401" t="s">
        <v>22</v>
      </c>
      <c r="G22" s="1921" t="s">
        <v>6740</v>
      </c>
      <c r="H22" s="2159" t="s">
        <v>267</v>
      </c>
      <c r="I22" s="2118" t="s">
        <v>65</v>
      </c>
      <c r="J22" s="2118" t="s">
        <v>1000</v>
      </c>
      <c r="K22" s="2161" t="s">
        <v>6741</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99999999999994" hidden="1" customHeight="1">
      <c r="A23" s="2414">
        <v>6</v>
      </c>
      <c r="B23" s="1909" t="str">
        <f t="shared" si="0"/>
        <v>2000002531</v>
      </c>
      <c r="C23" s="2184" t="s">
        <v>252</v>
      </c>
      <c r="D23" s="2416">
        <v>4000</v>
      </c>
      <c r="E23" s="2184" t="s">
        <v>6742</v>
      </c>
      <c r="F23" s="2417" t="s">
        <v>20</v>
      </c>
      <c r="G23" s="1921" t="s">
        <v>6743</v>
      </c>
      <c r="H23" s="2159" t="s">
        <v>267</v>
      </c>
      <c r="I23" s="2184" t="s">
        <v>65</v>
      </c>
      <c r="J23" s="2184" t="s">
        <v>294</v>
      </c>
      <c r="K23" s="2161" t="s">
        <v>6744</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71">
        <v>7</v>
      </c>
      <c r="B24" s="1909" t="str">
        <f t="shared" si="0"/>
        <v xml:space="preserve">
220000179</v>
      </c>
      <c r="C24" s="1921" t="s">
        <v>139</v>
      </c>
      <c r="D24" s="2418">
        <v>4200</v>
      </c>
      <c r="E24" s="1921" t="s">
        <v>6745</v>
      </c>
      <c r="F24" s="1902" t="s">
        <v>20</v>
      </c>
      <c r="G24" s="2419" t="s">
        <v>6743</v>
      </c>
      <c r="H24" s="2424" t="s">
        <v>267</v>
      </c>
      <c r="I24" s="1921" t="s">
        <v>65</v>
      </c>
      <c r="J24" s="1921" t="s">
        <v>1000</v>
      </c>
      <c r="K24" s="2702" t="s">
        <v>6746</v>
      </c>
      <c r="L24" s="2421">
        <v>493</v>
      </c>
      <c r="M24" s="2422" t="s">
        <v>6747</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3" hidden="1" customHeight="1">
      <c r="A25" s="3772"/>
      <c r="B25" s="1909" t="str">
        <f t="shared" si="0"/>
        <v>2200001813</v>
      </c>
      <c r="C25" s="1495" t="s">
        <v>139</v>
      </c>
      <c r="D25" s="1901"/>
      <c r="E25" s="1495"/>
      <c r="F25" s="1493" t="s">
        <v>20</v>
      </c>
      <c r="G25" s="1568"/>
      <c r="H25" s="1773"/>
      <c r="I25" s="1495" t="s">
        <v>65</v>
      </c>
      <c r="J25" s="1495" t="s">
        <v>1000</v>
      </c>
      <c r="K25" s="1886" t="s">
        <v>6748</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3" hidden="1" customHeight="1">
      <c r="A26" s="3773"/>
      <c r="B26" s="2261" t="str">
        <f t="shared" si="0"/>
        <v>2200001816</v>
      </c>
      <c r="C26" s="1543" t="s">
        <v>139</v>
      </c>
      <c r="D26" s="1913"/>
      <c r="E26" s="1543"/>
      <c r="F26" s="1545" t="s">
        <v>20</v>
      </c>
      <c r="G26" s="1900"/>
      <c r="H26" s="1899"/>
      <c r="I26" s="1543" t="s">
        <v>65</v>
      </c>
      <c r="J26" s="1543" t="s">
        <v>1000</v>
      </c>
      <c r="K26" s="2141" t="s">
        <v>6749</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5" hidden="1" customHeight="1">
      <c r="A27" s="3784">
        <v>8</v>
      </c>
      <c r="B27" s="1909" t="str">
        <f t="shared" si="0"/>
        <v>2000002539</v>
      </c>
      <c r="C27" s="1921" t="s">
        <v>3738</v>
      </c>
      <c r="D27" s="2418">
        <v>4300</v>
      </c>
      <c r="E27" s="1921" t="s">
        <v>6750</v>
      </c>
      <c r="F27" s="1902" t="s">
        <v>20</v>
      </c>
      <c r="G27" s="1921" t="s">
        <v>6751</v>
      </c>
      <c r="H27" s="1921" t="s">
        <v>267</v>
      </c>
      <c r="I27" s="1921" t="s">
        <v>65</v>
      </c>
      <c r="J27" s="1921" t="s">
        <v>117</v>
      </c>
      <c r="K27" s="2194" t="s">
        <v>6752</v>
      </c>
      <c r="L27" s="2428">
        <v>2300</v>
      </c>
      <c r="M27" s="1845" t="s">
        <v>33</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5" hidden="1" customHeight="1">
      <c r="A28" s="3784"/>
      <c r="B28" s="1909" t="str">
        <f t="shared" si="0"/>
        <v>2000002540</v>
      </c>
      <c r="C28" s="1495" t="s">
        <v>3738</v>
      </c>
      <c r="D28" s="1901"/>
      <c r="E28" s="1495"/>
      <c r="F28" s="1493" t="s">
        <v>20</v>
      </c>
      <c r="G28" s="1495"/>
      <c r="H28" s="1495"/>
      <c r="I28" s="1495" t="s">
        <v>65</v>
      </c>
      <c r="J28" s="1495" t="s">
        <v>117</v>
      </c>
      <c r="K28" s="1496" t="s">
        <v>6753</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5" hidden="1" customHeight="1">
      <c r="A29" s="3784"/>
      <c r="B29" s="1909" t="str">
        <f t="shared" si="0"/>
        <v>2000002525</v>
      </c>
      <c r="C29" s="1495" t="s">
        <v>3738</v>
      </c>
      <c r="D29" s="1901"/>
      <c r="E29" s="1495"/>
      <c r="F29" s="1493" t="s">
        <v>20</v>
      </c>
      <c r="G29" s="1495"/>
      <c r="H29" s="1543"/>
      <c r="I29" s="1495" t="s">
        <v>65</v>
      </c>
      <c r="J29" s="1495" t="s">
        <v>164</v>
      </c>
      <c r="K29" s="1496" t="s">
        <v>6754</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71">
        <v>9</v>
      </c>
      <c r="B30" s="1909" t="str">
        <f t="shared" si="0"/>
        <v>2200001799</v>
      </c>
      <c r="C30" s="2118" t="s">
        <v>3747</v>
      </c>
      <c r="D30" s="2400">
        <v>6000</v>
      </c>
      <c r="E30" s="2118" t="s">
        <v>6755</v>
      </c>
      <c r="F30" s="2401" t="s">
        <v>16</v>
      </c>
      <c r="G30" s="2120" t="s">
        <v>6756</v>
      </c>
      <c r="H30" s="1921" t="s">
        <v>267</v>
      </c>
      <c r="I30" s="2159" t="s">
        <v>65</v>
      </c>
      <c r="J30" s="2120" t="s">
        <v>1179</v>
      </c>
      <c r="K30" s="2161" t="s">
        <v>6757</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72"/>
      <c r="B31" s="1909" t="str">
        <f t="shared" si="0"/>
        <v>2200001806</v>
      </c>
      <c r="C31" s="1851" t="s">
        <v>3747</v>
      </c>
      <c r="D31" s="1915"/>
      <c r="E31" s="1851"/>
      <c r="F31" s="1935" t="s">
        <v>16</v>
      </c>
      <c r="G31" s="1872"/>
      <c r="H31" s="1495"/>
      <c r="I31" s="1947" t="s">
        <v>65</v>
      </c>
      <c r="J31" s="1872" t="s">
        <v>1179</v>
      </c>
      <c r="K31" s="1628" t="s">
        <v>6758</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73"/>
      <c r="B32" s="1909" t="str">
        <f t="shared" si="0"/>
        <v>2200001818</v>
      </c>
      <c r="C32" s="1851" t="s">
        <v>3747</v>
      </c>
      <c r="D32" s="1915"/>
      <c r="E32" s="1851"/>
      <c r="F32" s="1935" t="s">
        <v>16</v>
      </c>
      <c r="G32" s="1872"/>
      <c r="H32" s="1495"/>
      <c r="I32" s="1947" t="s">
        <v>65</v>
      </c>
      <c r="J32" s="1872" t="s">
        <v>1179</v>
      </c>
      <c r="K32" s="1628" t="s">
        <v>6759</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3" hidden="1" customHeight="1">
      <c r="A33" s="2414">
        <v>10</v>
      </c>
      <c r="B33" s="1909" t="str">
        <f t="shared" si="0"/>
        <v>2000002546</v>
      </c>
      <c r="C33" s="2118" t="s">
        <v>4868</v>
      </c>
      <c r="D33" s="2400">
        <v>4300</v>
      </c>
      <c r="E33" s="2118" t="s">
        <v>6760</v>
      </c>
      <c r="F33" s="2391" t="s">
        <v>24</v>
      </c>
      <c r="G33" s="2120" t="s">
        <v>6761</v>
      </c>
      <c r="H33" s="2118" t="s">
        <v>267</v>
      </c>
      <c r="I33" s="2279" t="s">
        <v>65</v>
      </c>
      <c r="J33" s="1921" t="s">
        <v>240</v>
      </c>
      <c r="K33" s="2161" t="s">
        <v>6762</v>
      </c>
      <c r="L33" s="2413">
        <v>4300</v>
      </c>
      <c r="M33" s="2161"/>
      <c r="N33" s="2391"/>
      <c r="O33" s="2403"/>
    </row>
    <row r="34" spans="1:129" s="2267" customFormat="1" ht="60.8" hidden="1" customHeight="1">
      <c r="A34" s="3771">
        <v>11</v>
      </c>
      <c r="B34" s="1909" t="str">
        <f t="shared" si="0"/>
        <v>2000002531</v>
      </c>
      <c r="C34" s="2118" t="s">
        <v>252</v>
      </c>
      <c r="D34" s="2400">
        <v>3700</v>
      </c>
      <c r="E34" s="2118" t="s">
        <v>6760</v>
      </c>
      <c r="F34" s="2391" t="s">
        <v>20</v>
      </c>
      <c r="G34" s="2120" t="s">
        <v>6763</v>
      </c>
      <c r="H34" s="1921" t="s">
        <v>267</v>
      </c>
      <c r="I34" s="2279" t="s">
        <v>65</v>
      </c>
      <c r="J34" s="1921" t="s">
        <v>294</v>
      </c>
      <c r="K34" s="2161" t="s">
        <v>6764</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8" hidden="1" customHeight="1">
      <c r="A35" s="3773"/>
      <c r="B35" s="1909" t="str">
        <f t="shared" si="0"/>
        <v>2000002557</v>
      </c>
      <c r="C35" s="1851" t="s">
        <v>252</v>
      </c>
      <c r="D35" s="1915"/>
      <c r="E35" s="1851"/>
      <c r="F35" s="1630" t="s">
        <v>20</v>
      </c>
      <c r="G35" s="1872"/>
      <c r="H35" s="1495"/>
      <c r="I35" s="1568" t="s">
        <v>65</v>
      </c>
      <c r="J35" s="1495" t="s">
        <v>294</v>
      </c>
      <c r="K35" s="1628" t="s">
        <v>6765</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5" hidden="1" customHeight="1">
      <c r="A36" s="3771">
        <v>12</v>
      </c>
      <c r="B36" s="1909" t="str">
        <f t="shared" si="0"/>
        <v>2000002527</v>
      </c>
      <c r="C36" s="2118" t="s">
        <v>3150</v>
      </c>
      <c r="D36" s="2400">
        <v>18500</v>
      </c>
      <c r="E36" s="2118" t="s">
        <v>6766</v>
      </c>
      <c r="F36" s="2391" t="s">
        <v>16</v>
      </c>
      <c r="G36" s="2120" t="s">
        <v>6767</v>
      </c>
      <c r="H36" s="1921" t="s">
        <v>267</v>
      </c>
      <c r="I36" s="2279" t="s">
        <v>65</v>
      </c>
      <c r="J36" s="1921" t="s">
        <v>4386</v>
      </c>
      <c r="K36" s="2161" t="s">
        <v>6768</v>
      </c>
      <c r="L36" s="2413">
        <v>3000</v>
      </c>
      <c r="M36" s="2161"/>
      <c r="N36" s="2391"/>
      <c r="O36" s="2403"/>
    </row>
    <row r="37" spans="1:129" s="1883" customFormat="1" ht="49.6" hidden="1" customHeight="1">
      <c r="A37" s="3772"/>
      <c r="B37" s="1909" t="str">
        <f t="shared" si="0"/>
        <v>2000002497</v>
      </c>
      <c r="C37" s="1851" t="s">
        <v>3150</v>
      </c>
      <c r="D37" s="2072"/>
      <c r="E37" s="1851"/>
      <c r="F37" s="1630" t="s">
        <v>16</v>
      </c>
      <c r="G37" s="1872"/>
      <c r="H37" s="1495"/>
      <c r="I37" s="1568" t="s">
        <v>65</v>
      </c>
      <c r="J37" s="1495" t="s">
        <v>4386</v>
      </c>
      <c r="K37" s="1628" t="s">
        <v>6769</v>
      </c>
      <c r="L37" s="2410">
        <v>5000</v>
      </c>
      <c r="M37" s="2153"/>
      <c r="N37" s="1630"/>
      <c r="O37" s="1882"/>
    </row>
    <row r="38" spans="1:129" s="1883" customFormat="1" ht="57.75" hidden="1" customHeight="1">
      <c r="A38" s="3772"/>
      <c r="B38" s="1909" t="str">
        <f t="shared" si="0"/>
        <v>2000002522</v>
      </c>
      <c r="C38" s="1851" t="s">
        <v>3150</v>
      </c>
      <c r="D38" s="2072"/>
      <c r="E38" s="1851"/>
      <c r="F38" s="1630" t="s">
        <v>16</v>
      </c>
      <c r="G38" s="1872"/>
      <c r="H38" s="1495"/>
      <c r="I38" s="1568" t="s">
        <v>65</v>
      </c>
      <c r="J38" s="1773" t="s">
        <v>164</v>
      </c>
      <c r="K38" s="1628" t="s">
        <v>6770</v>
      </c>
      <c r="L38" s="2410">
        <v>250</v>
      </c>
      <c r="M38" s="2153"/>
      <c r="N38" s="1630"/>
      <c r="O38" s="1882"/>
    </row>
    <row r="39" spans="1:129" s="1883" customFormat="1" ht="65.25" hidden="1" customHeight="1">
      <c r="A39" s="3772"/>
      <c r="B39" s="1909" t="str">
        <f t="shared" si="0"/>
        <v>2000002523</v>
      </c>
      <c r="C39" s="1851" t="s">
        <v>3150</v>
      </c>
      <c r="D39" s="2072"/>
      <c r="E39" s="1851"/>
      <c r="F39" s="1630" t="s">
        <v>16</v>
      </c>
      <c r="G39" s="1872"/>
      <c r="H39" s="1495"/>
      <c r="I39" s="1568" t="s">
        <v>65</v>
      </c>
      <c r="J39" s="1773" t="s">
        <v>164</v>
      </c>
      <c r="K39" s="1628" t="s">
        <v>6771</v>
      </c>
      <c r="L39" s="2410">
        <v>150</v>
      </c>
      <c r="M39" s="2153"/>
      <c r="N39" s="1630"/>
      <c r="O39" s="1882"/>
    </row>
    <row r="40" spans="1:129" s="1883" customFormat="1" ht="65.25" hidden="1" customHeight="1">
      <c r="A40" s="3772"/>
      <c r="B40" s="1909" t="str">
        <f t="shared" si="0"/>
        <v>2000002537</v>
      </c>
      <c r="C40" s="1851" t="s">
        <v>3150</v>
      </c>
      <c r="D40" s="2072"/>
      <c r="E40" s="1851"/>
      <c r="F40" s="1630" t="s">
        <v>16</v>
      </c>
      <c r="G40" s="1872"/>
      <c r="H40" s="1495"/>
      <c r="I40" s="1568" t="s">
        <v>65</v>
      </c>
      <c r="J40" s="1773" t="s">
        <v>164</v>
      </c>
      <c r="K40" s="1628" t="s">
        <v>6772</v>
      </c>
      <c r="L40" s="2410">
        <v>100</v>
      </c>
      <c r="M40" s="2153"/>
      <c r="N40" s="1630"/>
      <c r="O40" s="1882"/>
    </row>
    <row r="41" spans="1:129" s="1883" customFormat="1" ht="65.25" hidden="1" customHeight="1">
      <c r="A41" s="3772"/>
      <c r="B41" s="1909" t="str">
        <f t="shared" si="0"/>
        <v>2000002535</v>
      </c>
      <c r="C41" s="1851" t="s">
        <v>3150</v>
      </c>
      <c r="D41" s="2072"/>
      <c r="E41" s="1851"/>
      <c r="F41" s="1630" t="s">
        <v>16</v>
      </c>
      <c r="G41" s="1872"/>
      <c r="H41" s="1495"/>
      <c r="I41" s="1568" t="s">
        <v>65</v>
      </c>
      <c r="J41" s="1773" t="s">
        <v>164</v>
      </c>
      <c r="K41" s="1628" t="s">
        <v>6773</v>
      </c>
      <c r="L41" s="2410">
        <v>200</v>
      </c>
      <c r="M41" s="2153"/>
      <c r="N41" s="1630"/>
      <c r="O41" s="1882"/>
    </row>
    <row r="42" spans="1:129" s="1883" customFormat="1" ht="81.7" hidden="1" customHeight="1">
      <c r="A42" s="3773"/>
      <c r="B42" s="1909" t="str">
        <f t="shared" si="0"/>
        <v>2000002532</v>
      </c>
      <c r="C42" s="1851" t="s">
        <v>3150</v>
      </c>
      <c r="D42" s="2072"/>
      <c r="E42" s="1851"/>
      <c r="F42" s="1630" t="s">
        <v>16</v>
      </c>
      <c r="G42" s="1872"/>
      <c r="H42" s="1495"/>
      <c r="I42" s="1568" t="s">
        <v>65</v>
      </c>
      <c r="J42" s="1773" t="s">
        <v>164</v>
      </c>
      <c r="K42" s="1628" t="s">
        <v>6774</v>
      </c>
      <c r="L42" s="2410">
        <v>7750</v>
      </c>
      <c r="M42" s="2153"/>
      <c r="N42" s="1630"/>
      <c r="O42" s="1882"/>
    </row>
    <row r="43" spans="1:129" s="2122" customFormat="1" ht="68.3" hidden="1" customHeight="1">
      <c r="A43" s="3771">
        <v>13</v>
      </c>
      <c r="B43" s="1909" t="str">
        <f t="shared" si="0"/>
        <v>2000002552</v>
      </c>
      <c r="C43" s="1921" t="s">
        <v>3440</v>
      </c>
      <c r="D43" s="2431">
        <v>8700</v>
      </c>
      <c r="E43" s="2118" t="s">
        <v>6766</v>
      </c>
      <c r="F43" s="2391" t="s">
        <v>16</v>
      </c>
      <c r="G43" s="2120" t="s">
        <v>6775</v>
      </c>
      <c r="H43" s="1921" t="s">
        <v>267</v>
      </c>
      <c r="I43" s="2159" t="s">
        <v>65</v>
      </c>
      <c r="J43" s="1561" t="s">
        <v>164</v>
      </c>
      <c r="K43" s="2194" t="s">
        <v>6776</v>
      </c>
      <c r="L43" s="2426">
        <v>2500</v>
      </c>
      <c r="M43" s="2432"/>
      <c r="N43" s="2391"/>
      <c r="O43" s="2403"/>
    </row>
    <row r="44" spans="1:129" s="1883" customFormat="1" ht="57.75" hidden="1" customHeight="1">
      <c r="A44" s="3772"/>
      <c r="B44" s="1909" t="str">
        <f t="shared" si="0"/>
        <v>2000002553</v>
      </c>
      <c r="C44" s="1495" t="s">
        <v>3440</v>
      </c>
      <c r="D44" s="2072"/>
      <c r="E44" s="1851"/>
      <c r="F44" s="1630" t="s">
        <v>16</v>
      </c>
      <c r="G44" s="1872"/>
      <c r="H44" s="1495"/>
      <c r="I44" s="1947" t="s">
        <v>65</v>
      </c>
      <c r="J44" s="1872" t="s">
        <v>164</v>
      </c>
      <c r="K44" s="1628" t="s">
        <v>6777</v>
      </c>
      <c r="L44" s="2410">
        <v>2500</v>
      </c>
      <c r="M44" s="2153"/>
      <c r="N44" s="1630"/>
      <c r="O44" s="1882"/>
    </row>
    <row r="45" spans="1:129" s="1883" customFormat="1" ht="57.75" hidden="1" customHeight="1">
      <c r="A45" s="3772"/>
      <c r="B45" s="1909" t="str">
        <f t="shared" si="0"/>
        <v>2200001820</v>
      </c>
      <c r="C45" s="1495" t="s">
        <v>3440</v>
      </c>
      <c r="D45" s="2072"/>
      <c r="E45" s="1851"/>
      <c r="F45" s="1630" t="s">
        <v>16</v>
      </c>
      <c r="G45" s="1872"/>
      <c r="H45" s="1495"/>
      <c r="I45" s="1947" t="s">
        <v>65</v>
      </c>
      <c r="J45" s="1872" t="s">
        <v>106</v>
      </c>
      <c r="K45" s="1628" t="s">
        <v>6778</v>
      </c>
      <c r="L45" s="2410">
        <v>2000</v>
      </c>
      <c r="M45" s="2153"/>
      <c r="N45" s="1630"/>
      <c r="O45" s="1882"/>
    </row>
    <row r="46" spans="1:129" s="1883" customFormat="1" ht="57.75" hidden="1" customHeight="1">
      <c r="A46" s="3772"/>
      <c r="B46" s="1909" t="str">
        <f t="shared" si="0"/>
        <v>2200001821</v>
      </c>
      <c r="C46" s="1495" t="s">
        <v>3440</v>
      </c>
      <c r="D46" s="2072"/>
      <c r="E46" s="1851"/>
      <c r="F46" s="1630" t="s">
        <v>16</v>
      </c>
      <c r="G46" s="1872"/>
      <c r="H46" s="1495"/>
      <c r="I46" s="1947" t="s">
        <v>65</v>
      </c>
      <c r="J46" s="1872" t="s">
        <v>106</v>
      </c>
      <c r="K46" s="1628" t="s">
        <v>6779</v>
      </c>
      <c r="L46" s="2410">
        <v>1300</v>
      </c>
      <c r="M46" s="2153"/>
      <c r="N46" s="1630"/>
      <c r="O46" s="1882"/>
    </row>
    <row r="47" spans="1:129" s="1883" customFormat="1" ht="57.75" hidden="1" customHeight="1">
      <c r="A47" s="3773"/>
      <c r="B47" s="1909" t="str">
        <f t="shared" si="0"/>
        <v>2200001817</v>
      </c>
      <c r="C47" s="1495" t="s">
        <v>3440</v>
      </c>
      <c r="D47" s="2072"/>
      <c r="E47" s="1851"/>
      <c r="F47" s="1630" t="s">
        <v>16</v>
      </c>
      <c r="G47" s="1872"/>
      <c r="H47" s="1495"/>
      <c r="I47" s="1947" t="s">
        <v>65</v>
      </c>
      <c r="J47" s="1872" t="s">
        <v>106</v>
      </c>
      <c r="K47" s="1628" t="s">
        <v>6780</v>
      </c>
      <c r="L47" s="2410">
        <v>400</v>
      </c>
      <c r="M47" s="2153"/>
      <c r="N47" s="1630"/>
      <c r="O47" s="1882"/>
    </row>
    <row r="48" spans="1:129" s="2122" customFormat="1" ht="56.25" hidden="1" customHeight="1">
      <c r="A48" s="3768">
        <v>14</v>
      </c>
      <c r="B48" s="1909" t="str">
        <f>TEXT(LEFT(K48,10),"0000000000")</f>
        <v>2200001818</v>
      </c>
      <c r="C48" s="2118" t="s">
        <v>97</v>
      </c>
      <c r="D48" s="2400">
        <v>4620</v>
      </c>
      <c r="E48" s="2118" t="s">
        <v>6760</v>
      </c>
      <c r="F48" s="2391" t="s">
        <v>18</v>
      </c>
      <c r="G48" s="2120" t="s">
        <v>6781</v>
      </c>
      <c r="H48" s="1921" t="s">
        <v>267</v>
      </c>
      <c r="I48" s="2159" t="s">
        <v>65</v>
      </c>
      <c r="J48" s="2118" t="s">
        <v>1179</v>
      </c>
      <c r="K48" s="2161" t="s">
        <v>6782</v>
      </c>
      <c r="L48" s="2413">
        <v>3370</v>
      </c>
      <c r="M48" s="2161"/>
      <c r="N48" s="2391"/>
      <c r="O48" s="2403"/>
    </row>
    <row r="49" spans="1:15" s="1883" customFormat="1" ht="56.25" hidden="1" customHeight="1">
      <c r="A49" s="3770"/>
      <c r="B49" s="1909" t="str">
        <f t="shared" si="0"/>
        <v>2000002549</v>
      </c>
      <c r="C49" s="1851" t="s">
        <v>97</v>
      </c>
      <c r="D49" s="1915"/>
      <c r="E49" s="1851"/>
      <c r="F49" s="1630" t="s">
        <v>18</v>
      </c>
      <c r="G49" s="1872"/>
      <c r="H49" s="1495"/>
      <c r="I49" s="1947" t="s">
        <v>65</v>
      </c>
      <c r="J49" s="1851" t="s">
        <v>1179</v>
      </c>
      <c r="K49" s="1628" t="s">
        <v>6783</v>
      </c>
      <c r="L49" s="2408">
        <v>1000</v>
      </c>
      <c r="M49" s="1628"/>
      <c r="N49" s="1630"/>
      <c r="O49" s="1882"/>
    </row>
    <row r="50" spans="1:15" s="1883" customFormat="1" ht="56.25" hidden="1" customHeight="1">
      <c r="A50" s="3769"/>
      <c r="B50" s="1909" t="str">
        <f t="shared" si="0"/>
        <v>2000002547</v>
      </c>
      <c r="C50" s="1851" t="s">
        <v>97</v>
      </c>
      <c r="D50" s="1915"/>
      <c r="E50" s="1851"/>
      <c r="F50" s="1630" t="s">
        <v>18</v>
      </c>
      <c r="G50" s="1872"/>
      <c r="H50" s="1495"/>
      <c r="I50" s="1947" t="s">
        <v>65</v>
      </c>
      <c r="J50" s="1851" t="s">
        <v>1179</v>
      </c>
      <c r="K50" s="1628" t="s">
        <v>6784</v>
      </c>
      <c r="L50" s="2408">
        <v>250</v>
      </c>
      <c r="M50" s="1628"/>
      <c r="N50" s="1630"/>
      <c r="O50" s="1882"/>
    </row>
    <row r="51" spans="1:15" s="1883" customFormat="1" ht="86.95" hidden="1" customHeight="1">
      <c r="A51" s="1850">
        <v>14</v>
      </c>
      <c r="B51" s="1850"/>
      <c r="C51" s="1851" t="s">
        <v>3485</v>
      </c>
      <c r="D51" s="1915">
        <v>4730</v>
      </c>
      <c r="E51" s="1851" t="s">
        <v>6785</v>
      </c>
      <c r="F51" s="1630" t="s">
        <v>3460</v>
      </c>
      <c r="G51" s="1872" t="s">
        <v>6786</v>
      </c>
      <c r="H51" s="1495" t="s">
        <v>267</v>
      </c>
      <c r="I51" s="1947" t="s">
        <v>65</v>
      </c>
      <c r="J51" s="1851" t="s">
        <v>6787</v>
      </c>
      <c r="K51" s="1628" t="s">
        <v>6788</v>
      </c>
      <c r="L51" s="2408">
        <v>4730</v>
      </c>
      <c r="M51" s="1628" t="s">
        <v>6789</v>
      </c>
      <c r="N51" s="1630"/>
      <c r="O51" s="1882"/>
    </row>
    <row r="52" spans="1:15" s="2122" customFormat="1" ht="70.5" hidden="1" customHeight="1">
      <c r="A52" s="2414">
        <v>15</v>
      </c>
      <c r="B52" s="1909" t="str">
        <f t="shared" si="0"/>
        <v>2000002557</v>
      </c>
      <c r="C52" s="2118" t="s">
        <v>3546</v>
      </c>
      <c r="D52" s="2400">
        <v>4200</v>
      </c>
      <c r="E52" s="2118" t="s">
        <v>6790</v>
      </c>
      <c r="F52" s="2391" t="s">
        <v>20</v>
      </c>
      <c r="G52" s="2120" t="s">
        <v>6791</v>
      </c>
      <c r="H52" s="1921" t="s">
        <v>267</v>
      </c>
      <c r="I52" s="2420" t="s">
        <v>65</v>
      </c>
      <c r="J52" s="2118" t="s">
        <v>294</v>
      </c>
      <c r="K52" s="2161" t="s">
        <v>6792</v>
      </c>
      <c r="L52" s="2413">
        <v>4200</v>
      </c>
      <c r="M52" s="2161"/>
      <c r="N52" s="2391"/>
      <c r="O52" s="2403"/>
    </row>
    <row r="53" spans="1:15" s="2122" customFormat="1" ht="66.75" customHeight="1">
      <c r="A53" s="3771">
        <v>16</v>
      </c>
      <c r="B53" s="1909" t="str">
        <f t="shared" si="0"/>
        <v>2200001799</v>
      </c>
      <c r="C53" s="2118" t="s">
        <v>114</v>
      </c>
      <c r="D53" s="2400">
        <v>3720</v>
      </c>
      <c r="E53" s="2118" t="s">
        <v>6793</v>
      </c>
      <c r="F53" s="2391" t="s">
        <v>22</v>
      </c>
      <c r="G53" s="2120" t="s">
        <v>6794</v>
      </c>
      <c r="H53" s="1561" t="s">
        <v>267</v>
      </c>
      <c r="I53" s="1921" t="s">
        <v>65</v>
      </c>
      <c r="J53" s="2159" t="s">
        <v>1179</v>
      </c>
      <c r="K53" s="2161" t="s">
        <v>6795</v>
      </c>
      <c r="L53" s="2413">
        <v>1720</v>
      </c>
      <c r="M53" s="2161"/>
      <c r="N53" s="2391"/>
      <c r="O53" s="2403"/>
    </row>
    <row r="54" spans="1:15" s="1883" customFormat="1" ht="53.35" hidden="1" customHeight="1">
      <c r="A54" s="3773"/>
      <c r="B54" s="1909" t="str">
        <f t="shared" si="0"/>
        <v>2000002536</v>
      </c>
      <c r="C54" s="1851" t="s">
        <v>114</v>
      </c>
      <c r="D54" s="1915"/>
      <c r="E54" s="1851"/>
      <c r="F54" s="1630" t="s">
        <v>22</v>
      </c>
      <c r="G54" s="1872"/>
      <c r="H54" s="1773"/>
      <c r="I54" s="1495" t="s">
        <v>65</v>
      </c>
      <c r="J54" s="1947" t="s">
        <v>1179</v>
      </c>
      <c r="K54" s="1628" t="s">
        <v>6796</v>
      </c>
      <c r="L54" s="2408">
        <v>2000</v>
      </c>
      <c r="M54" s="1628"/>
      <c r="N54" s="1630"/>
      <c r="O54" s="1882"/>
    </row>
    <row r="55" spans="1:15" s="2122" customFormat="1" ht="68.3" hidden="1" customHeight="1">
      <c r="A55" s="3771">
        <v>17</v>
      </c>
      <c r="B55" s="1909" t="str">
        <f t="shared" si="0"/>
        <v>2000002539</v>
      </c>
      <c r="C55" s="2118" t="s">
        <v>3464</v>
      </c>
      <c r="D55" s="2400">
        <v>3700</v>
      </c>
      <c r="E55" s="2118" t="s">
        <v>6797</v>
      </c>
      <c r="F55" s="2391" t="s">
        <v>20</v>
      </c>
      <c r="G55" s="2120" t="s">
        <v>6798</v>
      </c>
      <c r="H55" s="1561" t="s">
        <v>267</v>
      </c>
      <c r="I55" s="1921" t="s">
        <v>65</v>
      </c>
      <c r="J55" s="2279" t="s">
        <v>117</v>
      </c>
      <c r="K55" s="2161" t="s">
        <v>6799</v>
      </c>
      <c r="L55" s="2413">
        <v>2700</v>
      </c>
      <c r="M55" s="2161" t="s">
        <v>6800</v>
      </c>
      <c r="N55" s="2391"/>
      <c r="O55" s="2403"/>
    </row>
    <row r="56" spans="1:15" s="1883" customFormat="1" ht="84.75" hidden="1" customHeight="1">
      <c r="A56" s="3773"/>
      <c r="B56" s="1909" t="str">
        <f t="shared" si="0"/>
        <v>2000002534</v>
      </c>
      <c r="C56" s="1851" t="s">
        <v>3464</v>
      </c>
      <c r="D56" s="1915"/>
      <c r="E56" s="1851"/>
      <c r="F56" s="1630" t="s">
        <v>20</v>
      </c>
      <c r="G56" s="1872"/>
      <c r="H56" s="1773"/>
      <c r="I56" s="1495" t="s">
        <v>65</v>
      </c>
      <c r="J56" s="1568" t="s">
        <v>117</v>
      </c>
      <c r="K56" s="1628" t="s">
        <v>6801</v>
      </c>
      <c r="L56" s="2408">
        <v>1100</v>
      </c>
      <c r="M56" s="1628"/>
      <c r="N56" s="1630"/>
      <c r="O56" s="1882"/>
    </row>
    <row r="57" spans="1:15" s="2122" customFormat="1" ht="69.8" hidden="1" customHeight="1">
      <c r="A57" s="3771">
        <v>18</v>
      </c>
      <c r="B57" s="1909" t="str">
        <f t="shared" si="0"/>
        <v>2000002546</v>
      </c>
      <c r="C57" s="2118" t="s">
        <v>260</v>
      </c>
      <c r="D57" s="2400">
        <v>3000</v>
      </c>
      <c r="E57" s="2118" t="s">
        <v>6802</v>
      </c>
      <c r="F57" s="2391" t="s">
        <v>22</v>
      </c>
      <c r="G57" s="1561" t="s">
        <v>6803</v>
      </c>
      <c r="H57" s="1561" t="s">
        <v>267</v>
      </c>
      <c r="I57" s="1921" t="s">
        <v>65</v>
      </c>
      <c r="J57" s="2279" t="s">
        <v>240</v>
      </c>
      <c r="K57" s="2161" t="s">
        <v>6804</v>
      </c>
      <c r="L57" s="2413">
        <v>1700</v>
      </c>
      <c r="M57" s="2161" t="s">
        <v>6805</v>
      </c>
      <c r="N57" s="2391"/>
      <c r="O57" s="2403"/>
    </row>
    <row r="58" spans="1:15" s="1883" customFormat="1" ht="69.8" hidden="1" customHeight="1">
      <c r="A58" s="3773"/>
      <c r="B58" s="1909" t="str">
        <f t="shared" si="0"/>
        <v>2200001817</v>
      </c>
      <c r="C58" s="1851" t="s">
        <v>260</v>
      </c>
      <c r="D58" s="1915"/>
      <c r="E58" s="1851"/>
      <c r="F58" s="1630" t="s">
        <v>22</v>
      </c>
      <c r="G58" s="1872"/>
      <c r="H58" s="1773"/>
      <c r="I58" s="1495" t="s">
        <v>65</v>
      </c>
      <c r="J58" s="1947" t="s">
        <v>142</v>
      </c>
      <c r="K58" s="1628" t="s">
        <v>6806</v>
      </c>
      <c r="L58" s="2408">
        <v>1300</v>
      </c>
      <c r="M58" s="1628"/>
      <c r="N58" s="1630"/>
      <c r="O58" s="1882"/>
    </row>
    <row r="59" spans="1:15" s="2122" customFormat="1" ht="48.75" hidden="1" customHeight="1">
      <c r="A59" s="3768">
        <v>19</v>
      </c>
      <c r="B59" s="1909" t="str">
        <f t="shared" si="0"/>
        <v>2000002541</v>
      </c>
      <c r="C59" s="2118" t="s">
        <v>87</v>
      </c>
      <c r="D59" s="2400">
        <v>5950</v>
      </c>
      <c r="E59" s="2118" t="s">
        <v>6807</v>
      </c>
      <c r="F59" s="2391" t="s">
        <v>16</v>
      </c>
      <c r="G59" s="2120" t="s">
        <v>6808</v>
      </c>
      <c r="H59" s="1561" t="s">
        <v>267</v>
      </c>
      <c r="I59" s="1921" t="s">
        <v>65</v>
      </c>
      <c r="J59" s="2159" t="s">
        <v>1179</v>
      </c>
      <c r="K59" s="2161" t="s">
        <v>6809</v>
      </c>
      <c r="L59" s="2413">
        <v>540</v>
      </c>
      <c r="M59" s="2161"/>
      <c r="N59" s="2391"/>
      <c r="O59" s="2403"/>
    </row>
    <row r="60" spans="1:15" s="1883" customFormat="1" ht="64.55" hidden="1" customHeight="1">
      <c r="A60" s="3770"/>
      <c r="B60" s="1909" t="str">
        <f t="shared" si="0"/>
        <v>2200001816</v>
      </c>
      <c r="C60" s="1851" t="s">
        <v>87</v>
      </c>
      <c r="D60" s="2072"/>
      <c r="E60" s="1947"/>
      <c r="F60" s="1630" t="s">
        <v>16</v>
      </c>
      <c r="G60" s="2025"/>
      <c r="H60" s="1773"/>
      <c r="I60" s="1495" t="s">
        <v>65</v>
      </c>
      <c r="J60" s="1947" t="s">
        <v>1179</v>
      </c>
      <c r="K60" s="1628" t="s">
        <v>6810</v>
      </c>
      <c r="L60" s="2408">
        <v>1600</v>
      </c>
      <c r="M60" s="1628"/>
      <c r="N60" s="1630"/>
      <c r="O60" s="1882"/>
    </row>
    <row r="61" spans="1:15" s="1883" customFormat="1" ht="64.55" hidden="1" customHeight="1">
      <c r="A61" s="3770"/>
      <c r="B61" s="1909" t="str">
        <f t="shared" si="0"/>
        <v>2200001823</v>
      </c>
      <c r="C61" s="1851" t="s">
        <v>87</v>
      </c>
      <c r="D61" s="2072"/>
      <c r="E61" s="1947"/>
      <c r="F61" s="1630" t="s">
        <v>16</v>
      </c>
      <c r="G61" s="2025"/>
      <c r="H61" s="1773"/>
      <c r="I61" s="1495" t="s">
        <v>65</v>
      </c>
      <c r="J61" s="1947" t="s">
        <v>1179</v>
      </c>
      <c r="K61" s="1628" t="s">
        <v>6811</v>
      </c>
      <c r="L61" s="2408">
        <v>600</v>
      </c>
      <c r="M61" s="1628"/>
      <c r="N61" s="1630"/>
      <c r="O61" s="1882"/>
    </row>
    <row r="62" spans="1:15" s="1883" customFormat="1" ht="64.55" customHeight="1">
      <c r="A62" s="3770"/>
      <c r="B62" s="1909" t="str">
        <f t="shared" si="0"/>
        <v>2200001799</v>
      </c>
      <c r="C62" s="1851" t="s">
        <v>87</v>
      </c>
      <c r="D62" s="2072"/>
      <c r="E62" s="1947"/>
      <c r="F62" s="1630" t="s">
        <v>16</v>
      </c>
      <c r="G62" s="2025"/>
      <c r="H62" s="1773"/>
      <c r="I62" s="1495" t="s">
        <v>65</v>
      </c>
      <c r="J62" s="1947" t="s">
        <v>1179</v>
      </c>
      <c r="K62" s="1628" t="s">
        <v>6812</v>
      </c>
      <c r="L62" s="2408">
        <v>2000</v>
      </c>
      <c r="M62" s="1628"/>
      <c r="N62" s="1630"/>
      <c r="O62" s="1882"/>
    </row>
    <row r="63" spans="1:15" s="1883" customFormat="1" ht="64.55" hidden="1" customHeight="1">
      <c r="A63" s="3769"/>
      <c r="B63" s="1909" t="str">
        <f t="shared" si="0"/>
        <v>2200001818</v>
      </c>
      <c r="C63" s="1851" t="s">
        <v>87</v>
      </c>
      <c r="D63" s="2072"/>
      <c r="E63" s="1947"/>
      <c r="F63" s="1630" t="s">
        <v>16</v>
      </c>
      <c r="G63" s="2025"/>
      <c r="H63" s="1773"/>
      <c r="I63" s="1495" t="s">
        <v>65</v>
      </c>
      <c r="J63" s="1947" t="s">
        <v>1179</v>
      </c>
      <c r="K63" s="1628" t="s">
        <v>6813</v>
      </c>
      <c r="L63" s="2408">
        <v>1500</v>
      </c>
      <c r="M63" s="1628"/>
      <c r="N63" s="1630"/>
      <c r="O63" s="1882"/>
    </row>
    <row r="64" spans="1:15" s="2122" customFormat="1" ht="65.25" hidden="1" customHeight="1">
      <c r="A64" s="3768">
        <v>20</v>
      </c>
      <c r="B64" s="1909" t="str">
        <f t="shared" si="0"/>
        <v>2000002561</v>
      </c>
      <c r="C64" s="2391" t="s">
        <v>3503</v>
      </c>
      <c r="D64" s="2435">
        <v>3200</v>
      </c>
      <c r="E64" s="2159" t="s">
        <v>6814</v>
      </c>
      <c r="F64" s="2433" t="s">
        <v>22</v>
      </c>
      <c r="G64" s="2298" t="s">
        <v>6815</v>
      </c>
      <c r="H64" s="1561" t="s">
        <v>267</v>
      </c>
      <c r="I64" s="1921" t="s">
        <v>65</v>
      </c>
      <c r="J64" s="2159" t="s">
        <v>1179</v>
      </c>
      <c r="K64" s="2369" t="s">
        <v>6816</v>
      </c>
      <c r="L64" s="2434">
        <v>1300</v>
      </c>
      <c r="M64" s="2161"/>
      <c r="N64" s="2391"/>
      <c r="O64" s="2403"/>
    </row>
    <row r="65" spans="1:15" s="1883" customFormat="1" ht="65.25" hidden="1" customHeight="1">
      <c r="A65" s="3769"/>
      <c r="B65" s="1909" t="str">
        <f t="shared" si="0"/>
        <v>2000002560</v>
      </c>
      <c r="C65" s="1935" t="s">
        <v>3503</v>
      </c>
      <c r="D65" s="1901"/>
      <c r="E65" s="1947"/>
      <c r="F65" s="1941" t="s">
        <v>22</v>
      </c>
      <c r="G65" s="2025"/>
      <c r="H65" s="1773"/>
      <c r="I65" s="1495" t="s">
        <v>65</v>
      </c>
      <c r="J65" s="1947" t="s">
        <v>1179</v>
      </c>
      <c r="K65" s="1962" t="s">
        <v>6817</v>
      </c>
      <c r="L65" s="2411">
        <v>2000</v>
      </c>
      <c r="M65" s="1628"/>
      <c r="N65" s="1630"/>
      <c r="O65" s="1882"/>
    </row>
    <row r="66" spans="1:15" s="2122" customFormat="1" ht="74.25" hidden="1" customHeight="1">
      <c r="A66" s="3771">
        <v>21</v>
      </c>
      <c r="B66" s="1909" t="str">
        <f t="shared" si="0"/>
        <v>2200001824</v>
      </c>
      <c r="C66" s="2118" t="s">
        <v>4824</v>
      </c>
      <c r="D66" s="2416">
        <v>5850</v>
      </c>
      <c r="E66" s="2118" t="s">
        <v>6818</v>
      </c>
      <c r="F66" s="2391" t="s">
        <v>18</v>
      </c>
      <c r="G66" s="2120" t="s">
        <v>6819</v>
      </c>
      <c r="H66" s="1561" t="s">
        <v>267</v>
      </c>
      <c r="I66" s="1921" t="s">
        <v>65</v>
      </c>
      <c r="J66" s="2159" t="s">
        <v>1179</v>
      </c>
      <c r="K66" s="2161" t="s">
        <v>6820</v>
      </c>
      <c r="L66" s="2413">
        <v>1000</v>
      </c>
      <c r="M66" s="2161"/>
      <c r="N66" s="2391"/>
      <c r="O66" s="2403"/>
    </row>
    <row r="67" spans="1:15" s="1945" customFormat="1" ht="74.25" hidden="1" customHeight="1">
      <c r="A67" s="3773"/>
      <c r="B67" s="2261" t="str">
        <f t="shared" si="0"/>
        <v>2200001818</v>
      </c>
      <c r="C67" s="1875" t="s">
        <v>4824</v>
      </c>
      <c r="D67" s="1918"/>
      <c r="E67" s="1946"/>
      <c r="F67" s="1869" t="s">
        <v>18</v>
      </c>
      <c r="G67" s="2028"/>
      <c r="H67" s="1899"/>
      <c r="I67" s="1543" t="s">
        <v>65</v>
      </c>
      <c r="J67" s="1946" t="s">
        <v>1179</v>
      </c>
      <c r="K67" s="1988" t="s">
        <v>6821</v>
      </c>
      <c r="L67" s="2409">
        <v>4850</v>
      </c>
      <c r="M67" s="1988"/>
      <c r="N67" s="1869"/>
      <c r="O67" s="1867"/>
    </row>
    <row r="68" spans="1:15" s="2150" customFormat="1" ht="71.349999999999994" hidden="1" customHeight="1">
      <c r="A68" s="3768">
        <v>22</v>
      </c>
      <c r="B68" s="2261" t="str">
        <f t="shared" si="0"/>
        <v>2000002501</v>
      </c>
      <c r="C68" s="1921" t="s">
        <v>252</v>
      </c>
      <c r="D68" s="2418">
        <v>4000</v>
      </c>
      <c r="E68" s="1921" t="s">
        <v>6822</v>
      </c>
      <c r="F68" s="1902" t="s">
        <v>20</v>
      </c>
      <c r="G68" s="1921" t="s">
        <v>6823</v>
      </c>
      <c r="H68" s="1921" t="s">
        <v>267</v>
      </c>
      <c r="I68" s="1921" t="s">
        <v>65</v>
      </c>
      <c r="J68" s="1921" t="s">
        <v>1179</v>
      </c>
      <c r="K68" s="2194" t="s">
        <v>6824</v>
      </c>
      <c r="L68" s="2428">
        <v>700</v>
      </c>
      <c r="M68" s="2194"/>
      <c r="N68" s="1902"/>
      <c r="O68" s="2429"/>
    </row>
    <row r="69" spans="1:15" s="1548" customFormat="1" ht="62.35" hidden="1" customHeight="1">
      <c r="A69" s="3770"/>
      <c r="B69" s="2261" t="str">
        <f t="shared" si="0"/>
        <v>2000002551</v>
      </c>
      <c r="C69" s="1495" t="s">
        <v>252</v>
      </c>
      <c r="D69" s="1901"/>
      <c r="E69" s="1495"/>
      <c r="F69" s="1493" t="s">
        <v>20</v>
      </c>
      <c r="G69" s="1495"/>
      <c r="H69" s="1495"/>
      <c r="I69" s="1495" t="s">
        <v>65</v>
      </c>
      <c r="J69" s="1495" t="s">
        <v>1179</v>
      </c>
      <c r="K69" s="1496" t="s">
        <v>6825</v>
      </c>
      <c r="L69" s="2415">
        <v>3000</v>
      </c>
      <c r="M69" s="1496"/>
      <c r="N69" s="1493"/>
      <c r="O69" s="1790"/>
    </row>
    <row r="70" spans="1:15" s="1548" customFormat="1" ht="62.35" hidden="1" customHeight="1">
      <c r="A70" s="3780"/>
      <c r="B70" s="1909" t="str">
        <f t="shared" ref="B70:B107" si="1">TEXT(LEFT(K70,10),"0000000000")</f>
        <v>2200001814</v>
      </c>
      <c r="C70" s="1568" t="s">
        <v>252</v>
      </c>
      <c r="D70" s="1901"/>
      <c r="E70" s="1495"/>
      <c r="F70" s="1493" t="s">
        <v>20</v>
      </c>
      <c r="G70" s="1495"/>
      <c r="H70" s="1495"/>
      <c r="I70" s="1495" t="s">
        <v>65</v>
      </c>
      <c r="J70" s="1495" t="s">
        <v>1179</v>
      </c>
      <c r="K70" s="1496" t="s">
        <v>6826</v>
      </c>
      <c r="L70" s="2415">
        <v>400</v>
      </c>
      <c r="M70" s="1496"/>
      <c r="N70" s="1493"/>
      <c r="O70" s="1790"/>
    </row>
    <row r="71" spans="1:15" s="2129" customFormat="1" ht="79.5" hidden="1" customHeight="1">
      <c r="A71" s="2437">
        <v>23</v>
      </c>
      <c r="B71" s="2261" t="str">
        <f t="shared" si="1"/>
        <v>2200001818</v>
      </c>
      <c r="C71" s="2184" t="s">
        <v>2956</v>
      </c>
      <c r="D71" s="2435">
        <v>3240</v>
      </c>
      <c r="E71" s="2184" t="s">
        <v>6827</v>
      </c>
      <c r="F71" s="2198" t="s">
        <v>20</v>
      </c>
      <c r="G71" s="2186" t="s">
        <v>6828</v>
      </c>
      <c r="H71" s="2186" t="s">
        <v>267</v>
      </c>
      <c r="I71" s="2184" t="s">
        <v>65</v>
      </c>
      <c r="J71" s="2420" t="s">
        <v>1179</v>
      </c>
      <c r="K71" s="2188" t="s">
        <v>6829</v>
      </c>
      <c r="L71" s="2438">
        <v>3240</v>
      </c>
      <c r="M71" s="2422"/>
      <c r="N71" s="2198"/>
      <c r="O71" s="2198"/>
    </row>
    <row r="72" spans="1:15" s="2150" customFormat="1" ht="70.5" hidden="1" customHeight="1">
      <c r="A72" s="3768">
        <v>24</v>
      </c>
      <c r="B72" s="2261" t="str">
        <f t="shared" si="1"/>
        <v>2200001826</v>
      </c>
      <c r="C72" s="1921" t="s">
        <v>5278</v>
      </c>
      <c r="D72" s="2418">
        <v>4400</v>
      </c>
      <c r="E72" s="1921" t="s">
        <v>6830</v>
      </c>
      <c r="F72" s="1902" t="s">
        <v>20</v>
      </c>
      <c r="G72" s="1921" t="s">
        <v>6831</v>
      </c>
      <c r="H72" s="1921" t="s">
        <v>267</v>
      </c>
      <c r="I72" s="1921" t="s">
        <v>65</v>
      </c>
      <c r="J72" s="1921" t="s">
        <v>1179</v>
      </c>
      <c r="K72" s="2194" t="s">
        <v>6832</v>
      </c>
      <c r="L72" s="2428">
        <v>1322</v>
      </c>
      <c r="M72" s="2194" t="s">
        <v>6833</v>
      </c>
      <c r="N72" s="1902"/>
      <c r="O72" s="2429"/>
    </row>
    <row r="73" spans="1:15" s="1548" customFormat="1" ht="60.8" hidden="1" customHeight="1">
      <c r="A73" s="3770"/>
      <c r="B73" s="2261" t="str">
        <f t="shared" si="1"/>
        <v>2200001827</v>
      </c>
      <c r="C73" s="1495" t="s">
        <v>5278</v>
      </c>
      <c r="D73" s="1901"/>
      <c r="E73" s="1495"/>
      <c r="F73" s="1493" t="s">
        <v>20</v>
      </c>
      <c r="G73" s="1495"/>
      <c r="H73" s="1495"/>
      <c r="I73" s="1495" t="s">
        <v>65</v>
      </c>
      <c r="J73" s="1495" t="s">
        <v>1179</v>
      </c>
      <c r="K73" s="1496" t="s">
        <v>6834</v>
      </c>
      <c r="L73" s="2415">
        <v>859</v>
      </c>
      <c r="M73" s="1496"/>
      <c r="N73" s="1493"/>
      <c r="O73" s="1790"/>
    </row>
    <row r="74" spans="1:15" s="1548" customFormat="1" ht="60.8" hidden="1" customHeight="1">
      <c r="A74" s="3770"/>
      <c r="B74" s="2261" t="str">
        <f t="shared" si="1"/>
        <v>2200001818</v>
      </c>
      <c r="C74" s="1495" t="s">
        <v>5278</v>
      </c>
      <c r="D74" s="1901"/>
      <c r="E74" s="1495"/>
      <c r="F74" s="1493" t="s">
        <v>20</v>
      </c>
      <c r="G74" s="1495"/>
      <c r="H74" s="1495"/>
      <c r="I74" s="1495" t="s">
        <v>65</v>
      </c>
      <c r="J74" s="1495" t="s">
        <v>1179</v>
      </c>
      <c r="K74" s="1496" t="s">
        <v>6835</v>
      </c>
      <c r="L74" s="2415">
        <v>1500</v>
      </c>
      <c r="M74" s="1496"/>
      <c r="N74" s="1493"/>
      <c r="O74" s="1790"/>
    </row>
    <row r="75" spans="1:15" s="1559" customFormat="1" ht="60.8" hidden="1" customHeight="1">
      <c r="A75" s="3769"/>
      <c r="B75" s="2261" t="str">
        <f t="shared" si="1"/>
        <v>2000002561</v>
      </c>
      <c r="C75" s="1543" t="s">
        <v>5278</v>
      </c>
      <c r="D75" s="1913"/>
      <c r="E75" s="1543"/>
      <c r="F75" s="1545" t="s">
        <v>20</v>
      </c>
      <c r="G75" s="1543"/>
      <c r="H75" s="1543"/>
      <c r="I75" s="1543" t="s">
        <v>65</v>
      </c>
      <c r="J75" s="1543" t="s">
        <v>1179</v>
      </c>
      <c r="K75" s="1546" t="s">
        <v>6836</v>
      </c>
      <c r="L75" s="2425">
        <v>700</v>
      </c>
      <c r="M75" s="1546"/>
      <c r="N75" s="1545"/>
      <c r="O75" s="1852"/>
    </row>
    <row r="76" spans="1:15" s="2150" customFormat="1" ht="59.95" hidden="1" customHeight="1">
      <c r="A76" s="2436">
        <v>25</v>
      </c>
      <c r="B76" s="1909" t="str">
        <f t="shared" si="1"/>
        <v>2000002569</v>
      </c>
      <c r="C76" s="1902" t="s">
        <v>134</v>
      </c>
      <c r="D76" s="2418">
        <v>2950</v>
      </c>
      <c r="E76" s="1921" t="s">
        <v>6837</v>
      </c>
      <c r="F76" s="1902" t="s">
        <v>22</v>
      </c>
      <c r="G76" s="1921"/>
      <c r="H76" s="1921" t="s">
        <v>6838</v>
      </c>
      <c r="I76" s="1921" t="s">
        <v>65</v>
      </c>
      <c r="J76" s="1921" t="s">
        <v>106</v>
      </c>
      <c r="K76" s="2194" t="s">
        <v>6839</v>
      </c>
      <c r="L76" s="2428">
        <v>3000</v>
      </c>
      <c r="M76" s="2194"/>
      <c r="N76" s="1902"/>
      <c r="O76" s="2429"/>
    </row>
    <row r="77" spans="1:15" s="2122" customFormat="1" ht="60.8" hidden="1" customHeight="1">
      <c r="A77" s="3771">
        <v>26</v>
      </c>
      <c r="B77" s="1909" t="str">
        <f t="shared" si="1"/>
        <v>2000002526</v>
      </c>
      <c r="C77" s="2391" t="s">
        <v>125</v>
      </c>
      <c r="D77" s="2400">
        <v>4230</v>
      </c>
      <c r="E77" s="2118" t="s">
        <v>6837</v>
      </c>
      <c r="F77" s="2439" t="s">
        <v>22</v>
      </c>
      <c r="G77" s="2118"/>
      <c r="H77" s="2298" t="s">
        <v>6838</v>
      </c>
      <c r="I77" s="2118" t="s">
        <v>65</v>
      </c>
      <c r="J77" s="2159" t="s">
        <v>106</v>
      </c>
      <c r="K77" s="2161" t="s">
        <v>6840</v>
      </c>
      <c r="L77" s="2413">
        <v>700</v>
      </c>
      <c r="M77" s="2154"/>
      <c r="N77" s="2391"/>
      <c r="O77" s="2403"/>
    </row>
    <row r="78" spans="1:15" s="1883" customFormat="1" ht="57.1" hidden="1" customHeight="1">
      <c r="A78" s="3772"/>
      <c r="B78" s="1909" t="str">
        <f t="shared" si="1"/>
        <v>2000002566</v>
      </c>
      <c r="C78" s="1630" t="s">
        <v>125</v>
      </c>
      <c r="D78" s="1915"/>
      <c r="E78" s="1495"/>
      <c r="F78" s="2073" t="s">
        <v>22</v>
      </c>
      <c r="G78" s="1495"/>
      <c r="H78" s="2025"/>
      <c r="I78" s="1851" t="s">
        <v>65</v>
      </c>
      <c r="J78" s="1947" t="s">
        <v>106</v>
      </c>
      <c r="K78" s="1628" t="s">
        <v>6841</v>
      </c>
      <c r="L78" s="2408">
        <v>1000</v>
      </c>
      <c r="M78" s="2154"/>
      <c r="N78" s="1630"/>
      <c r="O78" s="1882"/>
    </row>
    <row r="79" spans="1:15" s="1883" customFormat="1" ht="57.1" hidden="1" customHeight="1">
      <c r="A79" s="3772"/>
      <c r="B79" s="1909" t="str">
        <f t="shared" si="1"/>
        <v>2000002564</v>
      </c>
      <c r="C79" s="1630" t="s">
        <v>125</v>
      </c>
      <c r="D79" s="1915"/>
      <c r="E79" s="1495"/>
      <c r="F79" s="2073" t="s">
        <v>22</v>
      </c>
      <c r="G79" s="1495"/>
      <c r="H79" s="2025"/>
      <c r="I79" s="1851" t="s">
        <v>65</v>
      </c>
      <c r="J79" s="1947" t="s">
        <v>106</v>
      </c>
      <c r="K79" s="1628" t="s">
        <v>6842</v>
      </c>
      <c r="L79" s="2408">
        <v>500</v>
      </c>
      <c r="M79" s="2154"/>
      <c r="N79" s="1630"/>
      <c r="O79" s="1882"/>
    </row>
    <row r="80" spans="1:15" s="1883" customFormat="1" ht="57.1" hidden="1" customHeight="1">
      <c r="A80" s="3772"/>
      <c r="B80" s="1909" t="str">
        <f t="shared" si="1"/>
        <v>2000002562</v>
      </c>
      <c r="C80" s="1630" t="s">
        <v>125</v>
      </c>
      <c r="D80" s="1915"/>
      <c r="E80" s="1495"/>
      <c r="F80" s="2073" t="s">
        <v>22</v>
      </c>
      <c r="G80" s="1495"/>
      <c r="H80" s="2025"/>
      <c r="I80" s="1851" t="s">
        <v>65</v>
      </c>
      <c r="J80" s="1947" t="s">
        <v>106</v>
      </c>
      <c r="K80" s="1628" t="s">
        <v>6843</v>
      </c>
      <c r="L80" s="2408">
        <v>500</v>
      </c>
      <c r="M80" s="2154"/>
      <c r="N80" s="1630"/>
      <c r="O80" s="1882"/>
    </row>
    <row r="81" spans="1:15" s="1883" customFormat="1" ht="57.1" hidden="1" customHeight="1">
      <c r="A81" s="3772"/>
      <c r="B81" s="1909" t="str">
        <f t="shared" si="1"/>
        <v>2000002558</v>
      </c>
      <c r="C81" s="1630" t="s">
        <v>125</v>
      </c>
      <c r="D81" s="1915"/>
      <c r="E81" s="1495"/>
      <c r="F81" s="2073" t="s">
        <v>22</v>
      </c>
      <c r="G81" s="1495"/>
      <c r="H81" s="2025"/>
      <c r="I81" s="1851" t="s">
        <v>65</v>
      </c>
      <c r="J81" s="1947" t="s">
        <v>106</v>
      </c>
      <c r="K81" s="1628" t="s">
        <v>6844</v>
      </c>
      <c r="L81" s="2408">
        <v>100</v>
      </c>
      <c r="M81" s="2154"/>
      <c r="N81" s="1630"/>
      <c r="O81" s="1882"/>
    </row>
    <row r="82" spans="1:15" s="1883" customFormat="1" ht="57.1" hidden="1" customHeight="1">
      <c r="A82" s="3772"/>
      <c r="B82" s="1909" t="str">
        <f t="shared" si="1"/>
        <v>2000002513</v>
      </c>
      <c r="C82" s="1630" t="s">
        <v>125</v>
      </c>
      <c r="D82" s="1915"/>
      <c r="E82" s="1495"/>
      <c r="F82" s="2073" t="s">
        <v>22</v>
      </c>
      <c r="G82" s="1495"/>
      <c r="H82" s="2025"/>
      <c r="I82" s="1851" t="s">
        <v>65</v>
      </c>
      <c r="J82" s="1947" t="s">
        <v>106</v>
      </c>
      <c r="K82" s="1628" t="s">
        <v>6845</v>
      </c>
      <c r="L82" s="2408">
        <v>1000</v>
      </c>
      <c r="M82" s="2154"/>
      <c r="N82" s="1630"/>
      <c r="O82" s="1882"/>
    </row>
    <row r="83" spans="1:15" s="1883" customFormat="1" ht="57.1" hidden="1" customHeight="1">
      <c r="A83" s="3773"/>
      <c r="B83" s="1909" t="str">
        <f t="shared" si="1"/>
        <v>2000002554</v>
      </c>
      <c r="C83" s="1630" t="s">
        <v>125</v>
      </c>
      <c r="D83" s="1915"/>
      <c r="E83" s="1495"/>
      <c r="F83" s="2073" t="s">
        <v>22</v>
      </c>
      <c r="G83" s="1495"/>
      <c r="H83" s="2025"/>
      <c r="I83" s="1851" t="s">
        <v>65</v>
      </c>
      <c r="J83" s="1947" t="s">
        <v>106</v>
      </c>
      <c r="K83" s="1628" t="s">
        <v>6846</v>
      </c>
      <c r="L83" s="2408">
        <v>500</v>
      </c>
      <c r="M83" s="2154"/>
      <c r="N83" s="1630"/>
      <c r="O83" s="1882"/>
    </row>
    <row r="84" spans="1:15" s="2122" customFormat="1" ht="72.7" hidden="1" customHeight="1">
      <c r="A84" s="3768">
        <v>27</v>
      </c>
      <c r="B84" s="1909" t="str">
        <f t="shared" si="1"/>
        <v>2000002507</v>
      </c>
      <c r="C84" s="1902" t="s">
        <v>3440</v>
      </c>
      <c r="D84" s="2400">
        <v>8500</v>
      </c>
      <c r="E84" s="1921" t="s">
        <v>6847</v>
      </c>
      <c r="F84" s="2439" t="s">
        <v>16</v>
      </c>
      <c r="G84" s="1921"/>
      <c r="H84" s="2298" t="s">
        <v>6838</v>
      </c>
      <c r="I84" s="1921" t="s">
        <v>65</v>
      </c>
      <c r="J84" s="2279" t="s">
        <v>106</v>
      </c>
      <c r="K84" s="2161" t="s">
        <v>6848</v>
      </c>
      <c r="L84" s="2413">
        <v>7400</v>
      </c>
      <c r="M84" s="2161"/>
      <c r="N84" s="2391"/>
      <c r="O84" s="2403"/>
    </row>
    <row r="85" spans="1:15" s="2122" customFormat="1" ht="72.7" hidden="1" customHeight="1">
      <c r="A85" s="3770"/>
      <c r="B85" s="1909" t="str">
        <f t="shared" si="1"/>
        <v>2000002508</v>
      </c>
      <c r="C85" s="1493" t="s">
        <v>3440</v>
      </c>
      <c r="D85" s="2431"/>
      <c r="E85" s="2159"/>
      <c r="F85" s="2073" t="s">
        <v>16</v>
      </c>
      <c r="G85" s="1921"/>
      <c r="H85" s="2298"/>
      <c r="I85" s="1495" t="s">
        <v>65</v>
      </c>
      <c r="J85" s="1568" t="s">
        <v>106</v>
      </c>
      <c r="K85" s="2161" t="s">
        <v>6849</v>
      </c>
      <c r="L85" s="2413"/>
      <c r="M85" s="2161"/>
      <c r="N85" s="2391"/>
      <c r="O85" s="2403"/>
    </row>
    <row r="86" spans="1:15" s="2122" customFormat="1" ht="72.7" hidden="1" customHeight="1">
      <c r="A86" s="3770"/>
      <c r="B86" s="1909" t="str">
        <f t="shared" si="1"/>
        <v>2000002511</v>
      </c>
      <c r="C86" s="1493" t="s">
        <v>3440</v>
      </c>
      <c r="D86" s="2431"/>
      <c r="E86" s="2159"/>
      <c r="F86" s="2073" t="s">
        <v>16</v>
      </c>
      <c r="G86" s="1921"/>
      <c r="H86" s="2298"/>
      <c r="I86" s="1495" t="s">
        <v>65</v>
      </c>
      <c r="J86" s="1568" t="s">
        <v>106</v>
      </c>
      <c r="K86" s="2161" t="s">
        <v>6850</v>
      </c>
      <c r="L86" s="2413"/>
      <c r="M86" s="2161"/>
      <c r="N86" s="2391"/>
      <c r="O86" s="2403"/>
    </row>
    <row r="87" spans="1:15" s="1883" customFormat="1" ht="72.7" hidden="1" customHeight="1">
      <c r="A87" s="3769"/>
      <c r="B87" s="1909" t="str">
        <f t="shared" si="1"/>
        <v>2000002513</v>
      </c>
      <c r="C87" s="1493" t="s">
        <v>3440</v>
      </c>
      <c r="D87" s="2072"/>
      <c r="E87" s="1947"/>
      <c r="F87" s="2073" t="s">
        <v>16</v>
      </c>
      <c r="G87" s="1495"/>
      <c r="H87" s="2025"/>
      <c r="I87" s="1495" t="s">
        <v>65</v>
      </c>
      <c r="J87" s="1568" t="s">
        <v>106</v>
      </c>
      <c r="K87" s="1628" t="s">
        <v>6851</v>
      </c>
      <c r="L87" s="2408">
        <v>1000</v>
      </c>
      <c r="M87" s="1628"/>
      <c r="N87" s="1630"/>
      <c r="O87" s="1882"/>
    </row>
    <row r="88" spans="1:15" s="1883" customFormat="1" ht="68.3" hidden="1" customHeight="1">
      <c r="A88" s="3771">
        <v>28</v>
      </c>
      <c r="B88" s="1909" t="str">
        <f t="shared" si="1"/>
        <v>2000002563</v>
      </c>
      <c r="C88" s="1851" t="s">
        <v>6852</v>
      </c>
      <c r="D88" s="2072">
        <v>7400</v>
      </c>
      <c r="E88" s="1947" t="s">
        <v>6853</v>
      </c>
      <c r="F88" s="1941" t="s">
        <v>16</v>
      </c>
      <c r="G88" s="1495" t="s">
        <v>6854</v>
      </c>
      <c r="H88" s="1899"/>
      <c r="I88" s="1495" t="s">
        <v>65</v>
      </c>
      <c r="J88" s="1947" t="s">
        <v>1179</v>
      </c>
      <c r="K88" s="1628" t="s">
        <v>6855</v>
      </c>
      <c r="L88" s="2408">
        <v>3000</v>
      </c>
      <c r="N88" s="2076"/>
      <c r="O88" s="1630"/>
    </row>
    <row r="89" spans="1:15" s="1883" customFormat="1" ht="68.3" hidden="1" customHeight="1">
      <c r="A89" s="3772"/>
      <c r="B89" s="1909" t="str">
        <f t="shared" si="1"/>
        <v>2000002578</v>
      </c>
      <c r="C89" s="1851" t="s">
        <v>6852</v>
      </c>
      <c r="D89" s="2072"/>
      <c r="E89" s="1947"/>
      <c r="F89" s="1941" t="s">
        <v>16</v>
      </c>
      <c r="G89" s="1773"/>
      <c r="H89" s="1495"/>
      <c r="I89" s="1568" t="s">
        <v>65</v>
      </c>
      <c r="J89" s="1947" t="s">
        <v>1179</v>
      </c>
      <c r="K89" s="1628" t="s">
        <v>6856</v>
      </c>
      <c r="L89" s="2408">
        <v>2500</v>
      </c>
      <c r="M89" s="2440" t="s">
        <v>6857</v>
      </c>
      <c r="N89" s="2076"/>
      <c r="O89" s="1630"/>
    </row>
    <row r="90" spans="1:15" s="1883" customFormat="1" ht="68.3" hidden="1" customHeight="1">
      <c r="A90" s="3773"/>
      <c r="B90" s="1909" t="str">
        <f t="shared" si="1"/>
        <v>2000002579</v>
      </c>
      <c r="C90" s="1851" t="s">
        <v>6852</v>
      </c>
      <c r="D90" s="2072"/>
      <c r="E90" s="1947"/>
      <c r="F90" s="1941" t="s">
        <v>16</v>
      </c>
      <c r="G90" s="1773"/>
      <c r="H90" s="1495"/>
      <c r="I90" s="1568" t="s">
        <v>65</v>
      </c>
      <c r="J90" s="1947" t="s">
        <v>1179</v>
      </c>
      <c r="K90" s="1628" t="s">
        <v>6858</v>
      </c>
      <c r="L90" s="2408">
        <v>1930</v>
      </c>
      <c r="M90" s="2075"/>
      <c r="N90" s="2076"/>
      <c r="O90" s="1630"/>
    </row>
    <row r="91" spans="1:15" s="1883" customFormat="1" ht="68.3" hidden="1" customHeight="1">
      <c r="A91" s="2071">
        <v>29</v>
      </c>
      <c r="B91" s="1909" t="str">
        <f t="shared" si="1"/>
        <v>2200001828</v>
      </c>
      <c r="C91" s="1851" t="s">
        <v>6852</v>
      </c>
      <c r="D91" s="2072"/>
      <c r="E91" s="1947"/>
      <c r="F91" s="1941" t="s">
        <v>16</v>
      </c>
      <c r="G91" s="1773"/>
      <c r="H91" s="1495"/>
      <c r="I91" s="1568" t="s">
        <v>65</v>
      </c>
      <c r="J91" s="1947" t="s">
        <v>1179</v>
      </c>
      <c r="K91" s="1628" t="s">
        <v>6859</v>
      </c>
      <c r="L91" s="2408">
        <v>234</v>
      </c>
      <c r="M91" s="2075"/>
      <c r="N91" s="2076"/>
      <c r="O91" s="1630"/>
    </row>
    <row r="92" spans="1:15" s="1945" customFormat="1" ht="65.25" hidden="1" customHeight="1">
      <c r="A92" s="2394">
        <v>30</v>
      </c>
      <c r="B92" s="2261" t="str">
        <f t="shared" si="1"/>
        <v>2000002554</v>
      </c>
      <c r="C92" s="1545" t="s">
        <v>3150</v>
      </c>
      <c r="D92" s="1918">
        <v>18000</v>
      </c>
      <c r="E92" s="1543" t="s">
        <v>6860</v>
      </c>
      <c r="F92" s="1474" t="s">
        <v>16</v>
      </c>
      <c r="G92" s="1543" t="s">
        <v>6861</v>
      </c>
      <c r="H92" s="2024" t="s">
        <v>6838</v>
      </c>
      <c r="I92" s="1543" t="s">
        <v>65</v>
      </c>
      <c r="J92" s="1900" t="s">
        <v>106</v>
      </c>
      <c r="K92" s="1988" t="s">
        <v>6862</v>
      </c>
      <c r="L92" s="2409">
        <v>18000</v>
      </c>
      <c r="M92" s="2078"/>
      <c r="N92" s="2078"/>
      <c r="O92" s="1867"/>
    </row>
    <row r="93" spans="1:15" s="1548" customFormat="1" ht="89.35" hidden="1" customHeight="1">
      <c r="A93" s="3771">
        <v>31</v>
      </c>
      <c r="B93" s="2261" t="str">
        <f t="shared" si="1"/>
        <v xml:space="preserve">
200000258</v>
      </c>
      <c r="C93" s="1493" t="s">
        <v>5239</v>
      </c>
      <c r="D93" s="1901">
        <v>4000</v>
      </c>
      <c r="E93" s="1495" t="s">
        <v>6863</v>
      </c>
      <c r="F93" s="1493" t="s">
        <v>22</v>
      </c>
      <c r="G93" s="1495" t="s">
        <v>6864</v>
      </c>
      <c r="H93" s="1495" t="s">
        <v>6838</v>
      </c>
      <c r="I93" s="1495" t="s">
        <v>65</v>
      </c>
      <c r="J93" s="1495" t="s">
        <v>106</v>
      </c>
      <c r="K93" s="1496" t="s">
        <v>6865</v>
      </c>
      <c r="L93" s="2415">
        <v>2000</v>
      </c>
      <c r="M93" s="1496"/>
      <c r="N93" s="2441"/>
      <c r="O93" s="1790"/>
    </row>
    <row r="94" spans="1:15" s="1559" customFormat="1" ht="89.35" hidden="1" customHeight="1">
      <c r="A94" s="3773"/>
      <c r="B94" s="2261" t="str">
        <f t="shared" si="1"/>
        <v>2000002584</v>
      </c>
      <c r="C94" s="1545" t="s">
        <v>5239</v>
      </c>
      <c r="D94" s="1913"/>
      <c r="E94" s="1543"/>
      <c r="F94" s="1545" t="s">
        <v>22</v>
      </c>
      <c r="G94" s="1543"/>
      <c r="H94" s="1543"/>
      <c r="I94" s="1543" t="s">
        <v>65</v>
      </c>
      <c r="J94" s="1543" t="s">
        <v>106</v>
      </c>
      <c r="K94" s="1546" t="s">
        <v>6866</v>
      </c>
      <c r="L94" s="2425">
        <v>2000</v>
      </c>
      <c r="M94" s="1546"/>
      <c r="N94" s="2442"/>
      <c r="O94" s="1852"/>
    </row>
    <row r="95" spans="1:15" s="2150" customFormat="1" ht="84.75" hidden="1" customHeight="1">
      <c r="A95" s="3771">
        <v>32</v>
      </c>
      <c r="B95" s="1909" t="str">
        <f t="shared" si="1"/>
        <v>2000002554</v>
      </c>
      <c r="C95" s="1902" t="s">
        <v>153</v>
      </c>
      <c r="D95" s="2418">
        <v>11700</v>
      </c>
      <c r="E95" s="1921" t="s">
        <v>6860</v>
      </c>
      <c r="F95" s="1902" t="s">
        <v>22</v>
      </c>
      <c r="G95" s="1921" t="s">
        <v>6867</v>
      </c>
      <c r="H95" s="1921" t="s">
        <v>6868</v>
      </c>
      <c r="I95" s="1921" t="s">
        <v>65</v>
      </c>
      <c r="J95" s="1921" t="s">
        <v>106</v>
      </c>
      <c r="K95" s="2194" t="s">
        <v>6869</v>
      </c>
      <c r="L95" s="2428">
        <v>1500</v>
      </c>
      <c r="M95" s="2441"/>
      <c r="N95" s="2441"/>
      <c r="O95" s="2429"/>
    </row>
    <row r="96" spans="1:15" s="1548" customFormat="1" ht="63.7" hidden="1" customHeight="1">
      <c r="A96" s="3772"/>
      <c r="B96" s="1909" t="str">
        <f t="shared" si="1"/>
        <v>2000002538</v>
      </c>
      <c r="C96" s="1493" t="s">
        <v>153</v>
      </c>
      <c r="D96" s="1901"/>
      <c r="E96" s="1495"/>
      <c r="F96" s="1493" t="s">
        <v>22</v>
      </c>
      <c r="G96" s="1495"/>
      <c r="H96" s="1495"/>
      <c r="I96" s="1495" t="s">
        <v>65</v>
      </c>
      <c r="J96" s="1495" t="s">
        <v>106</v>
      </c>
      <c r="K96" s="1496" t="s">
        <v>6870</v>
      </c>
      <c r="L96" s="2415">
        <v>5000</v>
      </c>
      <c r="M96" s="2441"/>
      <c r="N96" s="2441"/>
      <c r="O96" s="1790"/>
    </row>
    <row r="97" spans="1:15" s="1548" customFormat="1" ht="68.95" hidden="1" customHeight="1">
      <c r="A97" s="3772"/>
      <c r="B97" s="1909" t="str">
        <f t="shared" si="1"/>
        <v>2000002581</v>
      </c>
      <c r="C97" s="1493" t="s">
        <v>153</v>
      </c>
      <c r="D97" s="1901"/>
      <c r="E97" s="1495"/>
      <c r="F97" s="1493" t="s">
        <v>22</v>
      </c>
      <c r="G97" s="1495"/>
      <c r="H97" s="1495"/>
      <c r="I97" s="1495" t="s">
        <v>65</v>
      </c>
      <c r="J97" s="1495" t="s">
        <v>164</v>
      </c>
      <c r="K97" s="1496" t="s">
        <v>6871</v>
      </c>
      <c r="L97" s="2415">
        <v>4200</v>
      </c>
      <c r="M97" s="2441"/>
      <c r="N97" s="2441"/>
      <c r="O97" s="1790"/>
    </row>
    <row r="98" spans="1:15" s="1548" customFormat="1" ht="68.95" hidden="1" customHeight="1">
      <c r="A98" s="3773"/>
      <c r="B98" s="1909" t="str">
        <f t="shared" si="1"/>
        <v>2000002582</v>
      </c>
      <c r="C98" s="1493" t="s">
        <v>153</v>
      </c>
      <c r="D98" s="1901"/>
      <c r="E98" s="1495"/>
      <c r="F98" s="1493" t="s">
        <v>22</v>
      </c>
      <c r="G98" s="1495"/>
      <c r="H98" s="1495"/>
      <c r="I98" s="1495" t="s">
        <v>65</v>
      </c>
      <c r="J98" s="1495" t="s">
        <v>164</v>
      </c>
      <c r="K98" s="1496" t="s">
        <v>6872</v>
      </c>
      <c r="L98" s="2415">
        <v>1000</v>
      </c>
      <c r="M98" s="2441"/>
      <c r="N98" s="2441"/>
      <c r="O98" s="1790"/>
    </row>
    <row r="99" spans="1:15" s="2122" customFormat="1" ht="60.8" hidden="1" customHeight="1">
      <c r="A99" s="3771">
        <v>33</v>
      </c>
      <c r="B99" s="1909" t="str">
        <f t="shared" si="1"/>
        <v>2000002533</v>
      </c>
      <c r="C99" s="2118" t="s">
        <v>6113</v>
      </c>
      <c r="D99" s="2400">
        <v>29000</v>
      </c>
      <c r="E99" s="2118" t="s">
        <v>6873</v>
      </c>
      <c r="F99" s="2439" t="s">
        <v>16</v>
      </c>
      <c r="G99" s="2118" t="s">
        <v>6874</v>
      </c>
      <c r="H99" s="2159" t="s">
        <v>6838</v>
      </c>
      <c r="I99" s="2118" t="s">
        <v>65</v>
      </c>
      <c r="J99" s="2118" t="s">
        <v>164</v>
      </c>
      <c r="K99" s="2161" t="s">
        <v>6875</v>
      </c>
      <c r="L99" s="2413">
        <v>8770</v>
      </c>
      <c r="M99" s="2161"/>
      <c r="N99" s="2074"/>
      <c r="O99" s="2403"/>
    </row>
    <row r="100" spans="1:15" s="1883" customFormat="1" ht="63" hidden="1" customHeight="1">
      <c r="A100" s="3772"/>
      <c r="B100" s="1909" t="str">
        <f t="shared" si="1"/>
        <v>2000002372</v>
      </c>
      <c r="C100" s="1851" t="s">
        <v>6113</v>
      </c>
      <c r="D100" s="1915"/>
      <c r="E100" s="1851"/>
      <c r="F100" s="2073" t="s">
        <v>16</v>
      </c>
      <c r="G100" s="1851"/>
      <c r="H100" s="2025"/>
      <c r="I100" s="1851" t="s">
        <v>65</v>
      </c>
      <c r="J100" s="1851" t="s">
        <v>164</v>
      </c>
      <c r="K100" s="1628" t="s">
        <v>6876</v>
      </c>
      <c r="L100" s="2408">
        <v>6000</v>
      </c>
      <c r="M100" s="1628"/>
      <c r="N100" s="2074"/>
      <c r="O100" s="1882"/>
    </row>
    <row r="101" spans="1:15" s="1883" customFormat="1" ht="63" hidden="1" customHeight="1">
      <c r="A101" s="3772"/>
      <c r="B101" s="1909" t="str">
        <f t="shared" si="1"/>
        <v>2000002576</v>
      </c>
      <c r="C101" s="1851" t="s">
        <v>6113</v>
      </c>
      <c r="D101" s="1915"/>
      <c r="E101" s="1851"/>
      <c r="F101" s="2073" t="s">
        <v>16</v>
      </c>
      <c r="G101" s="1851"/>
      <c r="H101" s="2025"/>
      <c r="I101" s="1851" t="s">
        <v>65</v>
      </c>
      <c r="J101" s="1851" t="s">
        <v>164</v>
      </c>
      <c r="K101" s="1628" t="s">
        <v>6877</v>
      </c>
      <c r="L101" s="2408">
        <v>1400</v>
      </c>
      <c r="M101" s="1628"/>
      <c r="N101" s="2074"/>
      <c r="O101" s="1882"/>
    </row>
    <row r="102" spans="1:15" s="1883" customFormat="1" ht="63" hidden="1" customHeight="1">
      <c r="A102" s="3772"/>
      <c r="B102" s="1909" t="str">
        <f t="shared" si="1"/>
        <v>2000002577</v>
      </c>
      <c r="C102" s="1851" t="s">
        <v>6113</v>
      </c>
      <c r="D102" s="1915"/>
      <c r="E102" s="1851"/>
      <c r="F102" s="2073" t="s">
        <v>16</v>
      </c>
      <c r="G102" s="1851"/>
      <c r="H102" s="2025"/>
      <c r="I102" s="1851" t="s">
        <v>65</v>
      </c>
      <c r="J102" s="1851" t="s">
        <v>164</v>
      </c>
      <c r="K102" s="1628" t="s">
        <v>6878</v>
      </c>
      <c r="L102" s="2408">
        <v>1300</v>
      </c>
      <c r="M102" s="1628"/>
      <c r="N102" s="2074"/>
      <c r="O102" s="1882"/>
    </row>
    <row r="103" spans="1:15" s="1883" customFormat="1" ht="63" hidden="1" customHeight="1">
      <c r="A103" s="3772"/>
      <c r="B103" s="1909" t="str">
        <f t="shared" si="1"/>
        <v>2000002575</v>
      </c>
      <c r="C103" s="1851" t="s">
        <v>6113</v>
      </c>
      <c r="D103" s="1915"/>
      <c r="E103" s="1851"/>
      <c r="F103" s="2073" t="s">
        <v>16</v>
      </c>
      <c r="G103" s="1851"/>
      <c r="H103" s="2025"/>
      <c r="I103" s="1851" t="s">
        <v>65</v>
      </c>
      <c r="J103" s="1851" t="s">
        <v>164</v>
      </c>
      <c r="K103" s="1628" t="s">
        <v>6879</v>
      </c>
      <c r="L103" s="2408">
        <v>2000</v>
      </c>
      <c r="M103" s="1628"/>
      <c r="N103" s="2074"/>
      <c r="O103" s="1882"/>
    </row>
    <row r="104" spans="1:15" s="1883" customFormat="1" ht="63" hidden="1" customHeight="1">
      <c r="A104" s="3772"/>
      <c r="B104" s="1909" t="str">
        <f t="shared" si="1"/>
        <v>2000002580</v>
      </c>
      <c r="C104" s="1851" t="s">
        <v>6113</v>
      </c>
      <c r="D104" s="1915"/>
      <c r="E104" s="1851"/>
      <c r="F104" s="2073" t="s">
        <v>16</v>
      </c>
      <c r="G104" s="1851"/>
      <c r="H104" s="2025"/>
      <c r="I104" s="1851" t="s">
        <v>65</v>
      </c>
      <c r="J104" s="1851" t="s">
        <v>164</v>
      </c>
      <c r="K104" s="1628" t="s">
        <v>6880</v>
      </c>
      <c r="L104" s="2408">
        <v>7500</v>
      </c>
      <c r="M104" s="1628"/>
      <c r="N104" s="2074"/>
      <c r="O104" s="1882"/>
    </row>
    <row r="105" spans="1:15" s="1883" customFormat="1" ht="63" hidden="1" customHeight="1">
      <c r="A105" s="3773"/>
      <c r="B105" s="1909" t="str">
        <f t="shared" si="1"/>
        <v>2000002582</v>
      </c>
      <c r="C105" s="1851" t="s">
        <v>6113</v>
      </c>
      <c r="D105" s="1915"/>
      <c r="E105" s="1851"/>
      <c r="F105" s="2073" t="s">
        <v>16</v>
      </c>
      <c r="G105" s="1851"/>
      <c r="H105" s="2025"/>
      <c r="I105" s="1851" t="s">
        <v>65</v>
      </c>
      <c r="J105" s="1851" t="s">
        <v>164</v>
      </c>
      <c r="K105" s="1628" t="s">
        <v>6881</v>
      </c>
      <c r="L105" s="2408">
        <v>2000</v>
      </c>
      <c r="M105" s="1628"/>
      <c r="N105" s="2074"/>
      <c r="O105" s="1882"/>
    </row>
    <row r="106" spans="1:15" s="2122" customFormat="1" ht="96.8" hidden="1" customHeight="1">
      <c r="A106" s="3771">
        <v>34</v>
      </c>
      <c r="B106" s="1909" t="str">
        <f t="shared" si="1"/>
        <v>2000002513</v>
      </c>
      <c r="C106" s="1902" t="s">
        <v>3440</v>
      </c>
      <c r="D106" s="2400">
        <v>8000</v>
      </c>
      <c r="E106" s="1921" t="s">
        <v>6882</v>
      </c>
      <c r="F106" s="2439" t="s">
        <v>16</v>
      </c>
      <c r="G106" s="1921" t="s">
        <v>6883</v>
      </c>
      <c r="H106" s="2298" t="s">
        <v>6838</v>
      </c>
      <c r="I106" s="1921" t="s">
        <v>65</v>
      </c>
      <c r="J106" s="2279" t="s">
        <v>106</v>
      </c>
      <c r="K106" s="2161" t="s">
        <v>6884</v>
      </c>
      <c r="L106" s="2421">
        <v>3000</v>
      </c>
      <c r="M106" s="2161"/>
      <c r="N106" s="2074"/>
      <c r="O106" s="2403"/>
    </row>
    <row r="107" spans="1:15" s="1548" customFormat="1" ht="70.5" hidden="1" customHeight="1">
      <c r="A107" s="3773"/>
      <c r="B107" s="1909" t="str">
        <f t="shared" si="1"/>
        <v>2000002565</v>
      </c>
      <c r="C107" s="1493" t="s">
        <v>3440</v>
      </c>
      <c r="D107" s="1631"/>
      <c r="E107" s="1851"/>
      <c r="F107" s="2073" t="s">
        <v>16</v>
      </c>
      <c r="G107" s="1495"/>
      <c r="H107" s="1568"/>
      <c r="I107" s="1495" t="s">
        <v>65</v>
      </c>
      <c r="J107" s="1495" t="s">
        <v>4386</v>
      </c>
      <c r="K107" s="2443" t="s">
        <v>6885</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6" hidden="1" customHeight="1">
      <c r="A109" s="738"/>
      <c r="B109" s="738"/>
      <c r="C109" s="102"/>
      <c r="D109" s="1167"/>
      <c r="E109" s="109"/>
      <c r="F109" s="103"/>
      <c r="G109" s="109"/>
      <c r="H109" s="839"/>
      <c r="I109" s="109"/>
      <c r="J109" s="109"/>
      <c r="K109" s="143"/>
      <c r="L109" s="2412"/>
      <c r="M109" s="143"/>
      <c r="N109" s="102"/>
      <c r="O109" s="1853"/>
    </row>
    <row r="110" spans="1:15" s="1777" customFormat="1" ht="58.6" hidden="1" customHeight="1">
      <c r="A110" s="738"/>
      <c r="B110" s="738"/>
      <c r="C110" s="102"/>
      <c r="D110" s="1167"/>
      <c r="E110" s="109"/>
      <c r="F110" s="102"/>
      <c r="G110" s="735"/>
      <c r="H110" s="109"/>
      <c r="I110" s="109"/>
      <c r="J110" s="109"/>
      <c r="K110" s="143"/>
      <c r="L110" s="2412"/>
      <c r="M110" s="143"/>
      <c r="N110" s="102"/>
      <c r="O110" s="1853"/>
    </row>
    <row r="111" spans="1:15" s="1777" customFormat="1" ht="58.6" hidden="1" customHeight="1">
      <c r="A111" s="738"/>
      <c r="B111" s="738"/>
      <c r="C111" s="102"/>
      <c r="D111" s="1167"/>
      <c r="E111" s="109"/>
      <c r="F111" s="102"/>
      <c r="G111" s="109"/>
      <c r="H111" s="109"/>
      <c r="I111" s="109"/>
      <c r="J111" s="109"/>
      <c r="K111" s="143"/>
      <c r="L111" s="2412"/>
      <c r="M111" s="143"/>
      <c r="N111" s="102"/>
      <c r="O111" s="1853"/>
    </row>
    <row r="112" spans="1:15" s="1777" customFormat="1" ht="58.6" customHeight="1">
      <c r="A112" s="738"/>
      <c r="B112" s="738"/>
      <c r="C112" s="102"/>
      <c r="D112" s="1167"/>
      <c r="E112" s="109"/>
      <c r="F112" s="102"/>
      <c r="G112" s="109"/>
      <c r="H112" s="109"/>
      <c r="I112" s="109"/>
      <c r="J112" s="109"/>
      <c r="K112" s="143"/>
      <c r="L112" s="2412"/>
      <c r="M112" s="143"/>
      <c r="N112" s="102"/>
      <c r="O112" s="1853"/>
    </row>
    <row r="113" spans="1:15" s="1777" customFormat="1" ht="58.6" customHeight="1">
      <c r="A113" s="738"/>
      <c r="B113" s="738"/>
      <c r="C113" s="102"/>
      <c r="D113" s="1167"/>
      <c r="E113" s="109"/>
      <c r="F113" s="102"/>
      <c r="G113" s="109"/>
      <c r="H113" s="109"/>
      <c r="I113" s="109"/>
      <c r="J113" s="109"/>
      <c r="K113" s="143"/>
      <c r="L113" s="2412"/>
      <c r="M113" s="143"/>
      <c r="N113" s="102"/>
      <c r="O113" s="1853"/>
    </row>
    <row r="114" spans="1:15" s="1777" customFormat="1" ht="58.6" customHeight="1">
      <c r="A114" s="738"/>
      <c r="B114" s="738"/>
      <c r="C114" s="102"/>
      <c r="D114" s="1167"/>
      <c r="E114" s="109"/>
      <c r="F114" s="102"/>
      <c r="G114" s="109"/>
      <c r="H114" s="109"/>
      <c r="I114" s="109"/>
      <c r="J114" s="109"/>
      <c r="K114" s="143"/>
      <c r="L114" s="2412"/>
      <c r="M114" s="143"/>
      <c r="N114" s="102"/>
      <c r="O114" s="1853"/>
    </row>
    <row r="115" spans="1:15" s="1777" customFormat="1" ht="58.6" customHeight="1">
      <c r="A115" s="738"/>
      <c r="B115" s="738"/>
      <c r="C115" s="102"/>
      <c r="D115" s="1167"/>
      <c r="E115" s="109"/>
      <c r="F115" s="102"/>
      <c r="G115" s="109"/>
      <c r="H115" s="109"/>
      <c r="I115" s="109"/>
      <c r="J115" s="109"/>
      <c r="K115" s="143"/>
      <c r="L115" s="2412"/>
      <c r="M115" s="143"/>
      <c r="N115" s="102"/>
      <c r="O115" s="1853"/>
    </row>
    <row r="116" spans="1:15" s="1777" customFormat="1" ht="58.6" customHeight="1">
      <c r="A116" s="738"/>
      <c r="B116" s="738"/>
      <c r="C116" s="102"/>
      <c r="D116" s="1167"/>
      <c r="E116" s="109"/>
      <c r="F116" s="102"/>
      <c r="G116" s="109"/>
      <c r="H116" s="109"/>
      <c r="I116" s="109"/>
      <c r="J116" s="109"/>
      <c r="K116" s="143"/>
      <c r="L116" s="2412"/>
      <c r="M116" s="143"/>
      <c r="N116" s="102"/>
      <c r="O116" s="1853"/>
    </row>
    <row r="117" spans="1:15" s="1777" customFormat="1" ht="58.6" customHeight="1">
      <c r="A117" s="738"/>
      <c r="B117" s="738"/>
      <c r="C117" s="102"/>
      <c r="D117" s="1167"/>
      <c r="E117" s="109"/>
      <c r="F117" s="102"/>
      <c r="G117" s="109"/>
      <c r="H117" s="109"/>
      <c r="I117" s="109"/>
      <c r="J117" s="109"/>
      <c r="K117" s="143"/>
      <c r="L117" s="2412"/>
      <c r="M117" s="143"/>
      <c r="N117" s="102"/>
      <c r="O117" s="1853"/>
    </row>
    <row r="118" spans="1:15" s="1777" customFormat="1" ht="58.6" customHeight="1">
      <c r="A118" s="738"/>
      <c r="B118" s="738"/>
      <c r="C118" s="102"/>
      <c r="D118" s="1167"/>
      <c r="E118" s="109"/>
      <c r="F118" s="102"/>
      <c r="G118" s="109"/>
      <c r="H118" s="109"/>
      <c r="I118" s="109"/>
      <c r="J118" s="109"/>
      <c r="K118" s="143"/>
      <c r="L118" s="2412"/>
      <c r="M118" s="143"/>
      <c r="N118" s="102"/>
      <c r="O118" s="1853"/>
    </row>
    <row r="119" spans="1:15" s="1623" customFormat="1" ht="58.6" customHeight="1">
      <c r="A119" s="1344"/>
      <c r="B119" s="1344"/>
      <c r="C119" s="144"/>
      <c r="D119" s="2064"/>
      <c r="E119" s="111"/>
      <c r="F119" s="144"/>
      <c r="G119" s="111"/>
      <c r="H119" s="111"/>
      <c r="I119" s="111"/>
      <c r="J119" s="111"/>
      <c r="K119" s="1622"/>
      <c r="L119" s="2406"/>
      <c r="M119" s="1622"/>
      <c r="N119" s="144"/>
      <c r="O119" s="1924"/>
    </row>
    <row r="120" spans="1:15" s="1777" customFormat="1" ht="58.6" customHeight="1">
      <c r="A120" s="738"/>
      <c r="B120" s="738"/>
      <c r="C120" s="102"/>
      <c r="D120" s="1167"/>
      <c r="E120" s="109"/>
      <c r="F120" s="102"/>
      <c r="G120" s="109"/>
      <c r="H120" s="109"/>
      <c r="I120" s="109"/>
      <c r="J120" s="109"/>
      <c r="K120" s="143"/>
      <c r="L120" s="2405"/>
      <c r="M120" s="143"/>
      <c r="N120" s="102"/>
      <c r="O120" s="1853"/>
    </row>
    <row r="121" spans="1:15" s="1777" customFormat="1" ht="58.6" customHeight="1">
      <c r="A121" s="738"/>
      <c r="B121" s="738"/>
      <c r="C121" s="102"/>
      <c r="D121" s="1167"/>
      <c r="E121" s="109"/>
      <c r="F121" s="102"/>
      <c r="G121" s="109"/>
      <c r="H121" s="109"/>
      <c r="I121" s="109"/>
      <c r="J121" s="109"/>
      <c r="K121" s="143"/>
      <c r="L121" s="2405"/>
      <c r="M121" s="143"/>
      <c r="N121" s="102"/>
      <c r="O121" s="1853"/>
    </row>
    <row r="122" spans="1:15" s="1777" customFormat="1" ht="58.6" customHeight="1">
      <c r="A122" s="738"/>
      <c r="B122" s="738"/>
      <c r="C122" s="102"/>
      <c r="D122" s="1167"/>
      <c r="E122" s="109"/>
      <c r="F122" s="102"/>
      <c r="G122" s="109"/>
      <c r="H122" s="109"/>
      <c r="I122" s="109"/>
      <c r="J122" s="109"/>
      <c r="K122" s="143"/>
      <c r="L122" s="2405"/>
      <c r="M122" s="143"/>
      <c r="N122" s="102"/>
      <c r="O122" s="1853"/>
    </row>
    <row r="123" spans="1:15" s="1777" customFormat="1" ht="58.6" customHeight="1">
      <c r="A123" s="738"/>
      <c r="B123" s="738"/>
      <c r="C123" s="102"/>
      <c r="D123" s="1167"/>
      <c r="E123" s="109"/>
      <c r="F123" s="102"/>
      <c r="G123" s="109"/>
      <c r="H123" s="109"/>
      <c r="I123" s="109"/>
      <c r="J123" s="109"/>
      <c r="K123" s="143"/>
      <c r="L123" s="2405"/>
      <c r="M123" s="143"/>
      <c r="N123" s="102"/>
      <c r="O123" s="1853"/>
    </row>
    <row r="124" spans="1:15" s="1777" customFormat="1" ht="58.6" customHeight="1">
      <c r="A124" s="738"/>
      <c r="B124" s="738"/>
      <c r="C124" s="102"/>
      <c r="D124" s="1167"/>
      <c r="E124" s="109"/>
      <c r="F124" s="102"/>
      <c r="G124" s="109"/>
      <c r="H124" s="109"/>
      <c r="I124" s="109"/>
      <c r="J124" s="109"/>
      <c r="K124" s="143"/>
      <c r="L124" s="2405"/>
      <c r="M124" s="143"/>
      <c r="N124" s="102"/>
      <c r="O124" s="1853"/>
    </row>
    <row r="125" spans="1:15" s="1777" customFormat="1" ht="58.6" customHeight="1">
      <c r="A125" s="738"/>
      <c r="B125" s="738"/>
      <c r="C125" s="102"/>
      <c r="D125" s="1167"/>
      <c r="E125" s="109"/>
      <c r="F125" s="102"/>
      <c r="G125" s="109"/>
      <c r="H125" s="109"/>
      <c r="I125" s="109"/>
      <c r="J125" s="109"/>
      <c r="K125" s="143"/>
      <c r="L125" s="2405"/>
      <c r="M125" s="143"/>
      <c r="N125" s="102"/>
      <c r="O125" s="1853"/>
    </row>
    <row r="126" spans="1:15" s="1777" customFormat="1" ht="58.6" customHeight="1">
      <c r="A126" s="738"/>
      <c r="B126" s="738"/>
      <c r="C126" s="102"/>
      <c r="D126" s="1167"/>
      <c r="E126" s="109"/>
      <c r="F126" s="102"/>
      <c r="G126" s="109"/>
      <c r="H126" s="109"/>
      <c r="I126" s="109"/>
      <c r="J126" s="109"/>
      <c r="K126" s="143"/>
      <c r="L126" s="2405"/>
      <c r="M126" s="143"/>
      <c r="N126" s="102"/>
      <c r="O126" s="1853"/>
    </row>
    <row r="127" spans="1:15" s="1777" customFormat="1" ht="58.6" customHeight="1">
      <c r="A127" s="738"/>
      <c r="B127" s="738"/>
      <c r="C127" s="102"/>
      <c r="D127" s="1167"/>
      <c r="E127" s="109"/>
      <c r="F127" s="102"/>
      <c r="G127" s="109"/>
      <c r="H127" s="109"/>
      <c r="I127" s="109"/>
      <c r="J127" s="109"/>
      <c r="K127" s="143"/>
      <c r="L127" s="2405"/>
      <c r="M127" s="143"/>
      <c r="N127" s="102"/>
      <c r="O127" s="1853"/>
    </row>
    <row r="128" spans="1:15" s="1777" customFormat="1" ht="58.6" customHeight="1">
      <c r="A128" s="738"/>
      <c r="B128" s="738"/>
      <c r="C128" s="102"/>
      <c r="D128" s="1167"/>
      <c r="E128" s="109"/>
      <c r="F128" s="102"/>
      <c r="G128" s="109"/>
      <c r="H128" s="109"/>
      <c r="I128" s="109"/>
      <c r="J128" s="109"/>
      <c r="K128" s="143"/>
      <c r="L128" s="2405"/>
      <c r="M128" s="143"/>
      <c r="N128" s="102"/>
      <c r="O128" s="1853"/>
    </row>
    <row r="129" spans="1:15" s="1777" customFormat="1" ht="58.6" customHeight="1">
      <c r="A129" s="738"/>
      <c r="B129" s="738"/>
      <c r="C129" s="102"/>
      <c r="D129" s="1167"/>
      <c r="E129" s="109"/>
      <c r="F129" s="102"/>
      <c r="G129" s="109"/>
      <c r="H129" s="109"/>
      <c r="I129" s="109"/>
      <c r="J129" s="109"/>
      <c r="K129" s="143"/>
      <c r="L129" s="2405"/>
      <c r="M129" s="143"/>
      <c r="N129" s="102"/>
      <c r="O129" s="1853"/>
    </row>
    <row r="130" spans="1:15" s="1777" customFormat="1" ht="58.6" customHeight="1">
      <c r="A130" s="738"/>
      <c r="B130" s="738"/>
      <c r="C130" s="102"/>
      <c r="D130" s="1167"/>
      <c r="E130" s="109"/>
      <c r="F130" s="102"/>
      <c r="G130" s="109"/>
      <c r="H130" s="109"/>
      <c r="I130" s="109"/>
      <c r="J130" s="109"/>
      <c r="K130" s="143"/>
      <c r="L130" s="2405"/>
      <c r="M130" s="143"/>
      <c r="N130" s="102"/>
      <c r="O130" s="1853"/>
    </row>
    <row r="131" spans="1:15" s="1777" customFormat="1" ht="58.6" customHeight="1">
      <c r="A131" s="738"/>
      <c r="B131" s="738"/>
      <c r="C131" s="102"/>
      <c r="D131" s="1167"/>
      <c r="E131" s="109"/>
      <c r="F131" s="102"/>
      <c r="G131" s="109"/>
      <c r="H131" s="109"/>
      <c r="I131" s="109"/>
      <c r="J131" s="109"/>
      <c r="K131" s="143"/>
      <c r="L131" s="2405"/>
      <c r="M131" s="143"/>
      <c r="N131" s="102"/>
      <c r="O131" s="1853"/>
    </row>
    <row r="132" spans="1:15" s="1777" customFormat="1" ht="58.6" customHeight="1">
      <c r="A132" s="738"/>
      <c r="B132" s="738"/>
      <c r="C132" s="102"/>
      <c r="D132" s="1167"/>
      <c r="E132" s="109"/>
      <c r="F132" s="102"/>
      <c r="G132" s="109"/>
      <c r="H132" s="109"/>
      <c r="I132" s="109"/>
      <c r="J132" s="109"/>
      <c r="K132" s="143"/>
      <c r="L132" s="2405"/>
      <c r="M132" s="143"/>
      <c r="N132" s="102"/>
      <c r="O132" s="1853"/>
    </row>
    <row r="133" spans="1:15" s="1777" customFormat="1" ht="58.6" customHeight="1">
      <c r="A133" s="738"/>
      <c r="B133" s="738"/>
      <c r="C133" s="102"/>
      <c r="D133" s="1167"/>
      <c r="E133" s="109"/>
      <c r="F133" s="102"/>
      <c r="G133" s="109"/>
      <c r="H133" s="109"/>
      <c r="I133" s="109"/>
      <c r="J133" s="109"/>
      <c r="K133" s="143"/>
      <c r="L133" s="2405"/>
      <c r="M133" s="143"/>
      <c r="N133" s="102"/>
      <c r="O133" s="1853"/>
    </row>
    <row r="134" spans="1:15" s="1777" customFormat="1" ht="58.6" customHeight="1">
      <c r="A134" s="738"/>
      <c r="B134" s="738"/>
      <c r="C134" s="102"/>
      <c r="D134" s="1167"/>
      <c r="E134" s="109"/>
      <c r="F134" s="102"/>
      <c r="G134" s="109"/>
      <c r="H134" s="109"/>
      <c r="I134" s="109"/>
      <c r="J134" s="109"/>
      <c r="K134" s="143"/>
      <c r="L134" s="2405"/>
      <c r="M134" s="143"/>
      <c r="N134" s="102"/>
      <c r="O134" s="1853"/>
    </row>
    <row r="135" spans="1:15" s="1777" customFormat="1" ht="58.6" customHeight="1">
      <c r="A135" s="738"/>
      <c r="B135" s="738"/>
      <c r="C135" s="102"/>
      <c r="D135" s="1167"/>
      <c r="E135" s="109"/>
      <c r="F135" s="102"/>
      <c r="G135" s="109"/>
      <c r="H135" s="109"/>
      <c r="I135" s="109"/>
      <c r="J135" s="109"/>
      <c r="K135" s="143"/>
      <c r="L135" s="2405"/>
      <c r="M135" s="143"/>
      <c r="N135" s="102"/>
      <c r="O135" s="1853"/>
    </row>
    <row r="136" spans="1:15" s="1777" customFormat="1" ht="58.6" customHeight="1">
      <c r="A136" s="738"/>
      <c r="B136" s="738"/>
      <c r="C136" s="102"/>
      <c r="D136" s="1167"/>
      <c r="E136" s="109"/>
      <c r="F136" s="102"/>
      <c r="G136" s="109"/>
      <c r="H136" s="109"/>
      <c r="I136" s="109"/>
      <c r="J136" s="109"/>
      <c r="K136" s="143"/>
      <c r="L136" s="2405"/>
      <c r="M136" s="143"/>
      <c r="N136" s="102"/>
      <c r="O136" s="1853"/>
    </row>
    <row r="137" spans="1:15" s="1777" customFormat="1" ht="58.6" customHeight="1">
      <c r="A137" s="738"/>
      <c r="B137" s="738"/>
      <c r="C137" s="102"/>
      <c r="D137" s="1167"/>
      <c r="E137" s="109"/>
      <c r="F137" s="102"/>
      <c r="G137" s="109"/>
      <c r="H137" s="109"/>
      <c r="I137" s="109"/>
      <c r="J137" s="109"/>
      <c r="K137" s="143"/>
      <c r="L137" s="2405"/>
      <c r="M137" s="143"/>
      <c r="N137" s="102"/>
      <c r="O137" s="1853"/>
    </row>
    <row r="138" spans="1:15" s="1777" customFormat="1" ht="58.6" customHeight="1">
      <c r="A138" s="738"/>
      <c r="B138" s="738"/>
      <c r="C138" s="102"/>
      <c r="D138" s="1167"/>
      <c r="E138" s="109"/>
      <c r="F138" s="102"/>
      <c r="G138" s="109"/>
      <c r="H138" s="109"/>
      <c r="I138" s="109"/>
      <c r="J138" s="109"/>
      <c r="K138" s="143"/>
      <c r="L138" s="2405"/>
      <c r="M138" s="143"/>
      <c r="N138" s="102"/>
      <c r="O138" s="1853"/>
    </row>
    <row r="139" spans="1:15" s="1777" customFormat="1" ht="58.6" customHeight="1">
      <c r="A139" s="738"/>
      <c r="B139" s="738"/>
      <c r="C139" s="102"/>
      <c r="D139" s="1167"/>
      <c r="E139" s="109"/>
      <c r="F139" s="102"/>
      <c r="G139" s="109"/>
      <c r="H139" s="109"/>
      <c r="I139" s="109"/>
      <c r="J139" s="109"/>
      <c r="K139" s="143"/>
      <c r="L139" s="2405"/>
      <c r="M139" s="143"/>
      <c r="N139" s="102"/>
      <c r="O139" s="1853"/>
    </row>
    <row r="140" spans="1:15" s="1777" customFormat="1" ht="58.6"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75" priority="11"/>
  </conditionalFormatting>
  <conditionalFormatting sqref="A4:B4">
    <cfRule type="duplicateValues" dxfId="374" priority="7"/>
  </conditionalFormatting>
  <conditionalFormatting sqref="B5:B9">
    <cfRule type="duplicateValues" dxfId="373" priority="5"/>
    <cfRule type="duplicateValues" dxfId="372" priority="6"/>
  </conditionalFormatting>
  <conditionalFormatting sqref="B11:B50">
    <cfRule type="duplicateValues" dxfId="371" priority="3"/>
    <cfRule type="duplicateValues" dxfId="370" priority="4"/>
  </conditionalFormatting>
  <conditionalFormatting sqref="B52:B107">
    <cfRule type="duplicateValues" dxfId="369" priority="1"/>
    <cfRule type="duplicateValues" dxfId="368" priority="2"/>
  </conditionalFormatting>
  <conditionalFormatting sqref="C4">
    <cfRule type="duplicateValues" dxfId="367" priority="8"/>
    <cfRule type="duplicateValues" dxfId="366" priority="9"/>
    <cfRule type="duplicateValues" dxfId="365"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topRight"/>
      <selection pane="bottomLeft" activeCell="E39" sqref="E39"/>
      <selection pane="bottomRight"/>
    </sheetView>
  </sheetViews>
  <sheetFormatPr defaultColWidth="32.125" defaultRowHeight="58.6"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3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3" customHeight="1">
      <c r="A1" s="3777" t="s">
        <v>6886</v>
      </c>
      <c r="B1" s="3777"/>
      <c r="C1" s="3777"/>
      <c r="D1" s="3777"/>
      <c r="E1" s="3777"/>
      <c r="F1" s="3777"/>
      <c r="G1" s="3777"/>
      <c r="H1" s="3777"/>
      <c r="I1" s="3777"/>
      <c r="J1" s="3777"/>
      <c r="K1" s="3777"/>
      <c r="L1" s="3777"/>
      <c r="M1" s="3777"/>
      <c r="N1" s="3777"/>
      <c r="O1" s="3777"/>
      <c r="P1" s="3777"/>
      <c r="Q1" s="2620"/>
    </row>
    <row r="2" spans="1:56" ht="39.75" customHeight="1">
      <c r="A2" s="3778" t="s">
        <v>5208</v>
      </c>
      <c r="B2" s="3778"/>
      <c r="C2" s="3778"/>
      <c r="D2" s="2215">
        <f>SUBTOTAL(9,D3:D447)</f>
        <v>391027</v>
      </c>
      <c r="E2" s="1932"/>
      <c r="F2" s="2092"/>
      <c r="G2" s="2269" t="s">
        <v>5209</v>
      </c>
      <c r="H2" s="1932"/>
      <c r="I2" s="1932"/>
      <c r="J2" s="1932"/>
      <c r="K2" s="2093">
        <f ca="1">TODAY()</f>
        <v>45988</v>
      </c>
      <c r="L2" s="2272">
        <f>SUBTOTAL(9,L4:L630)</f>
        <v>390002</v>
      </c>
      <c r="M2" s="2339" t="s">
        <v>5210</v>
      </c>
      <c r="N2" s="2099" t="s">
        <v>5211</v>
      </c>
      <c r="O2" s="3774" t="s">
        <v>0</v>
      </c>
      <c r="P2" s="3774"/>
      <c r="Q2" s="3774" t="s">
        <v>6887</v>
      </c>
      <c r="R2" s="3774"/>
      <c r="S2" s="3775"/>
      <c r="T2" s="3775"/>
    </row>
    <row r="3" spans="1:56" s="2709" customFormat="1" ht="58.6" customHeight="1">
      <c r="A3" s="2703" t="s">
        <v>48</v>
      </c>
      <c r="B3" s="2704" t="s">
        <v>5213</v>
      </c>
      <c r="C3" s="2705" t="s">
        <v>5214</v>
      </c>
      <c r="D3" s="2706" t="s">
        <v>5215</v>
      </c>
      <c r="E3" s="2707" t="s">
        <v>3430</v>
      </c>
      <c r="F3" s="2705" t="s">
        <v>52</v>
      </c>
      <c r="G3" s="2707" t="s">
        <v>3431</v>
      </c>
      <c r="H3" s="2707" t="s">
        <v>5216</v>
      </c>
      <c r="I3" s="2707" t="s">
        <v>55</v>
      </c>
      <c r="J3" s="2707" t="s">
        <v>56</v>
      </c>
      <c r="K3" s="2707" t="s">
        <v>5217</v>
      </c>
      <c r="L3" s="2711" t="s">
        <v>5561</v>
      </c>
      <c r="M3" s="2710" t="s">
        <v>5219</v>
      </c>
      <c r="N3" s="2704" t="s">
        <v>58</v>
      </c>
      <c r="O3" s="2704" t="s">
        <v>5221</v>
      </c>
      <c r="P3" s="2705" t="s">
        <v>5222</v>
      </c>
      <c r="Q3" s="2705" t="s">
        <v>5223</v>
      </c>
      <c r="R3" s="2705" t="s">
        <v>5224</v>
      </c>
      <c r="S3" s="2708" t="s">
        <v>5225</v>
      </c>
      <c r="T3" s="2657" t="s">
        <v>5226</v>
      </c>
      <c r="X3" s="2708"/>
      <c r="Y3" s="2708"/>
      <c r="Z3" s="2708"/>
    </row>
    <row r="4" spans="1:56" s="2150" customFormat="1" ht="58.6" customHeight="1">
      <c r="A4" s="3769">
        <v>1</v>
      </c>
      <c r="B4" s="2159" t="str">
        <f t="shared" ref="B4:B13" si="0">TEXT(LEFT(K4,10),"0000000000")</f>
        <v>2200001953</v>
      </c>
      <c r="C4" s="2391" t="s">
        <v>3996</v>
      </c>
      <c r="D4" s="2656">
        <v>12900</v>
      </c>
      <c r="E4" s="2118" t="s">
        <v>6888</v>
      </c>
      <c r="F4" s="2391" t="s">
        <v>16</v>
      </c>
      <c r="G4" s="2118" t="s">
        <v>6889</v>
      </c>
      <c r="H4" s="2118" t="s">
        <v>6890</v>
      </c>
      <c r="I4" s="2118" t="s">
        <v>65</v>
      </c>
      <c r="J4" s="2118" t="s">
        <v>1179</v>
      </c>
      <c r="K4" s="2402" t="s">
        <v>6891</v>
      </c>
      <c r="L4" s="2508">
        <v>4650</v>
      </c>
      <c r="M4" s="2160" t="s">
        <v>5230</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 customHeight="1">
      <c r="A5" s="3768"/>
      <c r="B5" s="2279" t="str">
        <f t="shared" si="0"/>
        <v>2200001954</v>
      </c>
      <c r="C5" s="1493" t="s">
        <v>3996</v>
      </c>
      <c r="D5" s="1826"/>
      <c r="E5" s="1495"/>
      <c r="F5" s="1493" t="s">
        <v>16</v>
      </c>
      <c r="G5" s="1495"/>
      <c r="H5" s="1495"/>
      <c r="I5" s="1495" t="s">
        <v>65</v>
      </c>
      <c r="J5" s="1495" t="s">
        <v>1179</v>
      </c>
      <c r="K5" s="1600" t="s">
        <v>6892</v>
      </c>
      <c r="L5" s="2357">
        <v>9150</v>
      </c>
      <c r="M5" s="2196" t="s">
        <v>5230</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6" customHeight="1">
      <c r="A6" s="3768">
        <v>2</v>
      </c>
      <c r="B6" s="2279" t="str">
        <f t="shared" si="0"/>
        <v>2000002836</v>
      </c>
      <c r="C6" s="1902" t="s">
        <v>6893</v>
      </c>
      <c r="D6" s="2607">
        <v>4500</v>
      </c>
      <c r="E6" s="1921" t="s">
        <v>6894</v>
      </c>
      <c r="F6" s="1902" t="s">
        <v>24</v>
      </c>
      <c r="G6" s="1921" t="s">
        <v>6895</v>
      </c>
      <c r="H6" s="1921" t="s">
        <v>6890</v>
      </c>
      <c r="I6" s="1921" t="s">
        <v>65</v>
      </c>
      <c r="J6" s="1921" t="s">
        <v>1179</v>
      </c>
      <c r="K6" s="1845" t="s">
        <v>6896</v>
      </c>
      <c r="L6" s="2630">
        <v>2000</v>
      </c>
      <c r="M6" s="1902" t="s">
        <v>5255</v>
      </c>
      <c r="N6" s="1775" t="s">
        <v>6897</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6" customHeight="1">
      <c r="A7" s="3770"/>
      <c r="B7" s="2279" t="str">
        <f t="shared" si="0"/>
        <v>2200001957</v>
      </c>
      <c r="C7" s="1493" t="s">
        <v>6893</v>
      </c>
      <c r="D7" s="1494"/>
      <c r="E7" s="1495"/>
      <c r="F7" s="1493" t="s">
        <v>24</v>
      </c>
      <c r="G7" s="1921"/>
      <c r="H7" s="1921"/>
      <c r="I7" s="1495" t="s">
        <v>65</v>
      </c>
      <c r="J7" s="1495" t="s">
        <v>1179</v>
      </c>
      <c r="K7" s="1548" t="s">
        <v>6898</v>
      </c>
      <c r="L7" s="2560">
        <v>1580</v>
      </c>
      <c r="M7" s="2196" t="s">
        <v>5247</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6" customHeight="1">
      <c r="A8" s="3770"/>
      <c r="B8" s="2279" t="str">
        <f t="shared" si="0"/>
        <v>2200001960</v>
      </c>
      <c r="C8" s="1493" t="s">
        <v>6893</v>
      </c>
      <c r="D8" s="1494"/>
      <c r="E8" s="1495"/>
      <c r="F8" s="1493" t="s">
        <v>24</v>
      </c>
      <c r="G8" s="1921"/>
      <c r="H8" s="1921"/>
      <c r="I8" s="1495" t="s">
        <v>65</v>
      </c>
      <c r="J8" s="1495" t="s">
        <v>1179</v>
      </c>
      <c r="K8" s="1559" t="s">
        <v>6899</v>
      </c>
      <c r="L8" s="2631">
        <v>221</v>
      </c>
      <c r="M8" s="2196" t="s">
        <v>5247</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6" customHeight="1">
      <c r="A9" s="3769"/>
      <c r="B9" s="2279" t="str">
        <f t="shared" si="0"/>
        <v>2200001961</v>
      </c>
      <c r="C9" s="1493" t="s">
        <v>6893</v>
      </c>
      <c r="D9" s="1494"/>
      <c r="E9" s="1495"/>
      <c r="F9" s="1493" t="s">
        <v>24</v>
      </c>
      <c r="G9" s="1921"/>
      <c r="H9" s="1921"/>
      <c r="I9" s="1495" t="s">
        <v>65</v>
      </c>
      <c r="J9" s="1495" t="s">
        <v>1179</v>
      </c>
      <c r="K9" s="1559" t="s">
        <v>6900</v>
      </c>
      <c r="L9" s="2631">
        <v>485</v>
      </c>
      <c r="M9" s="1493" t="s">
        <v>6901</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6" customHeight="1">
      <c r="A10" s="3833">
        <v>3</v>
      </c>
      <c r="B10" s="2638" t="str">
        <f t="shared" si="0"/>
        <v>2000002868</v>
      </c>
      <c r="C10" s="2638" t="s">
        <v>3738</v>
      </c>
      <c r="D10" s="2607">
        <v>4300</v>
      </c>
      <c r="E10" s="2479" t="s">
        <v>6902</v>
      </c>
      <c r="F10" s="2638" t="s">
        <v>20</v>
      </c>
      <c r="G10" s="2638" t="s">
        <v>6903</v>
      </c>
      <c r="H10" s="2479" t="s">
        <v>6904</v>
      </c>
      <c r="I10" s="2638" t="s">
        <v>65</v>
      </c>
      <c r="J10" s="2638" t="s">
        <v>117</v>
      </c>
      <c r="K10" s="2641" t="s">
        <v>6905</v>
      </c>
      <c r="L10" s="2642">
        <v>600</v>
      </c>
      <c r="M10" s="2638" t="s">
        <v>5255</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6" customHeight="1">
      <c r="A11" s="3834"/>
      <c r="B11" s="1808" t="str">
        <f t="shared" si="0"/>
        <v>2000002864</v>
      </c>
      <c r="C11" s="1808" t="s">
        <v>3738</v>
      </c>
      <c r="D11" s="1808"/>
      <c r="E11" s="1808"/>
      <c r="F11" s="1808" t="s">
        <v>20</v>
      </c>
      <c r="G11" s="1808"/>
      <c r="H11" s="1808"/>
      <c r="I11" s="1808" t="s">
        <v>65</v>
      </c>
      <c r="J11" s="1808" t="s">
        <v>117</v>
      </c>
      <c r="K11" s="2632" t="s">
        <v>6906</v>
      </c>
      <c r="L11" s="1903">
        <v>1800</v>
      </c>
      <c r="M11" s="2633" t="s">
        <v>5230</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6" customHeight="1">
      <c r="A12" s="3835"/>
      <c r="B12" s="1808" t="str">
        <f t="shared" si="0"/>
        <v>2000002889</v>
      </c>
      <c r="C12" s="1808" t="s">
        <v>3738</v>
      </c>
      <c r="D12" s="1808"/>
      <c r="E12" s="1808"/>
      <c r="F12" s="1808" t="s">
        <v>20</v>
      </c>
      <c r="G12" s="1808"/>
      <c r="H12" s="1808"/>
      <c r="I12" s="1808" t="s">
        <v>65</v>
      </c>
      <c r="J12" s="1808" t="s">
        <v>117</v>
      </c>
      <c r="K12" s="2632" t="s">
        <v>6907</v>
      </c>
      <c r="L12" s="1903">
        <v>1900</v>
      </c>
      <c r="M12" s="2633" t="s">
        <v>5230</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6" customHeight="1">
      <c r="A13" s="2436">
        <v>4</v>
      </c>
      <c r="B13" s="2279" t="str">
        <f t="shared" si="0"/>
        <v>2000002826</v>
      </c>
      <c r="C13" s="1902" t="s">
        <v>5570</v>
      </c>
      <c r="D13" s="2607">
        <v>4300</v>
      </c>
      <c r="E13" s="1921" t="s">
        <v>6908</v>
      </c>
      <c r="F13" s="1902" t="s">
        <v>24</v>
      </c>
      <c r="G13" s="1921" t="s">
        <v>6909</v>
      </c>
      <c r="H13" s="1921" t="s">
        <v>6890</v>
      </c>
      <c r="I13" s="1921" t="s">
        <v>65</v>
      </c>
      <c r="J13" s="1921" t="s">
        <v>1179</v>
      </c>
      <c r="K13" s="1845" t="s">
        <v>6910</v>
      </c>
      <c r="L13" s="2583">
        <v>4300</v>
      </c>
      <c r="M13" s="1493" t="s">
        <v>5255</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6" customHeight="1">
      <c r="A14" s="3771">
        <v>5</v>
      </c>
      <c r="B14" s="2279" t="str">
        <f t="shared" ref="B14" si="1">TEXT(LEFT(K14,10),"0000000000")</f>
        <v>2000002904</v>
      </c>
      <c r="C14" s="2263" t="s">
        <v>87</v>
      </c>
      <c r="D14" s="2607">
        <v>6000</v>
      </c>
      <c r="E14" s="1921" t="s">
        <v>6911</v>
      </c>
      <c r="F14" s="1902" t="s">
        <v>16</v>
      </c>
      <c r="G14" s="2187" t="s">
        <v>6912</v>
      </c>
      <c r="H14" s="1909" t="s">
        <v>6913</v>
      </c>
      <c r="I14" s="1921" t="s">
        <v>65</v>
      </c>
      <c r="J14" s="1921" t="s">
        <v>164</v>
      </c>
      <c r="K14" s="1548" t="s">
        <v>6914</v>
      </c>
      <c r="L14" s="2183">
        <v>4300</v>
      </c>
      <c r="M14" s="2196" t="s">
        <v>5255</v>
      </c>
      <c r="N14" s="1775"/>
      <c r="O14" s="1852">
        <v>1</v>
      </c>
      <c r="P14" s="2150"/>
      <c r="Q14" s="2150"/>
      <c r="R14" s="2150"/>
      <c r="S14" s="2150"/>
      <c r="T14" s="2150"/>
      <c r="U14" s="2150"/>
      <c r="X14" s="1559">
        <v>2000002919</v>
      </c>
      <c r="Y14" s="1559">
        <v>434</v>
      </c>
      <c r="Z14" s="1559">
        <v>0</v>
      </c>
    </row>
    <row r="15" spans="1:56" s="1559" customFormat="1" ht="58.6" customHeight="1">
      <c r="A15" s="3772"/>
      <c r="B15" s="1568" t="str">
        <f t="shared" ref="B15:B22" si="2">TEXT(LEFT(K15,10),"0000000000")</f>
        <v>2000002905</v>
      </c>
      <c r="C15" s="1545" t="s">
        <v>87</v>
      </c>
      <c r="D15" s="2613"/>
      <c r="E15" s="1543"/>
      <c r="F15" s="1493" t="s">
        <v>16</v>
      </c>
      <c r="G15" s="1774"/>
      <c r="H15" s="2051"/>
      <c r="I15" s="1495" t="s">
        <v>65</v>
      </c>
      <c r="J15" s="1495" t="s">
        <v>164</v>
      </c>
      <c r="K15" s="1547" t="s">
        <v>6915</v>
      </c>
      <c r="L15" s="1826">
        <v>700</v>
      </c>
      <c r="M15" s="2196" t="s">
        <v>5255</v>
      </c>
      <c r="N15" s="2565"/>
      <c r="O15" s="1852">
        <v>1</v>
      </c>
      <c r="P15" s="2127"/>
      <c r="Q15" s="2127"/>
      <c r="R15" s="2127"/>
      <c r="S15" s="2127"/>
      <c r="T15" s="2127"/>
      <c r="U15" s="2127"/>
      <c r="X15" s="1559">
        <v>2000002925</v>
      </c>
      <c r="Y15" s="1559">
        <v>2706</v>
      </c>
      <c r="Z15" s="1559">
        <v>0</v>
      </c>
    </row>
    <row r="16" spans="1:56" s="1559" customFormat="1" ht="58.6" customHeight="1">
      <c r="A16" s="3772"/>
      <c r="B16" s="1568" t="str">
        <f t="shared" si="2"/>
        <v>2000002898</v>
      </c>
      <c r="C16" s="1545" t="s">
        <v>87</v>
      </c>
      <c r="D16" s="2613"/>
      <c r="E16" s="1543"/>
      <c r="F16" s="1493" t="s">
        <v>16</v>
      </c>
      <c r="G16" s="1543"/>
      <c r="H16" s="1543"/>
      <c r="I16" s="1495" t="s">
        <v>65</v>
      </c>
      <c r="J16" s="1495" t="s">
        <v>164</v>
      </c>
      <c r="K16" s="1546" t="s">
        <v>6916</v>
      </c>
      <c r="L16" s="2543">
        <v>1000</v>
      </c>
      <c r="M16" s="1495" t="s">
        <v>5255</v>
      </c>
      <c r="N16" s="2544"/>
      <c r="O16" s="1852">
        <v>1</v>
      </c>
      <c r="R16" s="1545"/>
      <c r="S16" s="1545"/>
      <c r="T16" s="1545"/>
      <c r="X16" s="1559">
        <v>2000002926</v>
      </c>
      <c r="Y16" s="1559">
        <v>2831</v>
      </c>
      <c r="Z16" s="1559">
        <v>1092</v>
      </c>
    </row>
    <row r="17" spans="1:56" s="1559" customFormat="1" ht="100.55" customHeight="1">
      <c r="A17" s="2436">
        <v>6</v>
      </c>
      <c r="B17" s="2279" t="str">
        <f t="shared" si="2"/>
        <v>2000002887</v>
      </c>
      <c r="C17" s="1902" t="s">
        <v>3772</v>
      </c>
      <c r="D17" s="2607">
        <v>8000</v>
      </c>
      <c r="E17" s="1921" t="s">
        <v>6917</v>
      </c>
      <c r="F17" s="1902" t="s">
        <v>16</v>
      </c>
      <c r="G17" s="1921" t="s">
        <v>6918</v>
      </c>
      <c r="H17" s="1909" t="s">
        <v>6919</v>
      </c>
      <c r="I17" s="1921" t="s">
        <v>65</v>
      </c>
      <c r="J17" s="1921" t="s">
        <v>294</v>
      </c>
      <c r="K17" s="1845" t="s">
        <v>6920</v>
      </c>
      <c r="L17" s="2583">
        <v>8000</v>
      </c>
      <c r="M17" s="2196" t="s">
        <v>5230</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4316</v>
      </c>
      <c r="D18" s="2607">
        <v>3990</v>
      </c>
      <c r="E18" s="2479" t="s">
        <v>6921</v>
      </c>
      <c r="F18" s="2638" t="s">
        <v>20</v>
      </c>
      <c r="G18" s="2638" t="s">
        <v>6922</v>
      </c>
      <c r="H18" s="2479" t="s">
        <v>6923</v>
      </c>
      <c r="I18" s="2638" t="s">
        <v>65</v>
      </c>
      <c r="J18" s="2638" t="s">
        <v>164</v>
      </c>
      <c r="K18" s="2639" t="s">
        <v>6924</v>
      </c>
      <c r="L18" s="2607">
        <v>3900</v>
      </c>
      <c r="M18" s="2638" t="s">
        <v>5230</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6" customHeight="1">
      <c r="A19" s="3768">
        <v>8</v>
      </c>
      <c r="B19" s="2279" t="str">
        <f t="shared" si="2"/>
        <v>2000002826</v>
      </c>
      <c r="C19" s="1902" t="s">
        <v>114</v>
      </c>
      <c r="D19" s="2607">
        <v>3720</v>
      </c>
      <c r="E19" s="1921" t="s">
        <v>6925</v>
      </c>
      <c r="F19" s="1902" t="s">
        <v>22</v>
      </c>
      <c r="G19" s="1921" t="s">
        <v>6926</v>
      </c>
      <c r="H19" s="1921" t="s">
        <v>6927</v>
      </c>
      <c r="I19" s="1921" t="s">
        <v>65</v>
      </c>
      <c r="J19" s="1921" t="s">
        <v>1000</v>
      </c>
      <c r="K19" s="1845" t="s">
        <v>6928</v>
      </c>
      <c r="L19" s="2583">
        <v>700</v>
      </c>
      <c r="M19" s="1493" t="s">
        <v>5255</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6" customHeight="1">
      <c r="A20" s="3770"/>
      <c r="B20" s="2279" t="str">
        <f t="shared" si="2"/>
        <v>2000002838</v>
      </c>
      <c r="C20" s="1493" t="s">
        <v>114</v>
      </c>
      <c r="D20" s="1494"/>
      <c r="E20" s="1495"/>
      <c r="F20" s="1493" t="s">
        <v>22</v>
      </c>
      <c r="G20" s="1543"/>
      <c r="H20" s="1543"/>
      <c r="I20" s="1495" t="s">
        <v>65</v>
      </c>
      <c r="J20" s="1495" t="s">
        <v>1000</v>
      </c>
      <c r="K20" s="1828" t="s">
        <v>6929</v>
      </c>
      <c r="L20" s="2543">
        <v>1000</v>
      </c>
      <c r="M20" s="2196" t="s">
        <v>5230</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6" customHeight="1">
      <c r="A21" s="3770"/>
      <c r="B21" s="2279" t="str">
        <f t="shared" si="2"/>
        <v>2000002831</v>
      </c>
      <c r="C21" s="1493" t="s">
        <v>114</v>
      </c>
      <c r="D21" s="1494"/>
      <c r="E21" s="1495"/>
      <c r="F21" s="1493" t="s">
        <v>22</v>
      </c>
      <c r="G21" s="1543"/>
      <c r="H21" s="1543"/>
      <c r="I21" s="1495" t="s">
        <v>65</v>
      </c>
      <c r="J21" s="1495" t="s">
        <v>1000</v>
      </c>
      <c r="K21" s="1600" t="s">
        <v>6930</v>
      </c>
      <c r="L21" s="2357">
        <v>1000</v>
      </c>
      <c r="M21" s="1748" t="s">
        <v>5255</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6" customHeight="1">
      <c r="A22" s="3769"/>
      <c r="B22" s="2279" t="str">
        <f t="shared" si="2"/>
        <v>2200001962</v>
      </c>
      <c r="C22" s="1493" t="s">
        <v>114</v>
      </c>
      <c r="D22" s="1494"/>
      <c r="E22" s="1495"/>
      <c r="F22" s="1493" t="s">
        <v>22</v>
      </c>
      <c r="G22" s="1543"/>
      <c r="H22" s="1543"/>
      <c r="I22" s="1495" t="s">
        <v>65</v>
      </c>
      <c r="J22" s="1495" t="s">
        <v>1000</v>
      </c>
      <c r="K22" s="1828" t="s">
        <v>6931</v>
      </c>
      <c r="L22" s="2543">
        <v>1000</v>
      </c>
      <c r="M22" s="1493" t="s">
        <v>6901</v>
      </c>
      <c r="N22" s="2544"/>
      <c r="O22" s="1852">
        <v>1</v>
      </c>
      <c r="R22" s="1545"/>
      <c r="S22" s="1545"/>
      <c r="T22" s="1545"/>
      <c r="U22" s="1467"/>
      <c r="X22" s="1559">
        <v>2000002953</v>
      </c>
      <c r="Y22" s="1559">
        <v>2497</v>
      </c>
      <c r="Z22" s="1559">
        <v>0</v>
      </c>
    </row>
    <row r="23" spans="1:56" s="1559" customFormat="1" ht="58.6" customHeight="1">
      <c r="A23" s="3768">
        <v>0</v>
      </c>
      <c r="B23" s="2279" t="str">
        <f t="shared" ref="B23:B31" si="3">TEXT(LEFT(K23,10),"0000000000")</f>
        <v>2000002881</v>
      </c>
      <c r="C23" s="2187" t="s">
        <v>6932</v>
      </c>
      <c r="D23" s="2456">
        <v>24000</v>
      </c>
      <c r="E23" s="2187" t="s">
        <v>6933</v>
      </c>
      <c r="F23" s="2263" t="s">
        <v>14</v>
      </c>
      <c r="G23" s="2187" t="s">
        <v>6934</v>
      </c>
      <c r="H23" s="2261" t="s">
        <v>6935</v>
      </c>
      <c r="I23" s="1921" t="s">
        <v>65</v>
      </c>
      <c r="J23" s="1921" t="s">
        <v>66</v>
      </c>
      <c r="K23" s="1845" t="s">
        <v>6936</v>
      </c>
      <c r="L23" s="2583">
        <v>6000</v>
      </c>
      <c r="M23" s="2196" t="s">
        <v>5230</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6" customHeight="1">
      <c r="A24" s="3770"/>
      <c r="B24" s="2279" t="str">
        <f t="shared" si="3"/>
        <v>2000002882</v>
      </c>
      <c r="C24" s="1545" t="s">
        <v>3668</v>
      </c>
      <c r="D24" s="2613"/>
      <c r="E24" s="1543"/>
      <c r="F24" s="1545" t="s">
        <v>14</v>
      </c>
      <c r="G24" s="1543"/>
      <c r="H24" s="1543"/>
      <c r="I24" s="1495" t="s">
        <v>65</v>
      </c>
      <c r="J24" s="1495" t="s">
        <v>66</v>
      </c>
      <c r="K24" s="1605" t="s">
        <v>6937</v>
      </c>
      <c r="L24" s="2543">
        <v>5866</v>
      </c>
      <c r="M24" s="2196" t="s">
        <v>5230</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6" customHeight="1">
      <c r="A25" s="3770"/>
      <c r="B25" s="2279" t="str">
        <f t="shared" si="3"/>
        <v>2200001958</v>
      </c>
      <c r="C25" s="1545" t="s">
        <v>3668</v>
      </c>
      <c r="D25" s="2613"/>
      <c r="E25" s="1543"/>
      <c r="F25" s="1545" t="s">
        <v>14</v>
      </c>
      <c r="G25" s="1543"/>
      <c r="H25" s="1543"/>
      <c r="I25" s="1495" t="s">
        <v>65</v>
      </c>
      <c r="J25" s="1495" t="s">
        <v>1000</v>
      </c>
      <c r="K25" s="1605" t="s">
        <v>6938</v>
      </c>
      <c r="L25" s="2543">
        <v>2766</v>
      </c>
      <c r="M25" s="2196" t="s">
        <v>6603</v>
      </c>
      <c r="N25" s="2544" t="s">
        <v>6939</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6" customHeight="1">
      <c r="A26" s="3770"/>
      <c r="B26" s="2279" t="str">
        <f t="shared" si="3"/>
        <v>2200001964</v>
      </c>
      <c r="C26" s="1545" t="s">
        <v>3668</v>
      </c>
      <c r="D26" s="2613"/>
      <c r="E26" s="1543"/>
      <c r="F26" s="1545" t="s">
        <v>14</v>
      </c>
      <c r="G26" s="1543"/>
      <c r="H26" s="1543"/>
      <c r="I26" s="1495" t="s">
        <v>65</v>
      </c>
      <c r="J26" s="1495" t="s">
        <v>1000</v>
      </c>
      <c r="K26" s="1605" t="s">
        <v>6940</v>
      </c>
      <c r="L26" s="2543">
        <v>2762</v>
      </c>
      <c r="M26" s="1495" t="s">
        <v>6941</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6" customHeight="1">
      <c r="A27" s="3770"/>
      <c r="B27" s="2279" t="str">
        <f t="shared" si="3"/>
        <v>2200001960</v>
      </c>
      <c r="C27" s="1545" t="s">
        <v>3668</v>
      </c>
      <c r="D27" s="2613"/>
      <c r="E27" s="1543"/>
      <c r="F27" s="1545" t="s">
        <v>14</v>
      </c>
      <c r="G27" s="1543"/>
      <c r="H27" s="1543"/>
      <c r="I27" s="1495" t="s">
        <v>65</v>
      </c>
      <c r="J27" s="1495" t="s">
        <v>1000</v>
      </c>
      <c r="K27" s="1774" t="s">
        <v>6942</v>
      </c>
      <c r="L27" s="2631">
        <v>313</v>
      </c>
      <c r="M27" s="2196" t="s">
        <v>5247</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6" customHeight="1">
      <c r="A28" s="3770"/>
      <c r="B28" s="2279" t="str">
        <f t="shared" si="3"/>
        <v>2200001920</v>
      </c>
      <c r="C28" s="1545" t="s">
        <v>3668</v>
      </c>
      <c r="D28" s="2613"/>
      <c r="E28" s="1543"/>
      <c r="F28" s="1545" t="s">
        <v>14</v>
      </c>
      <c r="G28" s="1543"/>
      <c r="H28" s="1543"/>
      <c r="I28" s="1495" t="s">
        <v>65</v>
      </c>
      <c r="J28" s="1495" t="s">
        <v>1000</v>
      </c>
      <c r="K28" s="1774" t="s">
        <v>6943</v>
      </c>
      <c r="L28" s="2631">
        <v>1600</v>
      </c>
      <c r="M28" s="2196" t="s">
        <v>5230</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6" customHeight="1">
      <c r="A29" s="3770"/>
      <c r="B29" s="2279" t="str">
        <f t="shared" si="3"/>
        <v>2200001954</v>
      </c>
      <c r="C29" s="1545" t="s">
        <v>3668</v>
      </c>
      <c r="D29" s="2613"/>
      <c r="E29" s="1543"/>
      <c r="F29" s="1545" t="s">
        <v>14</v>
      </c>
      <c r="G29" s="1543"/>
      <c r="H29" s="1543"/>
      <c r="I29" s="1495" t="s">
        <v>65</v>
      </c>
      <c r="J29" s="1495" t="s">
        <v>1000</v>
      </c>
      <c r="K29" s="1774" t="s">
        <v>6944</v>
      </c>
      <c r="L29" s="2631">
        <v>860</v>
      </c>
      <c r="M29" s="2196" t="s">
        <v>5230</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6" customHeight="1">
      <c r="A30" s="3770"/>
      <c r="B30" s="2279" t="str">
        <f t="shared" si="3"/>
        <v>2200001965</v>
      </c>
      <c r="C30" s="1545" t="s">
        <v>3668</v>
      </c>
      <c r="D30" s="2613"/>
      <c r="E30" s="1543"/>
      <c r="F30" s="1545" t="s">
        <v>14</v>
      </c>
      <c r="G30" s="1543"/>
      <c r="H30" s="1543"/>
      <c r="I30" s="1495" t="s">
        <v>65</v>
      </c>
      <c r="J30" s="1495" t="s">
        <v>1000</v>
      </c>
      <c r="K30" s="1774" t="s">
        <v>6945</v>
      </c>
      <c r="L30" s="2631">
        <v>1602</v>
      </c>
      <c r="M30" s="2196" t="s">
        <v>5247</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6" customHeight="1">
      <c r="A31" s="3769"/>
      <c r="B31" s="2279" t="str">
        <f t="shared" si="3"/>
        <v>2200001968</v>
      </c>
      <c r="C31" s="1545" t="s">
        <v>3668</v>
      </c>
      <c r="D31" s="2613"/>
      <c r="E31" s="1543"/>
      <c r="F31" s="1545" t="s">
        <v>14</v>
      </c>
      <c r="G31" s="1543"/>
      <c r="H31" s="1543"/>
      <c r="I31" s="1495" t="s">
        <v>65</v>
      </c>
      <c r="J31" s="1495" t="s">
        <v>1000</v>
      </c>
      <c r="K31" s="1600" t="s">
        <v>6946</v>
      </c>
      <c r="L31" s="2357">
        <v>1734</v>
      </c>
      <c r="M31" s="2196" t="s">
        <v>5247</v>
      </c>
      <c r="N31" s="1860" t="s">
        <v>6947</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349999999999994" customHeight="1">
      <c r="A32" s="2582">
        <v>10</v>
      </c>
      <c r="B32" s="2279" t="str">
        <f t="shared" ref="B32:B41" si="4">TEXT(LEFT(K32,10),"0000000000")</f>
        <v>2000002878</v>
      </c>
      <c r="C32" s="2263" t="s">
        <v>97</v>
      </c>
      <c r="D32" s="2456">
        <v>4620</v>
      </c>
      <c r="E32" s="2187" t="s">
        <v>6948</v>
      </c>
      <c r="F32" s="2263" t="s">
        <v>18</v>
      </c>
      <c r="G32" s="2187" t="s">
        <v>6949</v>
      </c>
      <c r="H32" s="2187" t="s">
        <v>6950</v>
      </c>
      <c r="I32" s="1921" t="s">
        <v>65</v>
      </c>
      <c r="J32" s="2187" t="s">
        <v>106</v>
      </c>
      <c r="K32" s="2682" t="s">
        <v>6951</v>
      </c>
      <c r="L32" s="2564">
        <v>4620</v>
      </c>
      <c r="M32" s="1909" t="s">
        <v>6952</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6" customHeight="1">
      <c r="A33" s="3768">
        <v>11</v>
      </c>
      <c r="B33" s="2279" t="str">
        <f>TEXT(LEFT(K33,10),"0000000000")</f>
        <v>2400001161</v>
      </c>
      <c r="C33" s="2263" t="s">
        <v>6953</v>
      </c>
      <c r="D33" s="2456">
        <v>1619</v>
      </c>
      <c r="E33" s="2187" t="s">
        <v>6954</v>
      </c>
      <c r="F33" s="2263" t="s">
        <v>6065</v>
      </c>
      <c r="G33" s="2187" t="s">
        <v>6955</v>
      </c>
      <c r="H33" s="2261" t="s">
        <v>6956</v>
      </c>
      <c r="I33" s="1921" t="s">
        <v>65</v>
      </c>
      <c r="J33" s="1561" t="s">
        <v>6957</v>
      </c>
      <c r="K33" s="1911" t="s">
        <v>6958</v>
      </c>
      <c r="L33" s="2635">
        <v>25</v>
      </c>
      <c r="M33" s="2196" t="s">
        <v>5255</v>
      </c>
      <c r="N33" s="2565"/>
      <c r="O33" s="1852">
        <v>1</v>
      </c>
      <c r="R33" s="2263"/>
      <c r="S33" s="2263"/>
      <c r="T33" s="2263"/>
    </row>
    <row r="34" spans="1:56" s="1559" customFormat="1" ht="58.6" customHeight="1">
      <c r="A34" s="3770"/>
      <c r="B34" s="2279" t="str">
        <f t="shared" si="4"/>
        <v>2400001162</v>
      </c>
      <c r="C34" s="2263" t="s">
        <v>6953</v>
      </c>
      <c r="D34" s="2613"/>
      <c r="E34" s="1543"/>
      <c r="F34" s="1545"/>
      <c r="G34" s="1543"/>
      <c r="H34" s="1543"/>
      <c r="I34" s="1495" t="s">
        <v>65</v>
      </c>
      <c r="J34" s="1899" t="s">
        <v>6957</v>
      </c>
      <c r="K34" s="1547" t="s">
        <v>6959</v>
      </c>
      <c r="L34" s="2636">
        <v>25</v>
      </c>
      <c r="M34" s="2196" t="s">
        <v>5255</v>
      </c>
      <c r="N34" s="2544"/>
      <c r="O34" s="1852">
        <v>1</v>
      </c>
      <c r="R34" s="1545"/>
      <c r="S34" s="1545"/>
      <c r="T34" s="1545"/>
    </row>
    <row r="35" spans="1:56" s="1559" customFormat="1" ht="58.6" customHeight="1">
      <c r="A35" s="3770"/>
      <c r="B35" s="2279" t="str">
        <f t="shared" si="4"/>
        <v>2400001163</v>
      </c>
      <c r="C35" s="2263" t="s">
        <v>6953</v>
      </c>
      <c r="D35" s="2613"/>
      <c r="E35" s="1543"/>
      <c r="F35" s="1545"/>
      <c r="G35" s="1543"/>
      <c r="H35" s="1543"/>
      <c r="I35" s="1773" t="s">
        <v>65</v>
      </c>
      <c r="J35" s="1495" t="s">
        <v>6957</v>
      </c>
      <c r="K35" s="1771" t="s">
        <v>6960</v>
      </c>
      <c r="L35" s="2636">
        <v>900</v>
      </c>
      <c r="M35" s="1493" t="s">
        <v>5255</v>
      </c>
      <c r="N35" s="2544" t="s">
        <v>6961</v>
      </c>
      <c r="O35" s="1852">
        <v>1</v>
      </c>
      <c r="R35" s="1545"/>
      <c r="S35" s="1545"/>
      <c r="T35" s="1545"/>
    </row>
    <row r="36" spans="1:56" s="1559" customFormat="1" ht="58.6" customHeight="1">
      <c r="A36" s="3770"/>
      <c r="B36" s="2279" t="str">
        <f t="shared" si="4"/>
        <v>2400001160</v>
      </c>
      <c r="C36" s="2263" t="s">
        <v>6953</v>
      </c>
      <c r="D36" s="2613"/>
      <c r="E36" s="1543"/>
      <c r="F36" s="1545"/>
      <c r="G36" s="1543"/>
      <c r="H36" s="1543"/>
      <c r="I36" s="1495" t="s">
        <v>65</v>
      </c>
      <c r="J36" s="1872" t="s">
        <v>6957</v>
      </c>
      <c r="K36" s="1547" t="s">
        <v>6962</v>
      </c>
      <c r="L36" s="2636">
        <v>200</v>
      </c>
      <c r="M36" s="1493" t="s">
        <v>5255</v>
      </c>
      <c r="N36" s="2544"/>
      <c r="O36" s="1852">
        <v>1</v>
      </c>
      <c r="R36" s="1545"/>
      <c r="S36" s="1545"/>
      <c r="T36" s="1545"/>
    </row>
    <row r="37" spans="1:56" s="1548" customFormat="1" ht="58.6" customHeight="1">
      <c r="A37" s="3770"/>
      <c r="B37" s="2279" t="str">
        <f t="shared" si="4"/>
        <v>2400001183</v>
      </c>
      <c r="C37" s="2263" t="s">
        <v>6953</v>
      </c>
      <c r="D37" s="1494"/>
      <c r="E37" s="1770"/>
      <c r="G37" s="1770"/>
      <c r="H37" s="1770"/>
      <c r="I37" s="1495" t="s">
        <v>65</v>
      </c>
      <c r="J37" s="1495" t="s">
        <v>6957</v>
      </c>
      <c r="K37" s="2683" t="s">
        <v>6963</v>
      </c>
      <c r="L37" s="2637">
        <v>100</v>
      </c>
      <c r="M37" s="1748" t="s">
        <v>6964</v>
      </c>
      <c r="N37" s="2590" t="s">
        <v>6965</v>
      </c>
      <c r="O37" s="1790">
        <v>1</v>
      </c>
    </row>
    <row r="38" spans="1:56" s="1548" customFormat="1" ht="58.6" customHeight="1">
      <c r="A38" s="3770"/>
      <c r="B38" s="2279" t="str">
        <f t="shared" si="4"/>
        <v>2400001165</v>
      </c>
      <c r="C38" s="2263" t="s">
        <v>6953</v>
      </c>
      <c r="D38" s="1494"/>
      <c r="E38" s="1770"/>
      <c r="G38" s="1770"/>
      <c r="H38" s="1770"/>
      <c r="I38" s="1495" t="s">
        <v>65</v>
      </c>
      <c r="J38" s="1495" t="s">
        <v>6957</v>
      </c>
      <c r="K38" s="2683" t="s">
        <v>6966</v>
      </c>
      <c r="L38" s="2637">
        <v>300</v>
      </c>
      <c r="M38" s="1493" t="s">
        <v>5255</v>
      </c>
      <c r="N38" s="2590"/>
      <c r="O38" s="1790">
        <v>1</v>
      </c>
    </row>
    <row r="39" spans="1:56" s="1548" customFormat="1" ht="58.6" customHeight="1">
      <c r="A39" s="3770"/>
      <c r="B39" s="2279" t="str">
        <f t="shared" si="4"/>
        <v>2400001184</v>
      </c>
      <c r="C39" s="2263" t="s">
        <v>6953</v>
      </c>
      <c r="D39" s="1494"/>
      <c r="E39" s="1770"/>
      <c r="G39" s="1770"/>
      <c r="H39" s="1770"/>
      <c r="I39" s="1495" t="s">
        <v>65</v>
      </c>
      <c r="J39" s="1495" t="s">
        <v>6957</v>
      </c>
      <c r="K39" s="2683" t="s">
        <v>6967</v>
      </c>
      <c r="L39" s="2637">
        <v>69</v>
      </c>
      <c r="M39" s="1493" t="s">
        <v>5255</v>
      </c>
      <c r="N39" s="2590" t="s">
        <v>6965</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5896</v>
      </c>
      <c r="D40" s="2607">
        <v>11900</v>
      </c>
      <c r="E40" s="1921" t="s">
        <v>6968</v>
      </c>
      <c r="F40" s="1902" t="s">
        <v>14</v>
      </c>
      <c r="G40" s="1921" t="s">
        <v>6969</v>
      </c>
      <c r="H40" s="1909" t="s">
        <v>6935</v>
      </c>
      <c r="I40" s="1921" t="s">
        <v>65</v>
      </c>
      <c r="J40" s="1921" t="s">
        <v>294</v>
      </c>
      <c r="K40" s="2617" t="s">
        <v>6970</v>
      </c>
      <c r="L40" s="2564">
        <v>12000</v>
      </c>
      <c r="M40" s="2196" t="s">
        <v>5230</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2962</v>
      </c>
      <c r="D41" s="2607">
        <v>6000</v>
      </c>
      <c r="E41" s="1921" t="s">
        <v>6971</v>
      </c>
      <c r="F41" s="1902" t="s">
        <v>14</v>
      </c>
      <c r="G41" s="1921" t="s">
        <v>4178</v>
      </c>
      <c r="H41" s="1921"/>
      <c r="I41" s="1921" t="s">
        <v>65</v>
      </c>
      <c r="J41" s="1921" t="s">
        <v>66</v>
      </c>
      <c r="K41" s="1845" t="s">
        <v>6936</v>
      </c>
      <c r="L41" s="2583">
        <v>6000</v>
      </c>
      <c r="M41" s="2196" t="s">
        <v>5230</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68">
        <v>14</v>
      </c>
      <c r="B42" s="2279" t="str">
        <f t="shared" ref="B42:B66" si="5">TEXT(LEFT(K42,10),"0000000000")</f>
        <v>2000002864</v>
      </c>
      <c r="C42" s="2263" t="s">
        <v>3464</v>
      </c>
      <c r="D42" s="2456">
        <v>3140</v>
      </c>
      <c r="E42" s="1921" t="s">
        <v>6972</v>
      </c>
      <c r="F42" s="2263" t="s">
        <v>20</v>
      </c>
      <c r="G42" s="2187" t="s">
        <v>6973</v>
      </c>
      <c r="H42" s="2187" t="s">
        <v>6974</v>
      </c>
      <c r="I42" s="1921" t="s">
        <v>65</v>
      </c>
      <c r="J42" s="2187" t="s">
        <v>117</v>
      </c>
      <c r="K42" s="2617" t="s">
        <v>6975</v>
      </c>
      <c r="L42" s="2564">
        <v>200</v>
      </c>
      <c r="M42" s="2196" t="s">
        <v>5230</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70"/>
      <c r="B43" s="2279" t="str">
        <f t="shared" si="5"/>
        <v>2000002879</v>
      </c>
      <c r="C43" s="1545" t="s">
        <v>3464</v>
      </c>
      <c r="D43" s="2613"/>
      <c r="E43" s="1543" t="s">
        <v>166</v>
      </c>
      <c r="F43" s="1545" t="s">
        <v>20</v>
      </c>
      <c r="G43" s="1543"/>
      <c r="H43" s="1543"/>
      <c r="I43" s="1495" t="s">
        <v>65</v>
      </c>
      <c r="J43" s="1543" t="s">
        <v>164</v>
      </c>
      <c r="K43" s="1828" t="s">
        <v>6976</v>
      </c>
      <c r="L43" s="2543">
        <v>2200</v>
      </c>
      <c r="M43" s="1495" t="s">
        <v>5255</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70"/>
      <c r="B44" s="2279" t="str">
        <f t="shared" si="5"/>
        <v>2000002813</v>
      </c>
      <c r="C44" s="1545" t="s">
        <v>3464</v>
      </c>
      <c r="D44" s="1494"/>
      <c r="E44" s="1495"/>
      <c r="F44" s="1545" t="s">
        <v>20</v>
      </c>
      <c r="G44" s="1495"/>
      <c r="H44" s="1495"/>
      <c r="I44" s="1495" t="s">
        <v>65</v>
      </c>
      <c r="J44" s="1495" t="s">
        <v>1271</v>
      </c>
      <c r="K44" s="1600" t="s">
        <v>6977</v>
      </c>
      <c r="L44" s="2357">
        <v>500</v>
      </c>
      <c r="M44" s="2196" t="s">
        <v>5255</v>
      </c>
      <c r="N44" s="1859" t="s">
        <v>6978</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69"/>
      <c r="B45" s="2279" t="str">
        <f t="shared" si="5"/>
        <v>2000002792</v>
      </c>
      <c r="C45" s="1545" t="s">
        <v>3464</v>
      </c>
      <c r="D45" s="2613"/>
      <c r="E45" s="1543"/>
      <c r="F45" s="1545" t="s">
        <v>20</v>
      </c>
      <c r="G45" s="1543"/>
      <c r="H45" s="1543"/>
      <c r="I45" s="1495" t="s">
        <v>65</v>
      </c>
      <c r="J45" s="1495" t="s">
        <v>164</v>
      </c>
      <c r="K45" s="1600" t="s">
        <v>6979</v>
      </c>
      <c r="L45" s="2357">
        <v>240</v>
      </c>
      <c r="M45" s="2196" t="s">
        <v>6980</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68">
        <v>15</v>
      </c>
      <c r="B46" s="2279" t="str">
        <f t="shared" si="5"/>
        <v>2000002824</v>
      </c>
      <c r="C46" s="1902" t="s">
        <v>3772</v>
      </c>
      <c r="D46" s="2607">
        <v>8500</v>
      </c>
      <c r="E46" s="1921" t="s">
        <v>6981</v>
      </c>
      <c r="F46" s="1902" t="s">
        <v>16</v>
      </c>
      <c r="G46" s="1921" t="s">
        <v>6982</v>
      </c>
      <c r="H46" s="1909" t="s">
        <v>6935</v>
      </c>
      <c r="I46" s="1921" t="s">
        <v>65</v>
      </c>
      <c r="J46" s="1921" t="s">
        <v>1179</v>
      </c>
      <c r="K46" s="1845" t="s">
        <v>6983</v>
      </c>
      <c r="L46" s="2337">
        <v>4500</v>
      </c>
      <c r="M46" s="1493" t="s">
        <v>5255</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35" customHeight="1">
      <c r="A47" s="3769"/>
      <c r="B47" s="2279" t="str">
        <f t="shared" si="5"/>
        <v>2000002825</v>
      </c>
      <c r="C47" s="1493" t="s">
        <v>3772</v>
      </c>
      <c r="D47" s="1494"/>
      <c r="E47" s="1495"/>
      <c r="F47" s="1493" t="s">
        <v>16</v>
      </c>
      <c r="G47" s="1495"/>
      <c r="H47" s="1495"/>
      <c r="I47" s="1495" t="s">
        <v>65</v>
      </c>
      <c r="J47" s="1495" t="s">
        <v>1179</v>
      </c>
      <c r="K47" s="1496" t="s">
        <v>6984</v>
      </c>
      <c r="L47" s="2357">
        <v>4000</v>
      </c>
      <c r="M47" s="1493" t="s">
        <v>5255</v>
      </c>
      <c r="N47" s="1859"/>
      <c r="O47" s="1790">
        <v>1</v>
      </c>
      <c r="R47" s="1493"/>
      <c r="S47" s="1493"/>
      <c r="T47" s="1493"/>
    </row>
    <row r="48" spans="1:56" s="2150" customFormat="1" ht="58.6" customHeight="1">
      <c r="A48" s="3771">
        <v>16</v>
      </c>
      <c r="B48" s="2279" t="str">
        <f t="shared" si="5"/>
        <v>2000002892</v>
      </c>
      <c r="C48" s="2263" t="s">
        <v>6985</v>
      </c>
      <c r="D48" s="2456">
        <v>4300</v>
      </c>
      <c r="E48" s="2187" t="s">
        <v>6986</v>
      </c>
      <c r="F48" s="2263" t="s">
        <v>22</v>
      </c>
      <c r="G48" s="2187" t="s">
        <v>6987</v>
      </c>
      <c r="H48" s="2187"/>
      <c r="I48" s="1921" t="s">
        <v>65</v>
      </c>
      <c r="J48" s="1921" t="s">
        <v>106</v>
      </c>
      <c r="K48" s="1845" t="s">
        <v>6988</v>
      </c>
      <c r="L48" s="2583">
        <v>1000</v>
      </c>
      <c r="M48" s="1921" t="s">
        <v>6989</v>
      </c>
      <c r="N48" s="2565"/>
      <c r="O48" s="1852">
        <v>1</v>
      </c>
      <c r="P48" s="2127"/>
      <c r="Q48" s="2127"/>
      <c r="R48" s="2263"/>
      <c r="S48" s="2263"/>
      <c r="T48" s="2263"/>
      <c r="U48" s="2127"/>
    </row>
    <row r="49" spans="1:56" s="2150" customFormat="1" ht="58.6" customHeight="1">
      <c r="A49" s="3772"/>
      <c r="B49" s="2279" t="str">
        <f t="shared" si="5"/>
        <v>2000002911</v>
      </c>
      <c r="C49" s="1545" t="s">
        <v>6985</v>
      </c>
      <c r="D49" s="1494"/>
      <c r="E49" s="1770"/>
      <c r="F49" s="1545" t="s">
        <v>22</v>
      </c>
      <c r="G49" s="2187"/>
      <c r="H49" s="2187"/>
      <c r="I49" s="1495" t="s">
        <v>65</v>
      </c>
      <c r="J49" s="1495" t="s">
        <v>106</v>
      </c>
      <c r="K49" s="1600" t="s">
        <v>6990</v>
      </c>
      <c r="L49" s="2357">
        <v>500</v>
      </c>
      <c r="M49" s="1493" t="s">
        <v>5255</v>
      </c>
      <c r="N49" s="2565"/>
      <c r="O49" s="1852">
        <v>1</v>
      </c>
      <c r="P49" s="2127"/>
      <c r="Q49" s="2127"/>
      <c r="R49" s="2263"/>
      <c r="S49" s="2263"/>
      <c r="T49" s="2263"/>
      <c r="U49" s="2643"/>
    </row>
    <row r="50" spans="1:56" s="2150" customFormat="1" ht="58.6" customHeight="1">
      <c r="A50" s="3773"/>
      <c r="B50" s="2279" t="str">
        <f t="shared" si="5"/>
        <v>2000002898</v>
      </c>
      <c r="C50" s="1545" t="s">
        <v>6985</v>
      </c>
      <c r="D50" s="1494"/>
      <c r="E50" s="1770"/>
      <c r="F50" s="1545" t="s">
        <v>22</v>
      </c>
      <c r="G50" s="1770"/>
      <c r="H50" s="1770"/>
      <c r="I50" s="1495" t="s">
        <v>65</v>
      </c>
      <c r="J50" s="1495" t="s">
        <v>5270</v>
      </c>
      <c r="K50" s="1547" t="s">
        <v>6991</v>
      </c>
      <c r="L50" s="2357">
        <v>2800</v>
      </c>
      <c r="M50" s="1495" t="s">
        <v>5255</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68">
        <v>17</v>
      </c>
      <c r="B51" s="2279" t="str">
        <f t="shared" si="5"/>
        <v>2000002857</v>
      </c>
      <c r="C51" s="2263" t="s">
        <v>5896</v>
      </c>
      <c r="D51" s="2607">
        <v>11900</v>
      </c>
      <c r="E51" s="1921" t="s">
        <v>6992</v>
      </c>
      <c r="F51" s="2263" t="s">
        <v>14</v>
      </c>
      <c r="G51" s="1921" t="s">
        <v>6993</v>
      </c>
      <c r="H51" s="1921"/>
      <c r="I51" s="1921" t="s">
        <v>65</v>
      </c>
      <c r="J51" s="1921" t="s">
        <v>164</v>
      </c>
      <c r="K51" s="2194" t="s">
        <v>6994</v>
      </c>
      <c r="L51" s="2645">
        <v>3000</v>
      </c>
      <c r="M51" s="2196" t="s">
        <v>6995</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70"/>
      <c r="B52" s="2279" t="str">
        <f t="shared" si="5"/>
        <v>2000002854</v>
      </c>
      <c r="C52" s="1545" t="s">
        <v>5896</v>
      </c>
      <c r="D52" s="1808"/>
      <c r="E52" s="1495"/>
      <c r="F52" s="1545" t="s">
        <v>14</v>
      </c>
      <c r="G52" s="1495"/>
      <c r="H52" s="1495"/>
      <c r="I52" s="1495" t="s">
        <v>65</v>
      </c>
      <c r="J52" s="1495" t="s">
        <v>164</v>
      </c>
      <c r="K52" s="1496" t="s">
        <v>6996</v>
      </c>
      <c r="L52" s="2357">
        <v>2000</v>
      </c>
      <c r="M52" s="1495" t="s">
        <v>6997</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70"/>
      <c r="B53" s="2279" t="str">
        <f t="shared" si="5"/>
        <v>2000002914</v>
      </c>
      <c r="C53" s="1545" t="s">
        <v>5896</v>
      </c>
      <c r="D53" s="1808"/>
      <c r="E53" s="1495"/>
      <c r="F53" s="1545" t="s">
        <v>14</v>
      </c>
      <c r="G53" s="1495"/>
      <c r="H53" s="1495"/>
      <c r="I53" s="1495" t="s">
        <v>65</v>
      </c>
      <c r="J53" s="1495" t="s">
        <v>164</v>
      </c>
      <c r="K53" s="1496" t="s">
        <v>6998</v>
      </c>
      <c r="L53" s="2357">
        <v>2000</v>
      </c>
      <c r="M53" s="2196" t="s">
        <v>6995</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70"/>
      <c r="B54" s="2279" t="str">
        <f t="shared" si="5"/>
        <v>2000002885</v>
      </c>
      <c r="C54" s="1545" t="s">
        <v>5896</v>
      </c>
      <c r="D54" s="1494"/>
      <c r="E54" s="1495"/>
      <c r="F54" s="1545" t="s">
        <v>14</v>
      </c>
      <c r="G54" s="1495"/>
      <c r="H54" s="1495"/>
      <c r="I54" s="1495" t="s">
        <v>65</v>
      </c>
      <c r="J54" s="1495" t="s">
        <v>1271</v>
      </c>
      <c r="K54" s="1547" t="s">
        <v>6999</v>
      </c>
      <c r="L54" s="2357">
        <v>5000</v>
      </c>
      <c r="M54" s="2196" t="s">
        <v>7000</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68">
        <v>18</v>
      </c>
      <c r="B55" s="1568" t="str">
        <f t="shared" si="5"/>
        <v>2200001970</v>
      </c>
      <c r="C55" s="2263" t="s">
        <v>7001</v>
      </c>
      <c r="D55" s="2607">
        <v>3800</v>
      </c>
      <c r="E55" s="1921" t="s">
        <v>7002</v>
      </c>
      <c r="F55" s="2263" t="s">
        <v>14</v>
      </c>
      <c r="G55" s="2187" t="s">
        <v>7003</v>
      </c>
      <c r="H55" s="1916"/>
      <c r="I55" s="1921" t="s">
        <v>65</v>
      </c>
      <c r="J55" s="1921" t="s">
        <v>142</v>
      </c>
      <c r="K55" s="1496" t="s">
        <v>7004</v>
      </c>
      <c r="L55" s="2646">
        <v>1300</v>
      </c>
      <c r="M55" s="2196" t="s">
        <v>6941</v>
      </c>
      <c r="N55" s="1862" t="s">
        <v>7005</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69"/>
      <c r="B56" s="1568" t="str">
        <f t="shared" si="5"/>
        <v>2000002876</v>
      </c>
      <c r="C56" s="1545" t="s">
        <v>7001</v>
      </c>
      <c r="D56" s="1808"/>
      <c r="E56" s="1495"/>
      <c r="F56" s="1545" t="s">
        <v>14</v>
      </c>
      <c r="G56" s="1495"/>
      <c r="H56" s="1495"/>
      <c r="I56" s="1495" t="s">
        <v>65</v>
      </c>
      <c r="J56" s="1495" t="s">
        <v>142</v>
      </c>
      <c r="K56" s="1600" t="s">
        <v>7006</v>
      </c>
      <c r="L56" s="2357">
        <v>2500</v>
      </c>
      <c r="M56" s="1495" t="s">
        <v>5255</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3" customHeight="1">
      <c r="A57" s="3776">
        <v>19</v>
      </c>
      <c r="B57" s="2279" t="str">
        <f t="shared" si="5"/>
        <v>2000002885</v>
      </c>
      <c r="C57" s="2263" t="s">
        <v>3150</v>
      </c>
      <c r="D57" s="2607">
        <v>18500</v>
      </c>
      <c r="E57" s="1921" t="s">
        <v>7007</v>
      </c>
      <c r="F57" s="2263" t="s">
        <v>16</v>
      </c>
      <c r="G57" s="1921" t="s">
        <v>7008</v>
      </c>
      <c r="H57" s="1921"/>
      <c r="I57" s="1921" t="s">
        <v>65</v>
      </c>
      <c r="J57" s="1921" t="s">
        <v>1271</v>
      </c>
      <c r="K57" s="1911" t="s">
        <v>6999</v>
      </c>
      <c r="L57" s="2583">
        <v>7600</v>
      </c>
      <c r="M57" s="2196" t="s">
        <v>5230</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76"/>
      <c r="B58" s="1568" t="str">
        <f t="shared" si="5"/>
        <v>2000002907</v>
      </c>
      <c r="C58" s="1545" t="s">
        <v>3150</v>
      </c>
      <c r="D58" s="1808"/>
      <c r="E58" s="1495"/>
      <c r="F58" s="1545" t="s">
        <v>16</v>
      </c>
      <c r="G58" s="1495"/>
      <c r="H58" s="1495"/>
      <c r="I58" s="1495" t="s">
        <v>65</v>
      </c>
      <c r="J58" s="1495" t="s">
        <v>106</v>
      </c>
      <c r="K58" s="1496" t="s">
        <v>7009</v>
      </c>
      <c r="L58" s="2357">
        <v>4100</v>
      </c>
      <c r="M58" s="1748" t="s">
        <v>5255</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76"/>
      <c r="B59" s="1568" t="str">
        <f t="shared" si="5"/>
        <v>2000002929</v>
      </c>
      <c r="C59" s="1545" t="s">
        <v>3150</v>
      </c>
      <c r="D59" s="1808"/>
      <c r="E59" s="1495"/>
      <c r="F59" s="1545" t="s">
        <v>16</v>
      </c>
      <c r="G59" s="1495"/>
      <c r="H59" s="1495"/>
      <c r="I59" s="1495" t="s">
        <v>65</v>
      </c>
      <c r="J59" s="1495" t="s">
        <v>106</v>
      </c>
      <c r="K59" s="1496" t="s">
        <v>7010</v>
      </c>
      <c r="L59" s="2543">
        <v>1200</v>
      </c>
      <c r="M59" s="1748" t="s">
        <v>5255</v>
      </c>
      <c r="N59" s="1775"/>
      <c r="O59" s="2626">
        <v>2</v>
      </c>
      <c r="R59" s="1902"/>
      <c r="S59" s="1902"/>
      <c r="T59" s="1902"/>
      <c r="U59" s="2643"/>
    </row>
    <row r="60" spans="1:56" s="2150" customFormat="1" ht="44.35" customHeight="1">
      <c r="A60" s="3776"/>
      <c r="B60" s="1568" t="str">
        <f t="shared" si="5"/>
        <v>2000002912</v>
      </c>
      <c r="C60" s="1545" t="s">
        <v>3150</v>
      </c>
      <c r="D60" s="1494"/>
      <c r="E60" s="1770"/>
      <c r="F60" s="1545" t="s">
        <v>16</v>
      </c>
      <c r="G60" s="1774"/>
      <c r="H60" s="1770"/>
      <c r="I60" s="1495" t="s">
        <v>65</v>
      </c>
      <c r="J60" s="1495" t="s">
        <v>106</v>
      </c>
      <c r="K60" s="1828" t="s">
        <v>7011</v>
      </c>
      <c r="L60" s="2543">
        <v>2608</v>
      </c>
      <c r="M60" s="1748" t="s">
        <v>7012</v>
      </c>
      <c r="N60" s="1775"/>
      <c r="O60" s="2626">
        <v>2</v>
      </c>
      <c r="U60" s="2643"/>
    </row>
    <row r="61" spans="1:56" s="2150" customFormat="1" ht="66.75" customHeight="1">
      <c r="A61" s="3776"/>
      <c r="B61" s="1568" t="str">
        <f t="shared" si="5"/>
        <v>2000002910</v>
      </c>
      <c r="C61" s="1545" t="s">
        <v>3150</v>
      </c>
      <c r="D61" s="1808"/>
      <c r="E61" s="1495"/>
      <c r="F61" s="1545" t="s">
        <v>16</v>
      </c>
      <c r="G61" s="1495"/>
      <c r="H61" s="1495"/>
      <c r="I61" s="1495" t="s">
        <v>65</v>
      </c>
      <c r="J61" s="1495" t="s">
        <v>106</v>
      </c>
      <c r="K61" s="1600" t="s">
        <v>7013</v>
      </c>
      <c r="L61" s="2357">
        <v>3000</v>
      </c>
      <c r="M61" s="1748" t="s">
        <v>5255</v>
      </c>
      <c r="N61" s="1775"/>
      <c r="O61" s="2429">
        <v>2</v>
      </c>
      <c r="R61" s="1902"/>
      <c r="S61" s="1902"/>
      <c r="T61" s="1902"/>
      <c r="U61" s="2643"/>
    </row>
    <row r="62" spans="1:56" s="2150" customFormat="1" ht="50.3" customHeight="1">
      <c r="A62" s="3768">
        <v>20</v>
      </c>
      <c r="B62" s="2279" t="str">
        <f>TEXT(LEFT(K62,10),"0000000000")</f>
        <v>2000002906</v>
      </c>
      <c r="C62" s="1902" t="s">
        <v>234</v>
      </c>
      <c r="D62" s="2607">
        <v>11700</v>
      </c>
      <c r="E62" s="1921" t="s">
        <v>7014</v>
      </c>
      <c r="F62" s="1902" t="s">
        <v>16</v>
      </c>
      <c r="G62" s="1921" t="s">
        <v>7015</v>
      </c>
      <c r="H62" s="1921"/>
      <c r="I62" s="1921" t="s">
        <v>65</v>
      </c>
      <c r="J62" s="1921" t="s">
        <v>1179</v>
      </c>
      <c r="K62" s="1911" t="s">
        <v>7016</v>
      </c>
      <c r="L62" s="2583">
        <v>500</v>
      </c>
      <c r="M62" s="1748" t="s">
        <v>7017</v>
      </c>
      <c r="N62" s="1775"/>
      <c r="O62" s="2429">
        <v>2</v>
      </c>
      <c r="R62" s="1902"/>
      <c r="S62" s="1902"/>
      <c r="T62" s="1902"/>
      <c r="U62" s="2643"/>
    </row>
    <row r="63" spans="1:56" s="2150" customFormat="1" ht="53.35" customHeight="1">
      <c r="A63" s="3770"/>
      <c r="B63" s="1568" t="str">
        <f>TEXT(LEFT(K63,10),"0000000000")</f>
        <v>2000002909</v>
      </c>
      <c r="C63" s="1493" t="s">
        <v>234</v>
      </c>
      <c r="D63" s="1808"/>
      <c r="E63" s="1495"/>
      <c r="F63" s="1493" t="s">
        <v>16</v>
      </c>
      <c r="G63" s="1495"/>
      <c r="H63" s="1495"/>
      <c r="I63" s="1495" t="s">
        <v>65</v>
      </c>
      <c r="J63" s="1495" t="s">
        <v>1179</v>
      </c>
      <c r="K63" s="1600" t="s">
        <v>7018</v>
      </c>
      <c r="L63" s="2357">
        <v>5000</v>
      </c>
      <c r="M63" s="1495" t="s">
        <v>5255</v>
      </c>
      <c r="N63" s="1775"/>
      <c r="O63" s="2429">
        <v>2</v>
      </c>
      <c r="R63" s="1902"/>
      <c r="S63" s="1902"/>
      <c r="T63" s="1902"/>
      <c r="U63" s="2643"/>
    </row>
    <row r="64" spans="1:56" s="2150" customFormat="1" ht="58.6" customHeight="1">
      <c r="A64" s="3770"/>
      <c r="B64" s="1568" t="str">
        <f>TEXT(LEFT(K64,10),"0000000000")</f>
        <v>2000002931</v>
      </c>
      <c r="C64" s="1493" t="s">
        <v>234</v>
      </c>
      <c r="D64" s="1808"/>
      <c r="E64" s="1495"/>
      <c r="F64" s="1493" t="s">
        <v>16</v>
      </c>
      <c r="G64" s="1495"/>
      <c r="H64" s="1495"/>
      <c r="I64" s="1495" t="s">
        <v>65</v>
      </c>
      <c r="J64" s="1495" t="s">
        <v>1179</v>
      </c>
      <c r="K64" s="1600" t="s">
        <v>7019</v>
      </c>
      <c r="L64" s="2357">
        <v>400</v>
      </c>
      <c r="M64" s="1495" t="s">
        <v>5255</v>
      </c>
      <c r="N64" s="1775" t="s">
        <v>7020</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8" customHeight="1">
      <c r="A65" s="3770"/>
      <c r="B65" s="1568" t="str">
        <f>TEXT(LEFT(K65,10),"0000000000")</f>
        <v>2200001954</v>
      </c>
      <c r="C65" s="1493" t="s">
        <v>234</v>
      </c>
      <c r="D65" s="2325"/>
      <c r="E65" s="1495"/>
      <c r="F65" s="1493" t="s">
        <v>16</v>
      </c>
      <c r="G65" s="1495"/>
      <c r="H65" s="1495"/>
      <c r="I65" s="1495" t="s">
        <v>65</v>
      </c>
      <c r="J65" s="1495" t="s">
        <v>1179</v>
      </c>
      <c r="K65" s="1600" t="s">
        <v>7021</v>
      </c>
      <c r="L65" s="2357">
        <v>6000</v>
      </c>
      <c r="M65" s="2196" t="s">
        <v>7022</v>
      </c>
      <c r="N65" s="1862" t="s">
        <v>7023</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3499</v>
      </c>
      <c r="D66" s="2607">
        <v>4000</v>
      </c>
      <c r="E66" s="1921" t="s">
        <v>7024</v>
      </c>
      <c r="F66" s="1902" t="s">
        <v>20</v>
      </c>
      <c r="G66" s="1921" t="s">
        <v>7025</v>
      </c>
      <c r="H66" s="1921"/>
      <c r="I66" s="1921" t="s">
        <v>65</v>
      </c>
      <c r="J66" s="1921" t="s">
        <v>240</v>
      </c>
      <c r="K66" s="2194" t="s">
        <v>7026</v>
      </c>
      <c r="L66" s="2645">
        <v>4000</v>
      </c>
      <c r="M66" s="2196" t="s">
        <v>5230</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1.95" customHeight="1">
      <c r="A67" s="3771">
        <v>22</v>
      </c>
      <c r="B67" s="2647" t="str">
        <f t="shared" ref="B67:B92" si="6">TEXT(LEFT(K67,10),"0000000000")</f>
        <v>2400001158</v>
      </c>
      <c r="C67" s="1902" t="s">
        <v>7027</v>
      </c>
      <c r="D67" s="2607">
        <f>SUM(L67:L78)</f>
        <v>8200</v>
      </c>
      <c r="E67" s="1921" t="s">
        <v>7028</v>
      </c>
      <c r="F67" s="1902" t="s">
        <v>38</v>
      </c>
      <c r="G67" s="1921" t="s">
        <v>7029</v>
      </c>
      <c r="H67" s="1921"/>
      <c r="I67" s="1921" t="s">
        <v>65</v>
      </c>
      <c r="J67" s="1921" t="s">
        <v>308</v>
      </c>
      <c r="K67" s="1862" t="s">
        <v>7030</v>
      </c>
      <c r="L67" s="2583">
        <v>650</v>
      </c>
      <c r="M67" s="2196" t="s">
        <v>5230</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1.95" customHeight="1">
      <c r="A68" s="3772"/>
      <c r="B68" s="2279" t="str">
        <f t="shared" si="6"/>
        <v>2400001159</v>
      </c>
      <c r="C68" s="1493" t="s">
        <v>7027</v>
      </c>
      <c r="D68" s="1808"/>
      <c r="E68" s="1495"/>
      <c r="F68" s="1493"/>
      <c r="G68" s="1495"/>
      <c r="H68" s="1495"/>
      <c r="I68" s="1495" t="s">
        <v>65</v>
      </c>
      <c r="J68" s="1495" t="s">
        <v>308</v>
      </c>
      <c r="K68" s="1843" t="s">
        <v>7031</v>
      </c>
      <c r="L68" s="2357">
        <v>775</v>
      </c>
      <c r="M68" s="2196" t="s">
        <v>5230</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1.95" customHeight="1">
      <c r="A69" s="3772"/>
      <c r="B69" s="2647" t="str">
        <f t="shared" si="6"/>
        <v>2400001173</v>
      </c>
      <c r="C69" s="1493" t="s">
        <v>7027</v>
      </c>
      <c r="D69" s="1808"/>
      <c r="E69" s="1495"/>
      <c r="F69" s="1493"/>
      <c r="G69" s="1495"/>
      <c r="H69" s="1495"/>
      <c r="I69" s="1495" t="s">
        <v>65</v>
      </c>
      <c r="J69" s="1495" t="s">
        <v>308</v>
      </c>
      <c r="K69" s="1843" t="s">
        <v>7032</v>
      </c>
      <c r="L69" s="2357">
        <v>225</v>
      </c>
      <c r="M69" s="2051" t="s">
        <v>7033</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1.95" customHeight="1">
      <c r="A70" s="3772"/>
      <c r="B70" s="2279" t="str">
        <f t="shared" si="6"/>
        <v>2400001174</v>
      </c>
      <c r="C70" s="1493" t="s">
        <v>7027</v>
      </c>
      <c r="D70" s="1808"/>
      <c r="E70" s="1495"/>
      <c r="F70" s="1493"/>
      <c r="G70" s="1495"/>
      <c r="H70" s="1495"/>
      <c r="I70" s="1495" t="s">
        <v>65</v>
      </c>
      <c r="J70" s="1495" t="s">
        <v>308</v>
      </c>
      <c r="K70" s="1843" t="s">
        <v>7034</v>
      </c>
      <c r="L70" s="2357">
        <v>50</v>
      </c>
      <c r="M70" s="1543" t="s">
        <v>5255</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1.95" customHeight="1">
      <c r="A71" s="3772"/>
      <c r="B71" s="2279" t="str">
        <f t="shared" si="6"/>
        <v>2400001169</v>
      </c>
      <c r="C71" s="1493" t="s">
        <v>7027</v>
      </c>
      <c r="D71" s="1808"/>
      <c r="E71" s="1495"/>
      <c r="F71" s="1493"/>
      <c r="G71" s="1495"/>
      <c r="H71" s="1495"/>
      <c r="I71" s="1495" t="s">
        <v>65</v>
      </c>
      <c r="J71" s="1495" t="s">
        <v>308</v>
      </c>
      <c r="K71" s="1843" t="s">
        <v>7035</v>
      </c>
      <c r="L71" s="2357">
        <v>2900</v>
      </c>
      <c r="M71" s="2196" t="s">
        <v>5230</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1.95" customHeight="1">
      <c r="A72" s="3772"/>
      <c r="B72" s="2279" t="str">
        <f t="shared" si="6"/>
        <v>2400001170</v>
      </c>
      <c r="C72" s="1493" t="s">
        <v>7027</v>
      </c>
      <c r="D72" s="1808"/>
      <c r="E72" s="1495"/>
      <c r="F72" s="1493"/>
      <c r="G72" s="1495"/>
      <c r="H72" s="1495"/>
      <c r="I72" s="1495" t="s">
        <v>65</v>
      </c>
      <c r="J72" s="1495" t="s">
        <v>308</v>
      </c>
      <c r="K72" s="1843" t="s">
        <v>7036</v>
      </c>
      <c r="L72" s="2357">
        <v>2025</v>
      </c>
      <c r="M72" s="2506" t="s">
        <v>5230</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1.95" customHeight="1">
      <c r="A73" s="3772"/>
      <c r="B73" s="2647" t="str">
        <f t="shared" si="6"/>
        <v>2400001171</v>
      </c>
      <c r="C73" s="1493" t="s">
        <v>7027</v>
      </c>
      <c r="D73" s="1808"/>
      <c r="E73" s="1495"/>
      <c r="F73" s="1493"/>
      <c r="G73" s="1495"/>
      <c r="H73" s="1495"/>
      <c r="I73" s="1495" t="s">
        <v>65</v>
      </c>
      <c r="J73" s="1495" t="s">
        <v>308</v>
      </c>
      <c r="K73" s="1843" t="s">
        <v>7037</v>
      </c>
      <c r="L73" s="2357">
        <v>800</v>
      </c>
      <c r="M73" s="2506" t="s">
        <v>5230</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8" customHeight="1">
      <c r="A74" s="3772"/>
      <c r="B74" s="2647" t="str">
        <f t="shared" si="6"/>
        <v>2400001172</v>
      </c>
      <c r="C74" s="1493" t="s">
        <v>7027</v>
      </c>
      <c r="D74" s="1808"/>
      <c r="E74" s="1495"/>
      <c r="F74" s="1493"/>
      <c r="G74" s="1495"/>
      <c r="H74" s="1495"/>
      <c r="I74" s="1495" t="s">
        <v>65</v>
      </c>
      <c r="J74" s="1495" t="s">
        <v>308</v>
      </c>
      <c r="K74" s="1843" t="s">
        <v>7038</v>
      </c>
      <c r="L74" s="2357">
        <v>100</v>
      </c>
      <c r="M74" s="2506" t="s">
        <v>5230</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8" customHeight="1">
      <c r="A75" s="3772"/>
      <c r="B75" s="2279" t="str">
        <f t="shared" si="6"/>
        <v>2400001168</v>
      </c>
      <c r="C75" s="1493" t="s">
        <v>7027</v>
      </c>
      <c r="D75" s="1808"/>
      <c r="E75" s="1495"/>
      <c r="F75" s="1493"/>
      <c r="G75" s="1495"/>
      <c r="H75" s="1495"/>
      <c r="I75" s="1495" t="s">
        <v>65</v>
      </c>
      <c r="J75" s="1495" t="s">
        <v>308</v>
      </c>
      <c r="K75" s="1843" t="s">
        <v>7039</v>
      </c>
      <c r="L75" s="2357">
        <v>175</v>
      </c>
      <c r="M75" s="1543" t="s">
        <v>5255</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8" customHeight="1">
      <c r="A76" s="3772"/>
      <c r="B76" s="2279" t="str">
        <f t="shared" si="6"/>
        <v>2400001175</v>
      </c>
      <c r="C76" s="1493" t="s">
        <v>7027</v>
      </c>
      <c r="D76" s="1808"/>
      <c r="E76" s="1495"/>
      <c r="F76" s="1493"/>
      <c r="G76" s="1495"/>
      <c r="H76" s="1495"/>
      <c r="I76" s="1495" t="s">
        <v>65</v>
      </c>
      <c r="J76" s="1495" t="s">
        <v>308</v>
      </c>
      <c r="K76" s="1547" t="s">
        <v>7040</v>
      </c>
      <c r="L76" s="2357">
        <v>325</v>
      </c>
      <c r="M76" s="2506" t="s">
        <v>5230</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8" customHeight="1">
      <c r="A77" s="3772"/>
      <c r="B77" s="2279" t="str">
        <f t="shared" si="6"/>
        <v>2400001180</v>
      </c>
      <c r="C77" s="1493" t="s">
        <v>7027</v>
      </c>
      <c r="D77" s="1808"/>
      <c r="E77" s="1495"/>
      <c r="F77" s="1493"/>
      <c r="G77" s="1495"/>
      <c r="H77" s="1495"/>
      <c r="I77" s="1495" t="s">
        <v>65</v>
      </c>
      <c r="J77" s="1495" t="s">
        <v>308</v>
      </c>
      <c r="K77" s="1547" t="s">
        <v>7041</v>
      </c>
      <c r="L77" s="2357">
        <v>100</v>
      </c>
      <c r="M77" s="1543" t="s">
        <v>5255</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8" customHeight="1">
      <c r="A78" s="3773"/>
      <c r="B78" s="2279" t="str">
        <f t="shared" si="6"/>
        <v>2400001181</v>
      </c>
      <c r="C78" s="1493" t="s">
        <v>7027</v>
      </c>
      <c r="D78" s="1808"/>
      <c r="E78" s="1495"/>
      <c r="F78" s="1493"/>
      <c r="G78" s="1495"/>
      <c r="H78" s="1495"/>
      <c r="I78" s="1495" t="s">
        <v>65</v>
      </c>
      <c r="J78" s="1495" t="s">
        <v>308</v>
      </c>
      <c r="K78" s="1547" t="s">
        <v>7042</v>
      </c>
      <c r="L78" s="2357">
        <v>75</v>
      </c>
      <c r="M78" s="1543" t="s">
        <v>5255</v>
      </c>
      <c r="N78" s="1859"/>
      <c r="O78" s="1790">
        <v>2</v>
      </c>
      <c r="P78" s="1548"/>
      <c r="Q78" s="1493"/>
      <c r="R78" s="2628"/>
      <c r="S78" s="2628"/>
      <c r="T78" s="2629"/>
      <c r="U78" s="1467"/>
    </row>
    <row r="79" spans="1:56" s="1548" customFormat="1" ht="58.6" customHeight="1">
      <c r="A79" s="3768">
        <v>23</v>
      </c>
      <c r="B79" s="1568" t="str">
        <f t="shared" si="6"/>
        <v>2200001970</v>
      </c>
      <c r="C79" s="2263" t="s">
        <v>252</v>
      </c>
      <c r="D79" s="2607">
        <v>3950</v>
      </c>
      <c r="E79" s="1921" t="s">
        <v>7043</v>
      </c>
      <c r="F79" s="2263" t="s">
        <v>20</v>
      </c>
      <c r="G79" s="2187" t="s">
        <v>7044</v>
      </c>
      <c r="H79" s="1916"/>
      <c r="I79" s="1921" t="s">
        <v>65</v>
      </c>
      <c r="J79" s="1495" t="s">
        <v>142</v>
      </c>
      <c r="K79" s="1496" t="s">
        <v>7045</v>
      </c>
      <c r="L79" s="2646">
        <v>2700</v>
      </c>
      <c r="M79" s="2385" t="s">
        <v>6941</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6" customHeight="1">
      <c r="A80" s="3769"/>
      <c r="B80" s="1568" t="str">
        <f t="shared" si="6"/>
        <v>2200001967</v>
      </c>
      <c r="C80" s="1545" t="s">
        <v>252</v>
      </c>
      <c r="D80" s="1494"/>
      <c r="E80" s="1495"/>
      <c r="F80" s="1545" t="s">
        <v>20</v>
      </c>
      <c r="G80" s="1543"/>
      <c r="H80" s="1770"/>
      <c r="I80" s="1495" t="s">
        <v>65</v>
      </c>
      <c r="J80" s="1495" t="s">
        <v>142</v>
      </c>
      <c r="K80" s="1547" t="s">
        <v>7046</v>
      </c>
      <c r="L80" s="2357">
        <v>1239</v>
      </c>
      <c r="M80" s="2196" t="s">
        <v>5247</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6" customHeight="1">
      <c r="A81" s="3768">
        <v>24</v>
      </c>
      <c r="B81" s="1568" t="str">
        <f t="shared" si="6"/>
        <v>2000002900</v>
      </c>
      <c r="C81" s="2263" t="s">
        <v>3508</v>
      </c>
      <c r="D81" s="2607">
        <v>4280</v>
      </c>
      <c r="E81" s="1921" t="s">
        <v>7047</v>
      </c>
      <c r="F81" s="2263" t="s">
        <v>20</v>
      </c>
      <c r="G81" s="2187" t="s">
        <v>7048</v>
      </c>
      <c r="H81" s="1916"/>
      <c r="I81" s="1921" t="s">
        <v>65</v>
      </c>
      <c r="J81" s="1921" t="s">
        <v>5270</v>
      </c>
      <c r="K81" s="1845" t="s">
        <v>7049</v>
      </c>
      <c r="L81" s="2583">
        <v>3580</v>
      </c>
      <c r="M81" s="1780" t="s">
        <v>5255</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6" customHeight="1">
      <c r="A82" s="3769"/>
      <c r="B82" s="1568" t="str">
        <f t="shared" si="6"/>
        <v>2000002898</v>
      </c>
      <c r="C82" s="1545" t="s">
        <v>3508</v>
      </c>
      <c r="D82" s="1808"/>
      <c r="E82" s="1495"/>
      <c r="F82" s="1545" t="s">
        <v>20</v>
      </c>
      <c r="G82" s="1495"/>
      <c r="H82" s="1495"/>
      <c r="I82" s="1495" t="s">
        <v>65</v>
      </c>
      <c r="J82" s="1495" t="s">
        <v>7050</v>
      </c>
      <c r="K82" s="1600" t="s">
        <v>5271</v>
      </c>
      <c r="L82" s="2357">
        <v>700</v>
      </c>
      <c r="M82" s="1780" t="s">
        <v>5255</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6" customHeight="1">
      <c r="A83" s="3768">
        <v>25</v>
      </c>
      <c r="B83" s="1568" t="str">
        <f t="shared" si="6"/>
        <v>2200001973</v>
      </c>
      <c r="C83" s="1902" t="s">
        <v>4824</v>
      </c>
      <c r="D83" s="2607">
        <v>5850</v>
      </c>
      <c r="E83" s="1921" t="s">
        <v>7051</v>
      </c>
      <c r="F83" s="1902" t="s">
        <v>18</v>
      </c>
      <c r="G83" s="1921" t="s">
        <v>7052</v>
      </c>
      <c r="H83" s="1921"/>
      <c r="I83" s="1921" t="s">
        <v>65</v>
      </c>
      <c r="J83" s="1921" t="s">
        <v>1179</v>
      </c>
      <c r="K83" s="2194" t="s">
        <v>7053</v>
      </c>
      <c r="L83" s="2645">
        <v>2985</v>
      </c>
      <c r="M83" s="2196" t="s">
        <v>7054</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099999999999994" customHeight="1">
      <c r="A84" s="3770"/>
      <c r="B84" s="1568" t="str">
        <f t="shared" si="6"/>
        <v>2000002926</v>
      </c>
      <c r="C84" s="1493" t="s">
        <v>4824</v>
      </c>
      <c r="D84" s="1494"/>
      <c r="E84" s="1495"/>
      <c r="F84" s="1493" t="s">
        <v>18</v>
      </c>
      <c r="G84" s="1495"/>
      <c r="H84" s="1495"/>
      <c r="I84" s="1495" t="s">
        <v>65</v>
      </c>
      <c r="J84" s="1495" t="s">
        <v>1179</v>
      </c>
      <c r="K84" s="1496" t="s">
        <v>7055</v>
      </c>
      <c r="L84" s="2646">
        <v>1100</v>
      </c>
      <c r="M84" s="2196" t="s">
        <v>5230</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6" customHeight="1">
      <c r="A85" s="3770"/>
      <c r="B85" s="1568" t="str">
        <f t="shared" si="6"/>
        <v>2000002825</v>
      </c>
      <c r="C85" s="1493" t="s">
        <v>4824</v>
      </c>
      <c r="D85" s="1494"/>
      <c r="E85" s="1495"/>
      <c r="F85" s="1493" t="s">
        <v>18</v>
      </c>
      <c r="G85" s="1495"/>
      <c r="H85" s="1495"/>
      <c r="I85" s="1495" t="s">
        <v>65</v>
      </c>
      <c r="J85" s="1495" t="s">
        <v>1179</v>
      </c>
      <c r="K85" s="1496" t="s">
        <v>7056</v>
      </c>
      <c r="L85" s="2646">
        <v>1500</v>
      </c>
      <c r="M85" s="2196" t="s">
        <v>5230</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6" customHeight="1">
      <c r="A86" s="3769"/>
      <c r="B86" s="1568" t="str">
        <f t="shared" si="6"/>
        <v>2200001962</v>
      </c>
      <c r="C86" s="1493" t="s">
        <v>4824</v>
      </c>
      <c r="D86" s="1494"/>
      <c r="E86" s="1495"/>
      <c r="F86" s="1493" t="s">
        <v>18</v>
      </c>
      <c r="G86" s="1495"/>
      <c r="H86" s="1495"/>
      <c r="I86" s="1921" t="s">
        <v>65</v>
      </c>
      <c r="J86" s="1495" t="s">
        <v>1179</v>
      </c>
      <c r="K86" s="1496" t="s">
        <v>7057</v>
      </c>
      <c r="L86" s="2646">
        <v>222</v>
      </c>
      <c r="M86" s="2196" t="s">
        <v>5255</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099999999999994" customHeight="1">
      <c r="A87" s="2436">
        <v>26</v>
      </c>
      <c r="B87" s="1568" t="str">
        <f t="shared" si="6"/>
        <v>2000002870</v>
      </c>
      <c r="C87" s="2263" t="s">
        <v>4935</v>
      </c>
      <c r="D87" s="2607">
        <v>3600</v>
      </c>
      <c r="E87" s="1921" t="s">
        <v>7058</v>
      </c>
      <c r="F87" s="2263" t="s">
        <v>22</v>
      </c>
      <c r="G87" s="1921" t="s">
        <v>7059</v>
      </c>
      <c r="H87" s="1921"/>
      <c r="I87" s="1921" t="s">
        <v>65</v>
      </c>
      <c r="J87" s="1921" t="s">
        <v>117</v>
      </c>
      <c r="K87" s="1845" t="s">
        <v>7060</v>
      </c>
      <c r="L87" s="2645">
        <v>3600</v>
      </c>
      <c r="M87" s="2196" t="s">
        <v>5230</v>
      </c>
      <c r="N87" s="1775" t="s">
        <v>7061</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6" customHeight="1">
      <c r="A88" s="3768">
        <v>27</v>
      </c>
      <c r="B88" s="2279" t="str">
        <f t="shared" si="6"/>
        <v>2000002781</v>
      </c>
      <c r="C88" s="2684" t="s">
        <v>7062</v>
      </c>
      <c r="D88" s="2607">
        <v>4200</v>
      </c>
      <c r="E88" s="1921" t="s">
        <v>7063</v>
      </c>
      <c r="F88" s="1902" t="s">
        <v>22</v>
      </c>
      <c r="G88" s="1921" t="s">
        <v>7064</v>
      </c>
      <c r="H88" s="1909" t="s">
        <v>7065</v>
      </c>
      <c r="I88" s="1921" t="s">
        <v>65</v>
      </c>
      <c r="J88" s="1921" t="s">
        <v>117</v>
      </c>
      <c r="K88" s="1845" t="s">
        <v>7066</v>
      </c>
      <c r="L88" s="2583">
        <v>1050</v>
      </c>
      <c r="M88" s="2196" t="s">
        <v>5230</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6" customHeight="1">
      <c r="A89" s="3770"/>
      <c r="B89" s="1568" t="str">
        <f t="shared" si="6"/>
        <v>2000002875</v>
      </c>
      <c r="C89" s="1545" t="s">
        <v>6985</v>
      </c>
      <c r="D89" s="1494"/>
      <c r="E89" s="1770"/>
      <c r="F89" s="1493" t="s">
        <v>22</v>
      </c>
      <c r="G89" s="1770"/>
      <c r="H89" s="1770"/>
      <c r="I89" s="1495" t="s">
        <v>65</v>
      </c>
      <c r="J89" s="1495" t="s">
        <v>117</v>
      </c>
      <c r="K89" s="1843" t="s">
        <v>7067</v>
      </c>
      <c r="L89" s="2357">
        <v>2000</v>
      </c>
      <c r="M89" s="1493" t="s">
        <v>5255</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6" customHeight="1">
      <c r="A90" s="3769"/>
      <c r="B90" s="1568" t="str">
        <f t="shared" si="6"/>
        <v>2000002890</v>
      </c>
      <c r="C90" s="1545" t="s">
        <v>6985</v>
      </c>
      <c r="D90" s="1494"/>
      <c r="E90" s="1770"/>
      <c r="F90" s="1493" t="s">
        <v>22</v>
      </c>
      <c r="G90" s="1770"/>
      <c r="H90" s="1770"/>
      <c r="I90" s="1495" t="s">
        <v>65</v>
      </c>
      <c r="J90" s="1495" t="s">
        <v>117</v>
      </c>
      <c r="K90" s="1600" t="s">
        <v>7068</v>
      </c>
      <c r="L90" s="2357">
        <v>1200</v>
      </c>
      <c r="M90" s="2584" t="s">
        <v>5701</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3" customHeight="1">
      <c r="A91" s="2436">
        <v>28</v>
      </c>
      <c r="B91" s="1568" t="str">
        <f t="shared" si="6"/>
        <v>2000002900</v>
      </c>
      <c r="C91" s="2187" t="s">
        <v>7069</v>
      </c>
      <c r="D91" s="2607">
        <v>4300</v>
      </c>
      <c r="E91" s="1921" t="s">
        <v>7047</v>
      </c>
      <c r="F91" s="2263" t="s">
        <v>18</v>
      </c>
      <c r="G91" s="2187" t="s">
        <v>7070</v>
      </c>
      <c r="H91" s="1916"/>
      <c r="I91" s="1921" t="s">
        <v>65</v>
      </c>
      <c r="J91" s="1921" t="s">
        <v>5270</v>
      </c>
      <c r="K91" s="1845" t="s">
        <v>7071</v>
      </c>
      <c r="L91" s="2583">
        <v>4450</v>
      </c>
      <c r="M91" s="1493" t="s">
        <v>5255</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3" customHeight="1">
      <c r="A92" s="2436">
        <v>29</v>
      </c>
      <c r="B92" s="1568" t="str">
        <f t="shared" si="6"/>
        <v>2000002870</v>
      </c>
      <c r="C92" s="2263" t="s">
        <v>4316</v>
      </c>
      <c r="D92" s="2607">
        <v>4000</v>
      </c>
      <c r="E92" s="1921" t="s">
        <v>7072</v>
      </c>
      <c r="F92" s="2263" t="s">
        <v>18</v>
      </c>
      <c r="G92" s="1921" t="s">
        <v>7073</v>
      </c>
      <c r="H92" s="1921"/>
      <c r="I92" s="1921" t="s">
        <v>65</v>
      </c>
      <c r="J92" s="1921" t="s">
        <v>117</v>
      </c>
      <c r="K92" s="1845" t="s">
        <v>7074</v>
      </c>
      <c r="L92" s="2645">
        <v>4000</v>
      </c>
      <c r="M92" s="2196" t="s">
        <v>5230</v>
      </c>
      <c r="N92" s="1775" t="s">
        <v>7061</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35" customHeight="1">
      <c r="A93" s="3768">
        <v>30</v>
      </c>
      <c r="B93" s="1568" t="str">
        <f t="shared" ref="B93:B96" si="7">TEXT(LEFT(K93,10),"0000000000")</f>
        <v>2000002858</v>
      </c>
      <c r="C93" s="1902" t="s">
        <v>3668</v>
      </c>
      <c r="D93" s="2607">
        <v>24000</v>
      </c>
      <c r="E93" s="1921" t="s">
        <v>7075</v>
      </c>
      <c r="F93" s="1902" t="s">
        <v>14</v>
      </c>
      <c r="G93" s="1921" t="s">
        <v>7076</v>
      </c>
      <c r="H93" s="1921"/>
      <c r="I93" s="1921" t="s">
        <v>65</v>
      </c>
      <c r="J93" s="1921" t="s">
        <v>164</v>
      </c>
      <c r="K93" s="1845" t="s">
        <v>7077</v>
      </c>
      <c r="L93" s="2645">
        <v>4000</v>
      </c>
      <c r="M93" s="2196" t="s">
        <v>5230</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35" customHeight="1">
      <c r="A94" s="3770"/>
      <c r="B94" s="1568" t="str">
        <f t="shared" si="7"/>
        <v>2000002915</v>
      </c>
      <c r="C94" s="1493" t="s">
        <v>3668</v>
      </c>
      <c r="D94" s="1808"/>
      <c r="E94" s="1495"/>
      <c r="F94" s="1493" t="s">
        <v>14</v>
      </c>
      <c r="G94" s="1495"/>
      <c r="H94" s="1495"/>
      <c r="I94" s="1495" t="s">
        <v>65</v>
      </c>
      <c r="J94" s="1495" t="s">
        <v>164</v>
      </c>
      <c r="K94" s="1600" t="s">
        <v>7078</v>
      </c>
      <c r="L94" s="2646">
        <v>2000</v>
      </c>
      <c r="M94" s="2196" t="s">
        <v>5230</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35" customHeight="1">
      <c r="A95" s="3770"/>
      <c r="B95" s="1568" t="str">
        <f t="shared" si="7"/>
        <v>2000002855</v>
      </c>
      <c r="C95" s="1493" t="s">
        <v>3668</v>
      </c>
      <c r="D95" s="1808"/>
      <c r="E95" s="1495"/>
      <c r="F95" s="1493" t="s">
        <v>14</v>
      </c>
      <c r="G95" s="1495"/>
      <c r="H95" s="1495"/>
      <c r="I95" s="1495" t="s">
        <v>65</v>
      </c>
      <c r="J95" s="1495" t="s">
        <v>164</v>
      </c>
      <c r="K95" s="1600" t="s">
        <v>7079</v>
      </c>
      <c r="L95" s="2357">
        <v>500</v>
      </c>
      <c r="M95" s="1493" t="s">
        <v>5255</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35" customHeight="1">
      <c r="A96" s="3770"/>
      <c r="B96" s="1568" t="str">
        <f t="shared" si="7"/>
        <v>2000002908</v>
      </c>
      <c r="C96" s="1493" t="s">
        <v>3668</v>
      </c>
      <c r="D96" s="1808"/>
      <c r="E96" s="1495"/>
      <c r="F96" s="1493" t="s">
        <v>14</v>
      </c>
      <c r="G96" s="1495"/>
      <c r="H96" s="1495"/>
      <c r="I96" s="1495" t="s">
        <v>65</v>
      </c>
      <c r="J96" s="1495" t="s">
        <v>106</v>
      </c>
      <c r="K96" s="1600" t="s">
        <v>7080</v>
      </c>
      <c r="L96" s="2357">
        <v>4700</v>
      </c>
      <c r="M96" s="1748" t="s">
        <v>5255</v>
      </c>
      <c r="N96" s="1859"/>
      <c r="O96" s="1790">
        <v>3</v>
      </c>
      <c r="R96" s="1493"/>
      <c r="S96" s="1493"/>
      <c r="T96" s="1493"/>
      <c r="V96" s="1467"/>
      <c r="W96" s="1467"/>
      <c r="X96" s="1467"/>
      <c r="Y96" s="1467"/>
      <c r="Z96" s="1467"/>
    </row>
    <row r="97" spans="1:56" s="1548" customFormat="1" ht="53.35" customHeight="1">
      <c r="A97" s="3770"/>
      <c r="B97" s="1568" t="str">
        <f t="shared" ref="B97:B107" si="8">TEXT(LEFT(K97,10),"0000000000")</f>
        <v>2000002927</v>
      </c>
      <c r="C97" s="1493" t="s">
        <v>3668</v>
      </c>
      <c r="D97" s="1808"/>
      <c r="E97" s="1495"/>
      <c r="F97" s="1493" t="s">
        <v>14</v>
      </c>
      <c r="G97" s="1495"/>
      <c r="H97" s="1495"/>
      <c r="I97" s="1495" t="s">
        <v>65</v>
      </c>
      <c r="J97" s="1495" t="s">
        <v>106</v>
      </c>
      <c r="K97" s="1600" t="s">
        <v>7081</v>
      </c>
      <c r="L97" s="2357">
        <v>5000</v>
      </c>
      <c r="M97" s="1748" t="s">
        <v>5255</v>
      </c>
      <c r="N97" s="1859"/>
      <c r="O97" s="1790">
        <v>3</v>
      </c>
      <c r="R97" s="1493"/>
      <c r="S97" s="1493"/>
      <c r="T97" s="1493"/>
      <c r="V97" s="1467"/>
      <c r="W97" s="1467"/>
      <c r="X97" s="1467"/>
      <c r="Y97" s="1467"/>
      <c r="Z97" s="1467"/>
    </row>
    <row r="98" spans="1:56" s="1548" customFormat="1" ht="53.35" customHeight="1">
      <c r="A98" s="3770"/>
      <c r="B98" s="1568" t="str">
        <f t="shared" si="8"/>
        <v>2000002899</v>
      </c>
      <c r="C98" s="1493" t="s">
        <v>3668</v>
      </c>
      <c r="D98" s="1808"/>
      <c r="E98" s="1495"/>
      <c r="F98" s="1493" t="s">
        <v>14</v>
      </c>
      <c r="G98" s="1495"/>
      <c r="H98" s="1495"/>
      <c r="I98" s="1495" t="s">
        <v>65</v>
      </c>
      <c r="J98" s="1495" t="s">
        <v>5400</v>
      </c>
      <c r="K98" s="1600" t="s">
        <v>7082</v>
      </c>
      <c r="L98" s="2357">
        <v>4000</v>
      </c>
      <c r="M98" s="2180" t="s">
        <v>7083</v>
      </c>
      <c r="N98" s="1859"/>
      <c r="O98" s="1790">
        <v>3</v>
      </c>
      <c r="R98" s="1493"/>
      <c r="S98" s="1493"/>
      <c r="T98" s="1493"/>
      <c r="U98" s="1467"/>
      <c r="V98" s="1467"/>
      <c r="W98" s="1467"/>
      <c r="X98" s="1467"/>
      <c r="Y98" s="1467"/>
      <c r="Z98" s="1467"/>
    </row>
    <row r="99" spans="1:56" s="1548" customFormat="1" ht="53.35" customHeight="1">
      <c r="A99" s="3770"/>
      <c r="B99" s="1568" t="str">
        <f t="shared" si="8"/>
        <v>2000002901</v>
      </c>
      <c r="C99" s="1493" t="s">
        <v>3668</v>
      </c>
      <c r="D99" s="1808"/>
      <c r="E99" s="1495"/>
      <c r="F99" s="1493" t="s">
        <v>14</v>
      </c>
      <c r="G99" s="1495"/>
      <c r="H99" s="1495"/>
      <c r="I99" s="1495" t="s">
        <v>65</v>
      </c>
      <c r="J99" s="1495" t="s">
        <v>5400</v>
      </c>
      <c r="K99" s="1600" t="s">
        <v>7084</v>
      </c>
      <c r="L99" s="2357">
        <v>800</v>
      </c>
      <c r="M99" s="2180" t="s">
        <v>5255</v>
      </c>
      <c r="N99" s="1859"/>
      <c r="O99" s="1790">
        <v>3</v>
      </c>
      <c r="R99" s="1493"/>
      <c r="S99" s="1493"/>
      <c r="T99" s="1493"/>
      <c r="U99" s="1467"/>
      <c r="V99" s="1467"/>
      <c r="W99" s="1467"/>
      <c r="X99" s="1467"/>
      <c r="Y99" s="1467"/>
      <c r="Z99" s="1467"/>
    </row>
    <row r="100" spans="1:56" s="1548" customFormat="1" ht="53.35" customHeight="1">
      <c r="A100" s="3769"/>
      <c r="B100" s="1568" t="str">
        <f t="shared" si="8"/>
        <v>2000002897</v>
      </c>
      <c r="C100" s="1493" t="s">
        <v>3668</v>
      </c>
      <c r="D100" s="1808"/>
      <c r="E100" s="1495"/>
      <c r="F100" s="1493" t="s">
        <v>14</v>
      </c>
      <c r="G100" s="1495"/>
      <c r="H100" s="1495"/>
      <c r="I100" s="1495" t="s">
        <v>65</v>
      </c>
      <c r="J100" s="1495" t="s">
        <v>5400</v>
      </c>
      <c r="K100" s="1600" t="s">
        <v>7085</v>
      </c>
      <c r="L100" s="2357">
        <v>3000</v>
      </c>
      <c r="M100" s="1780" t="s">
        <v>5255</v>
      </c>
      <c r="N100" s="1859"/>
      <c r="O100" s="1790">
        <v>3</v>
      </c>
      <c r="R100" s="1493"/>
      <c r="S100" s="1493"/>
      <c r="T100" s="1493"/>
      <c r="U100" s="1467"/>
      <c r="V100" s="1467"/>
      <c r="W100" s="1467"/>
      <c r="X100" s="1467"/>
      <c r="Y100" s="1467"/>
      <c r="Z100" s="1467"/>
    </row>
    <row r="101" spans="1:56" s="1548" customFormat="1" ht="68.95" customHeight="1">
      <c r="A101" s="3768">
        <v>31</v>
      </c>
      <c r="B101" s="1568" t="str">
        <f t="shared" si="8"/>
        <v>2000002900</v>
      </c>
      <c r="C101" s="1902" t="s">
        <v>114</v>
      </c>
      <c r="D101" s="2607">
        <v>3720</v>
      </c>
      <c r="E101" s="1921" t="s">
        <v>7086</v>
      </c>
      <c r="F101" s="1902" t="s">
        <v>22</v>
      </c>
      <c r="G101" s="1921" t="s">
        <v>7087</v>
      </c>
      <c r="H101" s="1921"/>
      <c r="I101" s="1921" t="s">
        <v>65</v>
      </c>
      <c r="J101" s="1921" t="s">
        <v>5270</v>
      </c>
      <c r="K101" s="1845" t="s">
        <v>5273</v>
      </c>
      <c r="L101" s="2583">
        <v>2163</v>
      </c>
      <c r="M101" s="1748" t="s">
        <v>5255</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6" customHeight="1">
      <c r="A102" s="3770"/>
      <c r="B102" s="1568" t="str">
        <f t="shared" si="8"/>
        <v>2000002902</v>
      </c>
      <c r="C102" s="1493" t="s">
        <v>114</v>
      </c>
      <c r="D102" s="1808"/>
      <c r="E102" s="1495"/>
      <c r="F102" s="1493" t="s">
        <v>22</v>
      </c>
      <c r="G102" s="1495"/>
      <c r="H102" s="1495"/>
      <c r="I102" s="1495" t="s">
        <v>65</v>
      </c>
      <c r="J102" s="1495" t="s">
        <v>240</v>
      </c>
      <c r="K102" s="1496" t="s">
        <v>7026</v>
      </c>
      <c r="L102" s="2646">
        <v>1000</v>
      </c>
      <c r="M102" s="2196" t="s">
        <v>5230</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6" customHeight="1">
      <c r="A103" s="3769"/>
      <c r="B103" s="1568" t="str">
        <f t="shared" si="8"/>
        <v>2000002903</v>
      </c>
      <c r="C103" s="1493" t="s">
        <v>114</v>
      </c>
      <c r="D103" s="1808"/>
      <c r="E103" s="1495"/>
      <c r="F103" s="1493" t="s">
        <v>22</v>
      </c>
      <c r="G103" s="1495"/>
      <c r="H103" s="1495"/>
      <c r="I103" s="1495" t="s">
        <v>65</v>
      </c>
      <c r="J103" s="1495" t="s">
        <v>240</v>
      </c>
      <c r="K103" s="1496" t="s">
        <v>7088</v>
      </c>
      <c r="L103" s="2646">
        <v>600</v>
      </c>
      <c r="M103" s="2196" t="s">
        <v>5230</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6" customHeight="1">
      <c r="A104" s="3776">
        <v>32</v>
      </c>
      <c r="B104" s="2279" t="str">
        <f t="shared" si="8"/>
        <v>2400001193</v>
      </c>
      <c r="C104" s="1902" t="s">
        <v>7089</v>
      </c>
      <c r="D104" s="2607">
        <v>4100</v>
      </c>
      <c r="E104" s="1921" t="s">
        <v>7090</v>
      </c>
      <c r="F104" s="1902" t="s">
        <v>7091</v>
      </c>
      <c r="G104" s="1921" t="s">
        <v>7092</v>
      </c>
      <c r="H104" s="1921"/>
      <c r="I104" s="1921" t="s">
        <v>65</v>
      </c>
      <c r="J104" s="1921" t="s">
        <v>7093</v>
      </c>
      <c r="K104" s="1911" t="s">
        <v>7094</v>
      </c>
      <c r="L104" s="2583">
        <v>800</v>
      </c>
      <c r="M104" s="1748" t="s">
        <v>5255</v>
      </c>
      <c r="N104" s="1775" t="s">
        <v>7095</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6" customHeight="1">
      <c r="A105" s="3776"/>
      <c r="B105" s="1568" t="str">
        <f t="shared" si="8"/>
        <v>2400001194</v>
      </c>
      <c r="C105" s="1493" t="s">
        <v>7089</v>
      </c>
      <c r="D105" s="1494"/>
      <c r="E105" s="1495"/>
      <c r="F105" s="1493"/>
      <c r="G105" s="1495"/>
      <c r="H105" s="1495"/>
      <c r="I105" s="1495" t="s">
        <v>65</v>
      </c>
      <c r="J105" s="1495" t="s">
        <v>7093</v>
      </c>
      <c r="K105" s="1547" t="s">
        <v>7096</v>
      </c>
      <c r="L105" s="2357">
        <f>4600-2800</f>
        <v>1800</v>
      </c>
      <c r="M105" s="1748" t="s">
        <v>5255</v>
      </c>
      <c r="N105" s="1859"/>
      <c r="O105" s="1790">
        <v>3</v>
      </c>
      <c r="Q105" s="1493"/>
      <c r="R105" s="1493"/>
      <c r="S105" s="1493"/>
      <c r="T105" s="2429"/>
      <c r="U105" s="1467"/>
      <c r="V105" s="1467"/>
      <c r="W105" s="1467"/>
      <c r="X105" s="1467"/>
      <c r="Y105" s="1467"/>
      <c r="Z105" s="1467"/>
    </row>
    <row r="106" spans="1:56" s="1548" customFormat="1" ht="58.6" customHeight="1">
      <c r="A106" s="3776"/>
      <c r="B106" s="1568" t="str">
        <f t="shared" si="8"/>
        <v>2400001195</v>
      </c>
      <c r="C106" s="1493" t="s">
        <v>7089</v>
      </c>
      <c r="D106" s="1494"/>
      <c r="E106" s="1495"/>
      <c r="F106" s="1493"/>
      <c r="G106" s="1495"/>
      <c r="H106" s="1495"/>
      <c r="I106" s="1495" t="s">
        <v>65</v>
      </c>
      <c r="J106" s="1495" t="s">
        <v>7093</v>
      </c>
      <c r="K106" s="1547" t="s">
        <v>7097</v>
      </c>
      <c r="L106" s="2357">
        <v>900</v>
      </c>
      <c r="M106" s="1748" t="s">
        <v>5255</v>
      </c>
      <c r="N106" s="1859"/>
      <c r="O106" s="1790">
        <v>3</v>
      </c>
      <c r="Q106" s="1493"/>
      <c r="R106" s="1493"/>
      <c r="S106" s="1493"/>
      <c r="T106" s="2429"/>
      <c r="U106" s="1467"/>
      <c r="V106" s="1467"/>
      <c r="W106" s="1467"/>
      <c r="X106" s="1467"/>
      <c r="Y106" s="1467"/>
      <c r="Z106" s="1467"/>
    </row>
    <row r="107" spans="1:56" s="1548" customFormat="1" ht="58.6" customHeight="1">
      <c r="A107" s="3776"/>
      <c r="B107" s="1568" t="str">
        <f t="shared" si="8"/>
        <v>2400001196</v>
      </c>
      <c r="C107" s="1493" t="s">
        <v>7089</v>
      </c>
      <c r="D107" s="1494"/>
      <c r="E107" s="1495"/>
      <c r="F107" s="1493"/>
      <c r="G107" s="1495"/>
      <c r="H107" s="1495"/>
      <c r="I107" s="1495" t="s">
        <v>65</v>
      </c>
      <c r="J107" s="1495" t="s">
        <v>7093</v>
      </c>
      <c r="K107" s="1547" t="s">
        <v>7098</v>
      </c>
      <c r="L107" s="2357">
        <v>600</v>
      </c>
      <c r="M107" s="1748" t="s">
        <v>5255</v>
      </c>
      <c r="N107" s="1859"/>
      <c r="O107" s="1790">
        <v>3</v>
      </c>
      <c r="Q107" s="1493"/>
      <c r="R107" s="1493"/>
      <c r="S107" s="1493"/>
      <c r="T107" s="2429"/>
      <c r="U107" s="1467"/>
      <c r="V107" s="1467"/>
      <c r="W107" s="1467"/>
      <c r="X107" s="1467"/>
      <c r="Y107" s="1467"/>
      <c r="Z107" s="1467"/>
    </row>
    <row r="108" spans="1:56" s="1548" customFormat="1" ht="58.6" customHeight="1">
      <c r="A108" s="2582">
        <v>33</v>
      </c>
      <c r="B108" s="1568" t="str">
        <f t="shared" ref="B108" si="9">TEXT(LEFT(K108,10),"0000000000")</f>
        <v>2000002895</v>
      </c>
      <c r="C108" s="1902" t="s">
        <v>5896</v>
      </c>
      <c r="D108" s="2607">
        <v>11940</v>
      </c>
      <c r="E108" s="1921" t="s">
        <v>7099</v>
      </c>
      <c r="F108" s="1902" t="s">
        <v>16</v>
      </c>
      <c r="G108" s="1921" t="s">
        <v>7100</v>
      </c>
      <c r="H108" s="1921"/>
      <c r="I108" s="1921" t="s">
        <v>65</v>
      </c>
      <c r="J108" s="1921" t="s">
        <v>1179</v>
      </c>
      <c r="K108" s="1845" t="s">
        <v>7101</v>
      </c>
      <c r="L108" s="2583">
        <v>11940</v>
      </c>
      <c r="M108" s="1780" t="s">
        <v>7102</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6" customHeight="1">
      <c r="A109" s="2661">
        <v>34</v>
      </c>
      <c r="B109" s="2662" t="str">
        <f t="shared" ref="B109:B131" si="10">TEXT(LEFT(K109,10),"0000000000")</f>
        <v>2000002903</v>
      </c>
      <c r="C109" s="2663" t="s">
        <v>3738</v>
      </c>
      <c r="D109" s="2664">
        <v>4370</v>
      </c>
      <c r="E109" s="2180" t="s">
        <v>7103</v>
      </c>
      <c r="F109" s="2663" t="s">
        <v>20</v>
      </c>
      <c r="G109" s="2180" t="s">
        <v>7104</v>
      </c>
      <c r="H109" s="2180"/>
      <c r="I109" s="2180" t="s">
        <v>65</v>
      </c>
      <c r="J109" s="2180" t="s">
        <v>240</v>
      </c>
      <c r="K109" s="2194" t="s">
        <v>7105</v>
      </c>
      <c r="L109" s="2665">
        <v>4370</v>
      </c>
      <c r="M109" s="2180" t="s">
        <v>5230</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6" customHeight="1">
      <c r="A110" s="3768">
        <v>35</v>
      </c>
      <c r="B110" s="1568" t="str">
        <f t="shared" si="10"/>
        <v>2000002916</v>
      </c>
      <c r="C110" s="1902" t="s">
        <v>3499</v>
      </c>
      <c r="D110" s="2607">
        <v>4000</v>
      </c>
      <c r="E110" s="1921" t="s">
        <v>7106</v>
      </c>
      <c r="F110" s="1902" t="s">
        <v>20</v>
      </c>
      <c r="G110" s="1921" t="s">
        <v>7107</v>
      </c>
      <c r="H110" s="1495"/>
      <c r="I110" s="1495" t="s">
        <v>65</v>
      </c>
      <c r="J110" s="1495" t="s">
        <v>117</v>
      </c>
      <c r="K110" s="1496" t="s">
        <v>7108</v>
      </c>
      <c r="L110" s="2646">
        <v>2600</v>
      </c>
      <c r="M110" s="2196" t="s">
        <v>5230</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6" customHeight="1">
      <c r="A111" s="3769"/>
      <c r="B111" s="1568" t="str">
        <f t="shared" si="10"/>
        <v>2000002866</v>
      </c>
      <c r="C111" s="1493" t="s">
        <v>3499</v>
      </c>
      <c r="D111" s="1808"/>
      <c r="E111" s="1495"/>
      <c r="F111" s="1493" t="s">
        <v>20</v>
      </c>
      <c r="G111" s="1495"/>
      <c r="H111" s="1495"/>
      <c r="I111" s="1495" t="s">
        <v>65</v>
      </c>
      <c r="J111" s="1495" t="s">
        <v>117</v>
      </c>
      <c r="K111" s="1496" t="s">
        <v>7109</v>
      </c>
      <c r="L111" s="2357">
        <v>1400</v>
      </c>
      <c r="M111" s="1780" t="s">
        <v>5255</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3" customHeight="1">
      <c r="A112" s="3768">
        <v>36</v>
      </c>
      <c r="B112" s="1568" t="str">
        <f>TEXT(LEFT(K112,10),"0000000000")</f>
        <v>2000002870</v>
      </c>
      <c r="C112" s="1902" t="s">
        <v>2947</v>
      </c>
      <c r="D112" s="2607">
        <v>3400</v>
      </c>
      <c r="E112" s="1921" t="s">
        <v>7110</v>
      </c>
      <c r="F112" s="2263" t="s">
        <v>22</v>
      </c>
      <c r="G112" s="1921" t="s">
        <v>7111</v>
      </c>
      <c r="H112" s="1921"/>
      <c r="I112" s="1921" t="s">
        <v>65</v>
      </c>
      <c r="J112" s="1921" t="s">
        <v>117</v>
      </c>
      <c r="K112" s="1845" t="s">
        <v>7074</v>
      </c>
      <c r="L112" s="2583">
        <v>2400</v>
      </c>
      <c r="M112" s="2196" t="s">
        <v>5230</v>
      </c>
      <c r="N112" s="1775" t="s">
        <v>7061</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6" customHeight="1">
      <c r="A113" s="3769"/>
      <c r="B113" s="1568" t="str">
        <f t="shared" si="10"/>
        <v>2000002899</v>
      </c>
      <c r="C113" s="1493" t="s">
        <v>2947</v>
      </c>
      <c r="D113" s="1494"/>
      <c r="E113" s="1495"/>
      <c r="F113" s="1545" t="s">
        <v>22</v>
      </c>
      <c r="G113" s="1495"/>
      <c r="H113" s="1495"/>
      <c r="I113" s="1495" t="s">
        <v>65</v>
      </c>
      <c r="J113" s="1495" t="s">
        <v>5400</v>
      </c>
      <c r="K113" s="1600" t="s">
        <v>7082</v>
      </c>
      <c r="L113" s="2357">
        <v>1000</v>
      </c>
      <c r="M113" s="2180" t="s">
        <v>7112</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 customHeight="1">
      <c r="A114" s="2582">
        <v>37</v>
      </c>
      <c r="B114" s="1568" t="str">
        <f t="shared" si="10"/>
        <v>2000002936</v>
      </c>
      <c r="C114" s="2180" t="s">
        <v>7113</v>
      </c>
      <c r="D114" s="2607">
        <v>4200</v>
      </c>
      <c r="E114" s="1921" t="s">
        <v>7114</v>
      </c>
      <c r="F114" s="1902" t="s">
        <v>22</v>
      </c>
      <c r="G114" s="1921" t="s">
        <v>7115</v>
      </c>
      <c r="H114" s="1921"/>
      <c r="I114" s="1921" t="s">
        <v>65</v>
      </c>
      <c r="J114" s="2659" t="s">
        <v>66</v>
      </c>
      <c r="K114" s="1845" t="s">
        <v>7116</v>
      </c>
      <c r="L114" s="2583">
        <v>4200</v>
      </c>
      <c r="M114" s="2196" t="s">
        <v>5230</v>
      </c>
      <c r="N114" s="2675"/>
      <c r="O114" s="2429">
        <v>3</v>
      </c>
      <c r="P114" s="2150"/>
      <c r="Q114" s="2150">
        <v>2000002926</v>
      </c>
      <c r="R114" s="2628" t="e">
        <f>VLOOKUP(Q114,#REF!,2,0)</f>
        <v>#REF!</v>
      </c>
      <c r="S114" s="2628" t="e">
        <f>VLOOKUP(Q114,#REF!,3,0)</f>
        <v>#REF!</v>
      </c>
      <c r="T114" s="2629" t="e">
        <f>R114-S114</f>
        <v>#REF!</v>
      </c>
      <c r="U114" s="1474"/>
    </row>
    <row r="115" spans="1:55" s="2643" customFormat="1" ht="63.7" customHeight="1">
      <c r="A115" s="3768">
        <v>38</v>
      </c>
      <c r="B115" s="1568" t="str">
        <f t="shared" si="10"/>
        <v>2000002895</v>
      </c>
      <c r="C115" s="1902" t="s">
        <v>3595</v>
      </c>
      <c r="D115" s="2607">
        <v>4250</v>
      </c>
      <c r="E115" s="1921" t="s">
        <v>7117</v>
      </c>
      <c r="F115" s="1902" t="s">
        <v>24</v>
      </c>
      <c r="G115" s="1921" t="s">
        <v>7118</v>
      </c>
      <c r="H115" s="1921"/>
      <c r="I115" s="1921" t="s">
        <v>65</v>
      </c>
      <c r="J115" s="1921" t="s">
        <v>1179</v>
      </c>
      <c r="K115" s="1845" t="s">
        <v>7101</v>
      </c>
      <c r="L115" s="2583">
        <v>1000</v>
      </c>
      <c r="M115" s="1780" t="s">
        <v>7102</v>
      </c>
      <c r="N115" s="1775"/>
      <c r="O115" s="2429">
        <v>3</v>
      </c>
      <c r="P115" s="2150"/>
      <c r="Q115" s="2150"/>
      <c r="R115" s="1902"/>
      <c r="S115" s="1902"/>
      <c r="T115" s="1902"/>
    </row>
    <row r="116" spans="1:55" s="2643" customFormat="1" ht="52.5" customHeight="1">
      <c r="A116" s="3770"/>
      <c r="B116" s="1568" t="str">
        <f t="shared" si="10"/>
        <v>2200001972</v>
      </c>
      <c r="C116" s="1493" t="s">
        <v>3595</v>
      </c>
      <c r="D116" s="1494"/>
      <c r="E116" s="1495"/>
      <c r="F116" s="1493" t="s">
        <v>24</v>
      </c>
      <c r="G116" s="1495"/>
      <c r="H116" s="1495"/>
      <c r="I116" s="1495" t="s">
        <v>65</v>
      </c>
      <c r="J116" s="1495" t="s">
        <v>1179</v>
      </c>
      <c r="K116" s="1496" t="s">
        <v>7119</v>
      </c>
      <c r="L116" s="2646">
        <v>595</v>
      </c>
      <c r="M116" s="2385" t="s">
        <v>6941</v>
      </c>
      <c r="N116" s="1859"/>
      <c r="O116" s="1790">
        <v>3</v>
      </c>
      <c r="P116" s="1548"/>
      <c r="Q116" s="1548"/>
      <c r="R116" s="1493"/>
      <c r="S116" s="1493"/>
      <c r="T116" s="1493"/>
      <c r="U116" s="1467"/>
    </row>
    <row r="117" spans="1:55" s="2643" customFormat="1" ht="52.5" customHeight="1">
      <c r="A117" s="3770"/>
      <c r="B117" s="1568" t="str">
        <f t="shared" si="10"/>
        <v>2000002941</v>
      </c>
      <c r="C117" s="1493" t="s">
        <v>3595</v>
      </c>
      <c r="D117" s="1808"/>
      <c r="E117" s="1495"/>
      <c r="F117" s="1493" t="s">
        <v>24</v>
      </c>
      <c r="G117" s="1495"/>
      <c r="H117" s="1495"/>
      <c r="I117" s="1495" t="s">
        <v>65</v>
      </c>
      <c r="J117" s="1495" t="s">
        <v>1179</v>
      </c>
      <c r="K117" s="1600" t="s">
        <v>7120</v>
      </c>
      <c r="L117" s="2357">
        <v>500</v>
      </c>
      <c r="M117" s="1748" t="s">
        <v>5255</v>
      </c>
      <c r="N117" s="1859"/>
      <c r="O117" s="1790">
        <v>3</v>
      </c>
      <c r="P117" s="1548"/>
      <c r="Q117" s="1548"/>
      <c r="R117" s="1493"/>
      <c r="S117" s="1493"/>
      <c r="T117" s="1493"/>
      <c r="U117" s="1467"/>
      <c r="V117" s="1467"/>
      <c r="W117" s="1467"/>
      <c r="X117" s="1467"/>
      <c r="Y117" s="1467"/>
      <c r="Z117" s="1467"/>
    </row>
    <row r="118" spans="1:55" s="2643" customFormat="1" ht="52.5" customHeight="1">
      <c r="A118" s="3770"/>
      <c r="B118" s="1568" t="str">
        <f t="shared" si="10"/>
        <v>2000002924</v>
      </c>
      <c r="C118" s="1493" t="s">
        <v>3595</v>
      </c>
      <c r="D118" s="1808"/>
      <c r="E118" s="1495"/>
      <c r="F118" s="1493" t="s">
        <v>24</v>
      </c>
      <c r="G118" s="1495"/>
      <c r="H118" s="1495"/>
      <c r="I118" s="1495" t="s">
        <v>65</v>
      </c>
      <c r="J118" s="1495" t="s">
        <v>1179</v>
      </c>
      <c r="K118" s="1547" t="s">
        <v>7121</v>
      </c>
      <c r="L118" s="2357">
        <v>2000</v>
      </c>
      <c r="M118" s="1748" t="s">
        <v>5255</v>
      </c>
      <c r="N118" s="1859"/>
      <c r="O118" s="1790">
        <v>3</v>
      </c>
      <c r="P118" s="1548"/>
      <c r="Q118" s="1493"/>
      <c r="R118" s="1493"/>
      <c r="S118" s="1493"/>
      <c r="T118" s="2429"/>
      <c r="U118" s="1467"/>
      <c r="V118" s="1467"/>
      <c r="W118" s="1467"/>
      <c r="X118" s="1467"/>
      <c r="Y118" s="1467"/>
      <c r="Z118" s="1467"/>
    </row>
    <row r="119" spans="1:55" s="2643" customFormat="1" ht="52.5" customHeight="1">
      <c r="A119" s="3769"/>
      <c r="B119" s="1568" t="str">
        <f t="shared" si="10"/>
        <v>2200001975</v>
      </c>
      <c r="C119" s="1493" t="s">
        <v>3595</v>
      </c>
      <c r="D119" s="1808"/>
      <c r="E119" s="1495"/>
      <c r="F119" s="1493" t="s">
        <v>24</v>
      </c>
      <c r="G119" s="1495"/>
      <c r="H119" s="1495"/>
      <c r="I119" s="1495" t="s">
        <v>65</v>
      </c>
      <c r="J119" s="1495" t="s">
        <v>1179</v>
      </c>
      <c r="K119" s="1496" t="s">
        <v>7122</v>
      </c>
      <c r="L119" s="2646">
        <v>285</v>
      </c>
      <c r="M119" s="2196" t="s">
        <v>7054</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6" customHeight="1">
      <c r="A120" s="3770">
        <v>39</v>
      </c>
      <c r="B120" s="1568" t="str">
        <f t="shared" si="10"/>
        <v>2400001176</v>
      </c>
      <c r="C120" s="1902" t="s">
        <v>7123</v>
      </c>
      <c r="D120" s="2607">
        <f>SUM(L120:L123)</f>
        <v>4200</v>
      </c>
      <c r="E120" s="1921" t="s">
        <v>7124</v>
      </c>
      <c r="F120" s="1902" t="s">
        <v>3136</v>
      </c>
      <c r="G120" s="1921" t="s">
        <v>7125</v>
      </c>
      <c r="H120" s="1921" t="s">
        <v>7126</v>
      </c>
      <c r="I120" s="1921" t="s">
        <v>65</v>
      </c>
      <c r="J120" s="1921" t="s">
        <v>7127</v>
      </c>
      <c r="K120" s="1911" t="s">
        <v>7128</v>
      </c>
      <c r="L120" s="2583">
        <v>1000</v>
      </c>
      <c r="M120" s="2180" t="s">
        <v>5255</v>
      </c>
      <c r="N120" s="1775"/>
      <c r="O120" s="2429">
        <v>3</v>
      </c>
      <c r="P120" s="2150"/>
      <c r="Q120" s="2150"/>
      <c r="R120" s="1902"/>
      <c r="S120" s="1902"/>
      <c r="T120" s="1902"/>
    </row>
    <row r="121" spans="1:55" s="1467" customFormat="1" ht="49.6" customHeight="1">
      <c r="A121" s="3770"/>
      <c r="B121" s="1568" t="str">
        <f t="shared" si="10"/>
        <v>2400001177</v>
      </c>
      <c r="C121" s="1493" t="s">
        <v>7123</v>
      </c>
      <c r="D121" s="1494"/>
      <c r="E121" s="1495"/>
      <c r="F121" s="1493"/>
      <c r="G121" s="1495"/>
      <c r="H121" s="1495"/>
      <c r="I121" s="1495" t="s">
        <v>65</v>
      </c>
      <c r="J121" s="1495" t="s">
        <v>7127</v>
      </c>
      <c r="K121" s="1547" t="s">
        <v>7129</v>
      </c>
      <c r="L121" s="2357">
        <v>1400</v>
      </c>
      <c r="M121" s="1748" t="s">
        <v>7130</v>
      </c>
      <c r="N121" s="1859"/>
      <c r="O121" s="1790">
        <v>3</v>
      </c>
      <c r="P121" s="1548"/>
      <c r="Q121" s="1548"/>
      <c r="R121" s="1493"/>
      <c r="S121" s="1493"/>
      <c r="T121" s="1493"/>
    </row>
    <row r="122" spans="1:55" s="1467" customFormat="1" ht="49.6" customHeight="1">
      <c r="A122" s="3770"/>
      <c r="B122" s="1568" t="str">
        <f t="shared" si="10"/>
        <v>2400001167</v>
      </c>
      <c r="C122" s="1493" t="s">
        <v>7123</v>
      </c>
      <c r="D122" s="1494"/>
      <c r="E122" s="1495"/>
      <c r="F122" s="1493"/>
      <c r="G122" s="1495"/>
      <c r="H122" s="1495"/>
      <c r="I122" s="1495" t="s">
        <v>65</v>
      </c>
      <c r="J122" s="1495" t="s">
        <v>7127</v>
      </c>
      <c r="K122" s="1547" t="s">
        <v>7131</v>
      </c>
      <c r="L122" s="2357">
        <v>1500</v>
      </c>
      <c r="M122" s="1921" t="s">
        <v>5255</v>
      </c>
      <c r="N122" s="1859"/>
      <c r="O122" s="1790">
        <v>3</v>
      </c>
      <c r="P122" s="1548"/>
      <c r="Q122" s="1548"/>
      <c r="R122" s="1493"/>
      <c r="S122" s="1493"/>
      <c r="T122" s="1493"/>
    </row>
    <row r="123" spans="1:55" s="1467" customFormat="1" ht="49.6" customHeight="1">
      <c r="A123" s="3769"/>
      <c r="B123" s="1568" t="str">
        <f t="shared" si="10"/>
        <v>2400001182</v>
      </c>
      <c r="C123" s="1493" t="s">
        <v>7123</v>
      </c>
      <c r="D123" s="1494"/>
      <c r="E123" s="1495"/>
      <c r="F123" s="1493"/>
      <c r="G123" s="1495"/>
      <c r="H123" s="1495"/>
      <c r="I123" s="1495" t="s">
        <v>65</v>
      </c>
      <c r="J123" s="1495" t="s">
        <v>7127</v>
      </c>
      <c r="K123" s="1547" t="s">
        <v>7132</v>
      </c>
      <c r="L123" s="2357">
        <v>300</v>
      </c>
      <c r="M123" s="1495" t="s">
        <v>5255</v>
      </c>
      <c r="N123" s="1859"/>
      <c r="O123" s="1790">
        <v>3</v>
      </c>
      <c r="P123" s="1548"/>
      <c r="Q123" s="1548"/>
      <c r="R123" s="1493"/>
      <c r="S123" s="1493"/>
      <c r="T123" s="1493"/>
    </row>
    <row r="124" spans="1:55" s="2643" customFormat="1" ht="49.6" customHeight="1">
      <c r="A124" s="3768">
        <v>40</v>
      </c>
      <c r="B124" s="1568" t="str">
        <f t="shared" si="10"/>
        <v>2400001185</v>
      </c>
      <c r="C124" s="1902" t="s">
        <v>7133</v>
      </c>
      <c r="D124" s="2607">
        <f>SUM(L124:L130)</f>
        <v>4075</v>
      </c>
      <c r="E124" s="1921" t="s">
        <v>7124</v>
      </c>
      <c r="F124" s="1902" t="s">
        <v>3136</v>
      </c>
      <c r="G124" s="1921" t="s">
        <v>7134</v>
      </c>
      <c r="H124" s="1921" t="s">
        <v>7126</v>
      </c>
      <c r="I124" s="1921" t="s">
        <v>65</v>
      </c>
      <c r="J124" s="1921" t="s">
        <v>7135</v>
      </c>
      <c r="K124" s="1911" t="s">
        <v>7136</v>
      </c>
      <c r="L124" s="2583">
        <v>2000</v>
      </c>
      <c r="M124" s="1495" t="s">
        <v>5255</v>
      </c>
      <c r="N124" s="1775"/>
      <c r="O124" s="2429">
        <v>3</v>
      </c>
      <c r="P124" s="2150"/>
      <c r="Q124" s="2150"/>
      <c r="R124" s="1902"/>
      <c r="S124" s="1902"/>
      <c r="T124" s="1902"/>
    </row>
    <row r="125" spans="1:55" s="1467" customFormat="1" ht="49.6" customHeight="1">
      <c r="A125" s="3770"/>
      <c r="B125" s="1568" t="str">
        <f t="shared" si="10"/>
        <v>2400001186</v>
      </c>
      <c r="C125" s="1493" t="s">
        <v>7133</v>
      </c>
      <c r="D125" s="1494"/>
      <c r="E125" s="1495"/>
      <c r="F125" s="1493"/>
      <c r="G125" s="1495"/>
      <c r="H125" s="1495"/>
      <c r="I125" s="1495" t="s">
        <v>65</v>
      </c>
      <c r="J125" s="1495" t="s">
        <v>7135</v>
      </c>
      <c r="K125" s="1547" t="s">
        <v>7137</v>
      </c>
      <c r="L125" s="2357"/>
      <c r="M125" s="1909" t="s">
        <v>5255</v>
      </c>
      <c r="N125" s="1859"/>
      <c r="O125" s="1790">
        <v>3</v>
      </c>
      <c r="P125" s="1548"/>
      <c r="Q125" s="1548"/>
      <c r="R125" s="1493"/>
      <c r="S125" s="1493"/>
      <c r="T125" s="1493"/>
    </row>
    <row r="126" spans="1:55" s="1467" customFormat="1" ht="49.6" customHeight="1">
      <c r="A126" s="3770"/>
      <c r="B126" s="1568" t="str">
        <f t="shared" si="10"/>
        <v>2400001187</v>
      </c>
      <c r="C126" s="1493" t="s">
        <v>7133</v>
      </c>
      <c r="D126" s="1808"/>
      <c r="E126" s="1495"/>
      <c r="F126" s="1493"/>
      <c r="G126" s="1495"/>
      <c r="H126" s="1495"/>
      <c r="I126" s="1495" t="s">
        <v>65</v>
      </c>
      <c r="J126" s="1495" t="s">
        <v>7135</v>
      </c>
      <c r="K126" s="1547" t="s">
        <v>7138</v>
      </c>
      <c r="L126" s="2357">
        <v>575</v>
      </c>
      <c r="M126" s="1495" t="s">
        <v>5255</v>
      </c>
      <c r="N126" s="1859"/>
      <c r="O126" s="1790">
        <v>3</v>
      </c>
      <c r="P126" s="1548"/>
      <c r="Q126" s="1548"/>
      <c r="R126" s="1493"/>
      <c r="S126" s="1493"/>
      <c r="T126" s="1493"/>
    </row>
    <row r="127" spans="1:55" s="1467" customFormat="1" ht="49.6" customHeight="1">
      <c r="A127" s="3770"/>
      <c r="B127" s="1568" t="str">
        <f t="shared" si="10"/>
        <v>2400001188</v>
      </c>
      <c r="C127" s="1493" t="s">
        <v>7133</v>
      </c>
      <c r="D127" s="1808"/>
      <c r="E127" s="1495"/>
      <c r="F127" s="1493"/>
      <c r="G127" s="1495"/>
      <c r="H127" s="1495"/>
      <c r="I127" s="1495" t="s">
        <v>65</v>
      </c>
      <c r="J127" s="1495" t="s">
        <v>7135</v>
      </c>
      <c r="K127" s="1547" t="s">
        <v>7139</v>
      </c>
      <c r="L127" s="2357"/>
      <c r="M127" s="1495" t="s">
        <v>5255</v>
      </c>
      <c r="N127" s="1859"/>
      <c r="O127" s="1790">
        <v>3</v>
      </c>
      <c r="P127" s="1548"/>
      <c r="Q127" s="1548"/>
      <c r="R127" s="1493"/>
      <c r="S127" s="1493"/>
      <c r="T127" s="1493"/>
    </row>
    <row r="128" spans="1:55" s="1467" customFormat="1" ht="49.6" customHeight="1">
      <c r="A128" s="3770"/>
      <c r="B128" s="1568" t="str">
        <f t="shared" si="10"/>
        <v>2400001190</v>
      </c>
      <c r="C128" s="1493" t="s">
        <v>7133</v>
      </c>
      <c r="D128" s="1808"/>
      <c r="E128" s="1495"/>
      <c r="F128" s="1493"/>
      <c r="G128" s="1495"/>
      <c r="H128" s="1495"/>
      <c r="I128" s="1495" t="s">
        <v>65</v>
      </c>
      <c r="J128" s="1495" t="s">
        <v>7135</v>
      </c>
      <c r="K128" s="1547" t="s">
        <v>7140</v>
      </c>
      <c r="L128" s="2357">
        <v>100</v>
      </c>
      <c r="M128" s="1748" t="s">
        <v>5255</v>
      </c>
      <c r="N128" s="1859"/>
      <c r="O128" s="1790">
        <v>3</v>
      </c>
      <c r="P128" s="1548"/>
      <c r="Q128" s="1548"/>
      <c r="R128" s="1493"/>
      <c r="S128" s="1493"/>
      <c r="T128" s="1493"/>
    </row>
    <row r="129" spans="1:26" s="1467" customFormat="1" ht="49.6" customHeight="1">
      <c r="A129" s="3770"/>
      <c r="B129" s="1568" t="str">
        <f t="shared" si="10"/>
        <v>2400001191</v>
      </c>
      <c r="C129" s="1493" t="s">
        <v>7133</v>
      </c>
      <c r="D129" s="1808"/>
      <c r="E129" s="1495"/>
      <c r="F129" s="1493"/>
      <c r="G129" s="1495"/>
      <c r="H129" s="1495"/>
      <c r="I129" s="1495" t="s">
        <v>65</v>
      </c>
      <c r="J129" s="1495" t="s">
        <v>7135</v>
      </c>
      <c r="K129" s="1547" t="s">
        <v>7141</v>
      </c>
      <c r="L129" s="2357">
        <v>1150</v>
      </c>
      <c r="M129" s="1748" t="s">
        <v>5255</v>
      </c>
      <c r="N129" s="1859"/>
      <c r="O129" s="1790">
        <v>3</v>
      </c>
      <c r="P129" s="1548"/>
      <c r="Q129" s="1548"/>
      <c r="R129" s="1493"/>
      <c r="S129" s="1493"/>
      <c r="T129" s="1493"/>
    </row>
    <row r="130" spans="1:26" s="1467" customFormat="1" ht="49.6" customHeight="1">
      <c r="A130" s="3770"/>
      <c r="B130" s="1568" t="str">
        <f t="shared" si="10"/>
        <v>2400001192</v>
      </c>
      <c r="C130" s="1493" t="s">
        <v>7133</v>
      </c>
      <c r="D130" s="1808"/>
      <c r="E130" s="1495"/>
      <c r="F130" s="1493"/>
      <c r="G130" s="1495"/>
      <c r="H130" s="1495"/>
      <c r="I130" s="1495" t="s">
        <v>65</v>
      </c>
      <c r="J130" s="1495" t="s">
        <v>7135</v>
      </c>
      <c r="K130" s="1547" t="s">
        <v>7142</v>
      </c>
      <c r="L130" s="2357">
        <v>250</v>
      </c>
      <c r="M130" s="1495" t="s">
        <v>5255</v>
      </c>
      <c r="N130" s="1859"/>
      <c r="O130" s="1790">
        <v>3</v>
      </c>
      <c r="P130" s="1548"/>
      <c r="Q130" s="1548"/>
      <c r="R130" s="1493"/>
      <c r="S130" s="1493"/>
      <c r="T130" s="1493"/>
    </row>
    <row r="131" spans="1:26" s="1467" customFormat="1" ht="58.6" customHeight="1">
      <c r="A131" s="2436">
        <v>41</v>
      </c>
      <c r="B131" s="1568" t="str">
        <f t="shared" si="10"/>
        <v>0000002934</v>
      </c>
      <c r="C131" s="1902" t="s">
        <v>3534</v>
      </c>
      <c r="D131" s="2488">
        <v>9300</v>
      </c>
      <c r="E131" s="1921" t="s">
        <v>7143</v>
      </c>
      <c r="F131" s="1902" t="s">
        <v>14</v>
      </c>
      <c r="G131" s="1921" t="s">
        <v>7144</v>
      </c>
      <c r="H131" s="1921"/>
      <c r="I131" s="2279" t="s">
        <v>65</v>
      </c>
      <c r="J131" s="1921" t="s">
        <v>294</v>
      </c>
      <c r="K131" s="1845" t="s">
        <v>7145</v>
      </c>
      <c r="L131" s="2583">
        <v>9300</v>
      </c>
      <c r="M131" s="2196" t="s">
        <v>5230</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6" customHeight="1">
      <c r="A132" s="2436">
        <v>42</v>
      </c>
      <c r="B132" s="1921" t="str">
        <f>TEXT(LEFT(K132,10),"0000000000")</f>
        <v>2200001976</v>
      </c>
      <c r="C132" s="1902" t="s">
        <v>6893</v>
      </c>
      <c r="D132" s="2607">
        <v>4200</v>
      </c>
      <c r="E132" s="1921" t="s">
        <v>7146</v>
      </c>
      <c r="F132" s="1902" t="s">
        <v>24</v>
      </c>
      <c r="G132" s="1561" t="s">
        <v>7147</v>
      </c>
      <c r="H132" s="1921"/>
      <c r="I132" s="2279" t="s">
        <v>65</v>
      </c>
      <c r="J132" s="1921" t="s">
        <v>1000</v>
      </c>
      <c r="K132" s="1911" t="s">
        <v>5387</v>
      </c>
      <c r="L132" s="2583">
        <v>4964</v>
      </c>
      <c r="M132" s="2196" t="s">
        <v>5247</v>
      </c>
      <c r="N132" s="1859"/>
      <c r="O132" s="1790">
        <v>3</v>
      </c>
      <c r="P132" s="1548"/>
      <c r="Q132" s="1493">
        <v>2200001976</v>
      </c>
      <c r="R132" s="2628" t="e">
        <f>VLOOKUP(Q132,#REF!,2,0)</f>
        <v>#REF!</v>
      </c>
      <c r="S132" s="2628" t="e">
        <f>VLOOKUP(Q132,#REF!,3,0)</f>
        <v>#REF!</v>
      </c>
      <c r="T132" s="2629" t="e">
        <f>R132-S132</f>
        <v>#REF!</v>
      </c>
    </row>
    <row r="133" spans="1:26" s="1467" customFormat="1" ht="58.6" customHeight="1">
      <c r="A133" s="3772">
        <v>43</v>
      </c>
      <c r="B133" s="2279" t="str">
        <f>TEXT(LEFT(K133,10),"0000000000")</f>
        <v>2200001988</v>
      </c>
      <c r="C133" s="1902" t="s">
        <v>5832</v>
      </c>
      <c r="D133" s="2607">
        <v>4368</v>
      </c>
      <c r="E133" s="1921" t="s">
        <v>7148</v>
      </c>
      <c r="F133" s="1902" t="s">
        <v>20</v>
      </c>
      <c r="G133" s="1921" t="s">
        <v>7149</v>
      </c>
      <c r="H133" s="1921"/>
      <c r="I133" s="1921" t="s">
        <v>65</v>
      </c>
      <c r="J133" s="1921" t="s">
        <v>1179</v>
      </c>
      <c r="K133" s="1845" t="s">
        <v>7150</v>
      </c>
      <c r="L133" s="2583">
        <v>2030</v>
      </c>
      <c r="M133" s="1909" t="s">
        <v>5255</v>
      </c>
      <c r="N133" s="1843" t="s">
        <v>7151</v>
      </c>
      <c r="O133" s="1790">
        <v>3</v>
      </c>
      <c r="P133" s="1548"/>
      <c r="Q133" s="1493"/>
      <c r="R133" s="1493"/>
      <c r="S133" s="1493"/>
      <c r="T133" s="2429"/>
    </row>
    <row r="134" spans="1:26" s="1467" customFormat="1" ht="58.6" customHeight="1">
      <c r="A134" s="3772"/>
      <c r="B134" s="1568" t="str">
        <f>TEXT(LEFT(K134,10),"0000000000")</f>
        <v>2200001989</v>
      </c>
      <c r="C134" s="1493" t="s">
        <v>5832</v>
      </c>
      <c r="D134" s="1494"/>
      <c r="E134" s="1495"/>
      <c r="F134" s="1493" t="s">
        <v>20</v>
      </c>
      <c r="G134" s="1495"/>
      <c r="H134" s="1495"/>
      <c r="I134" s="1495" t="s">
        <v>65</v>
      </c>
      <c r="J134" s="1495" t="s">
        <v>1179</v>
      </c>
      <c r="K134" s="1600" t="s">
        <v>7152</v>
      </c>
      <c r="L134" s="2357">
        <v>666</v>
      </c>
      <c r="M134" s="1909" t="s">
        <v>5255</v>
      </c>
      <c r="N134" s="1843" t="s">
        <v>7151</v>
      </c>
      <c r="O134" s="1790">
        <v>3</v>
      </c>
      <c r="P134" s="1548"/>
      <c r="Q134" s="1493"/>
      <c r="R134" s="1493"/>
      <c r="S134" s="1493"/>
      <c r="T134" s="2429"/>
    </row>
    <row r="135" spans="1:26" s="1467" customFormat="1" ht="58.6" customHeight="1">
      <c r="A135" s="3773"/>
      <c r="B135" s="1568" t="str">
        <f>TEXT(LEFT(K135,10),"0000000000")</f>
        <v>2200001990</v>
      </c>
      <c r="C135" s="1493" t="s">
        <v>5832</v>
      </c>
      <c r="D135" s="1494"/>
      <c r="E135" s="1495"/>
      <c r="F135" s="1493" t="s">
        <v>20</v>
      </c>
      <c r="G135" s="1495"/>
      <c r="H135" s="1495"/>
      <c r="I135" s="1495" t="s">
        <v>65</v>
      </c>
      <c r="J135" s="1495" t="s">
        <v>1179</v>
      </c>
      <c r="K135" s="1600" t="s">
        <v>7153</v>
      </c>
      <c r="L135" s="2357">
        <v>1811</v>
      </c>
      <c r="M135" s="1909" t="s">
        <v>5255</v>
      </c>
      <c r="N135" s="1843" t="s">
        <v>7151</v>
      </c>
      <c r="O135" s="1790">
        <v>3</v>
      </c>
      <c r="P135" s="1548"/>
      <c r="Q135" s="1493"/>
      <c r="R135" s="1493"/>
      <c r="S135" s="1493"/>
      <c r="T135" s="2429"/>
    </row>
    <row r="136" spans="1:26" s="1467" customFormat="1" ht="58.6" customHeight="1">
      <c r="A136" s="3768">
        <v>44</v>
      </c>
      <c r="B136" s="1568" t="str">
        <f t="shared" ref="B136:B140" si="11">TEXT(LEFT(K136,10),"0000000000")</f>
        <v>2000002942</v>
      </c>
      <c r="C136" s="1902" t="s">
        <v>3454</v>
      </c>
      <c r="D136" s="2607">
        <v>24000</v>
      </c>
      <c r="E136" s="1921" t="s">
        <v>7154</v>
      </c>
      <c r="F136" s="1902" t="s">
        <v>14</v>
      </c>
      <c r="G136" s="1921" t="s">
        <v>7155</v>
      </c>
      <c r="H136" s="1921"/>
      <c r="I136" s="2187" t="s">
        <v>65</v>
      </c>
      <c r="J136" s="2187" t="s">
        <v>164</v>
      </c>
      <c r="K136" s="2682" t="s">
        <v>7156</v>
      </c>
      <c r="L136" s="2564">
        <v>500</v>
      </c>
      <c r="M136" s="2506" t="s">
        <v>5230</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3" customHeight="1">
      <c r="A137" s="3770"/>
      <c r="B137" s="1568" t="str">
        <f t="shared" si="11"/>
        <v>2000002985</v>
      </c>
      <c r="C137" s="1493" t="s">
        <v>3454</v>
      </c>
      <c r="D137" s="1808"/>
      <c r="E137" s="1495"/>
      <c r="F137" s="1493" t="s">
        <v>14</v>
      </c>
      <c r="G137" s="1495"/>
      <c r="H137" s="1495"/>
      <c r="I137" s="1495" t="s">
        <v>65</v>
      </c>
      <c r="J137" s="1495" t="s">
        <v>164</v>
      </c>
      <c r="K137" s="1547" t="s">
        <v>7157</v>
      </c>
      <c r="L137" s="2357">
        <v>3000</v>
      </c>
      <c r="M137" s="2196" t="s">
        <v>5230</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3" customHeight="1">
      <c r="A138" s="3770"/>
      <c r="B138" s="1568" t="str">
        <f t="shared" si="11"/>
        <v>2000002971</v>
      </c>
      <c r="C138" s="1493" t="s">
        <v>3454</v>
      </c>
      <c r="D138" s="1494"/>
      <c r="E138" s="1495"/>
      <c r="F138" s="1493" t="s">
        <v>14</v>
      </c>
      <c r="G138" s="1495"/>
      <c r="H138" s="1495"/>
      <c r="I138" s="1495" t="s">
        <v>65</v>
      </c>
      <c r="J138" s="1495" t="s">
        <v>164</v>
      </c>
      <c r="K138" s="1600" t="s">
        <v>7158</v>
      </c>
      <c r="L138" s="2357">
        <v>2500</v>
      </c>
      <c r="M138" s="2196" t="s">
        <v>5230</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6" customHeight="1">
      <c r="A139" s="3770"/>
      <c r="B139" s="1568" t="str">
        <f t="shared" si="11"/>
        <v>2000002966</v>
      </c>
      <c r="C139" s="1493" t="s">
        <v>3454</v>
      </c>
      <c r="D139" s="1494"/>
      <c r="E139" s="1495"/>
      <c r="F139" s="1493" t="s">
        <v>14</v>
      </c>
      <c r="G139" s="1495"/>
      <c r="H139" s="1495"/>
      <c r="I139" s="1495" t="s">
        <v>65</v>
      </c>
      <c r="J139" s="1495" t="s">
        <v>164</v>
      </c>
      <c r="K139" s="1600" t="s">
        <v>7159</v>
      </c>
      <c r="L139" s="2357">
        <v>2500</v>
      </c>
      <c r="M139" s="2196" t="s">
        <v>5230</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6" customHeight="1">
      <c r="A140" s="3770"/>
      <c r="B140" s="1568" t="str">
        <f t="shared" si="11"/>
        <v>2000002970</v>
      </c>
      <c r="C140" s="1493" t="s">
        <v>3454</v>
      </c>
      <c r="D140" s="1494"/>
      <c r="E140" s="1495"/>
      <c r="F140" s="1493" t="s">
        <v>14</v>
      </c>
      <c r="G140" s="1568"/>
      <c r="H140" s="1495"/>
      <c r="I140" s="1568" t="s">
        <v>65</v>
      </c>
      <c r="J140" s="1495" t="s">
        <v>164</v>
      </c>
      <c r="K140" s="1551" t="s">
        <v>7160</v>
      </c>
      <c r="L140" s="2357">
        <v>1000</v>
      </c>
      <c r="M140" s="2196" t="s">
        <v>5230</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6" customHeight="1">
      <c r="A141" s="3770"/>
      <c r="B141" s="1495" t="str">
        <f>TEXT(LEFT(K141,10),"0000000000")</f>
        <v>2000002940</v>
      </c>
      <c r="C141" s="1493" t="s">
        <v>3454</v>
      </c>
      <c r="D141" s="1494"/>
      <c r="E141" s="1495"/>
      <c r="F141" s="1493" t="s">
        <v>14</v>
      </c>
      <c r="G141" s="1900"/>
      <c r="H141" s="1495"/>
      <c r="I141" s="1495" t="s">
        <v>65</v>
      </c>
      <c r="J141" s="1495" t="s">
        <v>164</v>
      </c>
      <c r="K141" s="1600" t="s">
        <v>7161</v>
      </c>
      <c r="L141" s="2610">
        <v>2700</v>
      </c>
      <c r="M141" s="2051" t="s">
        <v>5255</v>
      </c>
      <c r="N141" s="2712"/>
      <c r="O141" s="1852">
        <v>3</v>
      </c>
      <c r="P141" s="1548"/>
      <c r="Q141" s="1548"/>
      <c r="R141" s="1493"/>
      <c r="S141" s="1493"/>
      <c r="T141" s="1493"/>
    </row>
    <row r="142" spans="1:26" s="1467" customFormat="1" ht="66.099999999999994" customHeight="1">
      <c r="A142" s="3770"/>
      <c r="B142" s="1900" t="str">
        <f>TEXT(LEFT(K142,10),"0000000000")</f>
        <v>2000002939</v>
      </c>
      <c r="C142" s="1493" t="s">
        <v>3454</v>
      </c>
      <c r="D142" s="2613"/>
      <c r="E142" s="1851"/>
      <c r="F142" s="1493" t="s">
        <v>14</v>
      </c>
      <c r="G142" s="1495"/>
      <c r="H142" s="1495"/>
      <c r="I142" s="1495" t="s">
        <v>65</v>
      </c>
      <c r="J142" s="1495" t="s">
        <v>106</v>
      </c>
      <c r="K142" s="1546" t="s">
        <v>7162</v>
      </c>
      <c r="L142" s="2357">
        <v>3000</v>
      </c>
      <c r="M142" s="2196" t="s">
        <v>5230</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70"/>
      <c r="B143" s="1495" t="str">
        <f>TEXT(LEFT(K143,10),"0000000000")</f>
        <v>2000002973</v>
      </c>
      <c r="C143" s="1493" t="s">
        <v>3454</v>
      </c>
      <c r="D143" s="1494"/>
      <c r="E143" s="1495"/>
      <c r="F143" s="1493" t="s">
        <v>14</v>
      </c>
      <c r="G143" s="1900"/>
      <c r="H143" s="1495"/>
      <c r="I143" s="1495" t="s">
        <v>65</v>
      </c>
      <c r="J143" s="1773" t="s">
        <v>106</v>
      </c>
      <c r="K143" s="1547" t="s">
        <v>7163</v>
      </c>
      <c r="L143" s="2483">
        <v>5000</v>
      </c>
      <c r="M143" s="1748" t="s">
        <v>7164</v>
      </c>
      <c r="N143" s="2712"/>
      <c r="O143" s="1852">
        <v>3</v>
      </c>
      <c r="P143" s="1548"/>
      <c r="Q143" s="1548"/>
      <c r="R143" s="1493"/>
      <c r="S143" s="1493"/>
      <c r="T143" s="1493"/>
    </row>
    <row r="144" spans="1:26" s="1467" customFormat="1" ht="84.1" customHeight="1">
      <c r="A144" s="3769"/>
      <c r="B144" s="2419" t="str">
        <f>TEXT(LEFT(K144,10),"0000000000")</f>
        <v>2000002989</v>
      </c>
      <c r="C144" s="1545" t="s">
        <v>3454</v>
      </c>
      <c r="D144" s="2613"/>
      <c r="E144" s="1543"/>
      <c r="F144" s="1545" t="s">
        <v>14</v>
      </c>
      <c r="G144" s="1543"/>
      <c r="H144" s="1543"/>
      <c r="I144" s="1543" t="s">
        <v>65</v>
      </c>
      <c r="J144" s="1773" t="s">
        <v>106</v>
      </c>
      <c r="K144" s="1605" t="s">
        <v>7165</v>
      </c>
      <c r="L144" s="2636">
        <v>3800</v>
      </c>
      <c r="M144" s="2051" t="s">
        <v>5255</v>
      </c>
      <c r="N144" s="2544" t="s">
        <v>7166</v>
      </c>
      <c r="O144" s="1852">
        <v>3</v>
      </c>
      <c r="P144" s="1559"/>
      <c r="Q144" s="1559"/>
      <c r="R144" s="1545"/>
      <c r="S144" s="1545"/>
      <c r="T144" s="1545"/>
    </row>
    <row r="145" spans="1:56" s="1958" customFormat="1" ht="58.6" customHeight="1">
      <c r="A145" s="3771">
        <v>45</v>
      </c>
      <c r="B145" s="1495" t="str">
        <f t="shared" ref="B145:B150" si="13">TEXT(LEFT(K145,10),"0000000000")</f>
        <v>2200001976</v>
      </c>
      <c r="C145" s="1493" t="s">
        <v>4824</v>
      </c>
      <c r="D145" s="1494">
        <v>5830</v>
      </c>
      <c r="E145" s="1495" t="s">
        <v>7167</v>
      </c>
      <c r="F145" s="1493" t="s">
        <v>18</v>
      </c>
      <c r="G145" s="1495" t="s">
        <v>7168</v>
      </c>
      <c r="H145" s="1495" t="s">
        <v>7169</v>
      </c>
      <c r="I145" s="1495" t="s">
        <v>65</v>
      </c>
      <c r="J145" s="1495" t="s">
        <v>1000</v>
      </c>
      <c r="K145" s="1547" t="s">
        <v>5387</v>
      </c>
      <c r="L145" s="2357">
        <v>764</v>
      </c>
      <c r="M145" s="2196" t="s">
        <v>5247</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6" customHeight="1">
      <c r="A146" s="3772"/>
      <c r="B146" s="1947" t="str">
        <f>TEXT(LEFT(K146,10),"0000000000")</f>
        <v>2000002986</v>
      </c>
      <c r="C146" s="1630" t="s">
        <v>4824</v>
      </c>
      <c r="D146" s="1631"/>
      <c r="E146" s="1851"/>
      <c r="F146" s="1630" t="s">
        <v>18</v>
      </c>
      <c r="G146" s="1851"/>
      <c r="H146" s="1851"/>
      <c r="I146" s="1851" t="s">
        <v>65</v>
      </c>
      <c r="J146" s="1851" t="s">
        <v>1000</v>
      </c>
      <c r="K146" s="1881" t="s">
        <v>7170</v>
      </c>
      <c r="L146" s="2361">
        <v>2500</v>
      </c>
      <c r="M146" s="2160" t="s">
        <v>5230</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6" customHeight="1">
      <c r="A147" s="3773"/>
      <c r="B147" s="1568" t="str">
        <f>TEXT(LEFT(K147,10),"0000000000")</f>
        <v>2000002987</v>
      </c>
      <c r="C147" s="1630" t="s">
        <v>4824</v>
      </c>
      <c r="D147" s="1631"/>
      <c r="E147" s="1851"/>
      <c r="F147" s="1493" t="s">
        <v>18</v>
      </c>
      <c r="G147" s="1851"/>
      <c r="H147" s="1851"/>
      <c r="I147" s="1495" t="s">
        <v>65</v>
      </c>
      <c r="J147" s="1495" t="s">
        <v>1000</v>
      </c>
      <c r="K147" s="1547" t="s">
        <v>7171</v>
      </c>
      <c r="L147" s="2357">
        <v>2500</v>
      </c>
      <c r="M147" s="2196" t="s">
        <v>5230</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6" customHeight="1">
      <c r="A148" s="3771">
        <v>46</v>
      </c>
      <c r="B148" s="2279" t="str">
        <f t="shared" si="13"/>
        <v>2200001954</v>
      </c>
      <c r="C148" s="2391" t="s">
        <v>6985</v>
      </c>
      <c r="D148" s="2585">
        <v>4250</v>
      </c>
      <c r="E148" s="2118" t="s">
        <v>7172</v>
      </c>
      <c r="F148" s="1902" t="s">
        <v>22</v>
      </c>
      <c r="G148" s="2118" t="s">
        <v>7173</v>
      </c>
      <c r="H148" s="1909" t="s">
        <v>7169</v>
      </c>
      <c r="I148" s="1921" t="s">
        <v>65</v>
      </c>
      <c r="J148" s="1921" t="s">
        <v>1000</v>
      </c>
      <c r="K148" s="1911" t="s">
        <v>7021</v>
      </c>
      <c r="L148" s="2583">
        <v>459</v>
      </c>
      <c r="M148" s="2196" t="s">
        <v>7174</v>
      </c>
      <c r="N148" s="2712"/>
      <c r="O148" s="1790">
        <v>3</v>
      </c>
      <c r="P148" s="1548"/>
      <c r="Q148" s="1493">
        <v>2200001954</v>
      </c>
      <c r="R148" s="2628" t="e">
        <f>VLOOKUP(Q148,#REF!,2,0)</f>
        <v>#REF!</v>
      </c>
      <c r="S148" s="2628" t="e">
        <f>VLOOKUP(Q148,#REF!,3,0)</f>
        <v>#REF!</v>
      </c>
      <c r="T148" s="2629" t="e">
        <f t="shared" si="14"/>
        <v>#REF!</v>
      </c>
    </row>
    <row r="149" spans="1:56" s="1467" customFormat="1" ht="58.6" customHeight="1">
      <c r="A149" s="3772"/>
      <c r="B149" s="1568" t="str">
        <f t="shared" si="13"/>
        <v>2200001978</v>
      </c>
      <c r="C149" s="1630" t="s">
        <v>6985</v>
      </c>
      <c r="D149" s="1631"/>
      <c r="E149" s="1851"/>
      <c r="F149" s="1493" t="s">
        <v>22</v>
      </c>
      <c r="G149" s="1851"/>
      <c r="H149" s="1851"/>
      <c r="I149" s="1495" t="s">
        <v>65</v>
      </c>
      <c r="J149" s="1495" t="s">
        <v>1000</v>
      </c>
      <c r="K149" s="1547" t="s">
        <v>7175</v>
      </c>
      <c r="L149" s="2357">
        <v>786</v>
      </c>
      <c r="M149" s="2196" t="s">
        <v>5247</v>
      </c>
      <c r="N149" s="2712"/>
      <c r="O149" s="1790">
        <v>3</v>
      </c>
      <c r="P149" s="1548"/>
      <c r="Q149" s="1493">
        <v>2200001978</v>
      </c>
      <c r="R149" s="2628" t="e">
        <f>VLOOKUP(Q149,#REF!,2,0)</f>
        <v>#REF!</v>
      </c>
      <c r="S149" s="2628" t="e">
        <f>VLOOKUP(Q149,#REF!,3,0)</f>
        <v>#REF!</v>
      </c>
      <c r="T149" s="2629" t="e">
        <f t="shared" si="14"/>
        <v>#REF!</v>
      </c>
    </row>
    <row r="150" spans="1:56" s="1467" customFormat="1" ht="58.6" customHeight="1">
      <c r="A150" s="3772"/>
      <c r="B150" s="1568" t="str">
        <f t="shared" si="13"/>
        <v>2000002988</v>
      </c>
      <c r="C150" s="1630" t="s">
        <v>6985</v>
      </c>
      <c r="D150" s="1631"/>
      <c r="E150" s="1851"/>
      <c r="F150" s="1493" t="s">
        <v>22</v>
      </c>
      <c r="G150" s="1851"/>
      <c r="H150" s="1851"/>
      <c r="I150" s="1495" t="s">
        <v>65</v>
      </c>
      <c r="J150" s="1495" t="s">
        <v>1000</v>
      </c>
      <c r="K150" s="1547" t="s">
        <v>7176</v>
      </c>
      <c r="L150" s="2357">
        <v>2000</v>
      </c>
      <c r="M150" s="2196" t="s">
        <v>5230</v>
      </c>
      <c r="N150" s="2712"/>
      <c r="O150" s="1790">
        <v>3</v>
      </c>
      <c r="P150" s="1548"/>
      <c r="Q150" s="1493">
        <v>2000002917</v>
      </c>
      <c r="R150" s="2628" t="e">
        <f>VLOOKUP(Q150,#REF!,2,0)</f>
        <v>#REF!</v>
      </c>
      <c r="S150" s="2628" t="e">
        <f>VLOOKUP(Q150,#REF!,3,0)</f>
        <v>#REF!</v>
      </c>
      <c r="T150" s="2629" t="e">
        <f t="shared" si="14"/>
        <v>#REF!</v>
      </c>
    </row>
    <row r="151" spans="1:56" s="1467" customFormat="1" ht="58.6" customHeight="1">
      <c r="A151" s="3773"/>
      <c r="B151" s="1495" t="str">
        <f>TEXT(LEFT(K151,10),"0000000000")</f>
        <v>2000002967</v>
      </c>
      <c r="C151" s="1630" t="s">
        <v>6985</v>
      </c>
      <c r="D151" s="1808"/>
      <c r="E151" s="1495"/>
      <c r="F151" s="1493" t="s">
        <v>22</v>
      </c>
      <c r="G151" s="1495"/>
      <c r="H151" s="1495"/>
      <c r="I151" s="1495" t="s">
        <v>65</v>
      </c>
      <c r="J151" s="1495" t="s">
        <v>1000</v>
      </c>
      <c r="K151" s="1547" t="s">
        <v>7177</v>
      </c>
      <c r="L151" s="2357">
        <v>1000</v>
      </c>
      <c r="M151" s="2196" t="s">
        <v>5230</v>
      </c>
      <c r="N151" s="1859" t="s">
        <v>7178</v>
      </c>
      <c r="O151" s="1790">
        <v>3</v>
      </c>
      <c r="P151" s="1548"/>
      <c r="Q151" s="1493">
        <v>2000002967</v>
      </c>
      <c r="R151" s="2628" t="e">
        <f>VLOOKUP(Q151,#REF!,2,0)</f>
        <v>#REF!</v>
      </c>
      <c r="S151" s="2628" t="e">
        <f>VLOOKUP(Q151,#REF!,3,0)</f>
        <v>#REF!</v>
      </c>
      <c r="T151" s="2629" t="e">
        <f t="shared" si="14"/>
        <v>#REF!</v>
      </c>
    </row>
    <row r="152" spans="1:56" s="2643" customFormat="1" ht="58.6" customHeight="1">
      <c r="A152" s="3768">
        <v>47</v>
      </c>
      <c r="B152" s="2159" t="str">
        <f>TEXT(LEFT(K152,10),"0000000000")</f>
        <v>2200001981</v>
      </c>
      <c r="C152" s="2391" t="s">
        <v>3772</v>
      </c>
      <c r="D152" s="2585">
        <v>8800</v>
      </c>
      <c r="E152" s="2118" t="s">
        <v>7179</v>
      </c>
      <c r="F152" s="1902" t="s">
        <v>16</v>
      </c>
      <c r="G152" s="2118" t="s">
        <v>7180</v>
      </c>
      <c r="H152" s="1909" t="s">
        <v>7169</v>
      </c>
      <c r="I152" s="1921" t="s">
        <v>65</v>
      </c>
      <c r="J152" s="1921" t="s">
        <v>1179</v>
      </c>
      <c r="K152" s="1911" t="s">
        <v>7181</v>
      </c>
      <c r="L152" s="2713">
        <v>3400</v>
      </c>
      <c r="M152" s="2196" t="s">
        <v>5230</v>
      </c>
      <c r="N152" s="2675" t="s">
        <v>7182</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6" customHeight="1">
      <c r="A153" s="3770"/>
      <c r="B153" s="1947" t="str">
        <f t="shared" ref="B153:B154" si="15">TEXT(LEFT(K153,10),"0000000000")</f>
        <v>2000002926</v>
      </c>
      <c r="C153" s="1630" t="s">
        <v>3772</v>
      </c>
      <c r="D153" s="2325"/>
      <c r="E153" s="1495"/>
      <c r="F153" s="1493" t="s">
        <v>16</v>
      </c>
      <c r="G153" s="1851"/>
      <c r="H153" s="1851"/>
      <c r="I153" s="1495" t="s">
        <v>65</v>
      </c>
      <c r="J153" s="1921" t="s">
        <v>1179</v>
      </c>
      <c r="K153" s="2402" t="s">
        <v>7183</v>
      </c>
      <c r="L153" s="2714">
        <v>2730</v>
      </c>
      <c r="M153" s="2196" t="s">
        <v>5230</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6" customHeight="1">
      <c r="A154" s="3769"/>
      <c r="B154" s="1947" t="str">
        <f t="shared" si="15"/>
        <v>2000002925</v>
      </c>
      <c r="C154" s="1630" t="s">
        <v>3772</v>
      </c>
      <c r="D154" s="2325"/>
      <c r="E154" s="1495"/>
      <c r="F154" s="1493" t="s">
        <v>16</v>
      </c>
      <c r="G154" s="1495"/>
      <c r="H154" s="1495"/>
      <c r="I154" s="1495" t="s">
        <v>65</v>
      </c>
      <c r="J154" s="1921" t="s">
        <v>1179</v>
      </c>
      <c r="K154" s="1990" t="s">
        <v>7184</v>
      </c>
      <c r="L154" s="2610">
        <v>2650</v>
      </c>
      <c r="M154" s="2196" t="s">
        <v>5230</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68">
        <v>48</v>
      </c>
      <c r="B155" s="2159" t="str">
        <f>TEXT(LEFT(K155,10),"0000000000")</f>
        <v>2200001981</v>
      </c>
      <c r="C155" s="2391" t="s">
        <v>3156</v>
      </c>
      <c r="D155" s="2585">
        <v>9600</v>
      </c>
      <c r="E155" s="2118" t="s">
        <v>7185</v>
      </c>
      <c r="F155" s="1902" t="s">
        <v>16</v>
      </c>
      <c r="G155" s="2118" t="s">
        <v>7186</v>
      </c>
      <c r="H155" s="1909" t="s">
        <v>7169</v>
      </c>
      <c r="I155" s="1921" t="s">
        <v>65</v>
      </c>
      <c r="J155" s="1921" t="s">
        <v>1179</v>
      </c>
      <c r="K155" s="1845" t="s">
        <v>7187</v>
      </c>
      <c r="L155" s="2713">
        <v>3600</v>
      </c>
      <c r="M155" s="2196" t="s">
        <v>5230</v>
      </c>
      <c r="N155" s="2675" t="s">
        <v>7182</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69"/>
      <c r="B156" s="1947" t="str">
        <f t="shared" ref="B156:B159" si="16">TEXT(LEFT(K156,10),"0000000000")</f>
        <v>2000002936</v>
      </c>
      <c r="C156" s="1630" t="s">
        <v>3156</v>
      </c>
      <c r="D156" s="2585"/>
      <c r="E156" s="2118"/>
      <c r="F156" s="1902" t="s">
        <v>16</v>
      </c>
      <c r="G156" s="2118"/>
      <c r="H156" s="1495"/>
      <c r="I156" s="1495" t="s">
        <v>65</v>
      </c>
      <c r="J156" s="1495" t="s">
        <v>66</v>
      </c>
      <c r="K156" s="1605" t="s">
        <v>7188</v>
      </c>
      <c r="L156" s="2357">
        <v>6000</v>
      </c>
      <c r="M156" s="2160" t="s">
        <v>5230</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68">
        <v>49</v>
      </c>
      <c r="B157" s="1947" t="str">
        <f t="shared" si="16"/>
        <v>2000002980</v>
      </c>
      <c r="C157" s="1630" t="s">
        <v>247</v>
      </c>
      <c r="D157" s="2585">
        <v>4350</v>
      </c>
      <c r="E157" s="2118" t="s">
        <v>7154</v>
      </c>
      <c r="F157" s="1902" t="s">
        <v>22</v>
      </c>
      <c r="G157" s="2118" t="s">
        <v>7189</v>
      </c>
      <c r="H157" s="1495" t="s">
        <v>7169</v>
      </c>
      <c r="I157" s="1495" t="s">
        <v>65</v>
      </c>
      <c r="J157" s="1495" t="s">
        <v>117</v>
      </c>
      <c r="K157" s="1605" t="s">
        <v>7190</v>
      </c>
      <c r="L157" s="2357">
        <v>1000</v>
      </c>
      <c r="M157" s="2160" t="s">
        <v>5230</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3" customHeight="1">
      <c r="A158" s="3770"/>
      <c r="B158" s="1947" t="str">
        <f t="shared" si="16"/>
        <v>2200001979</v>
      </c>
      <c r="C158" s="1630" t="s">
        <v>247</v>
      </c>
      <c r="D158" s="2585"/>
      <c r="E158" s="2118"/>
      <c r="F158" s="1902" t="s">
        <v>22</v>
      </c>
      <c r="G158" s="2118"/>
      <c r="H158" s="1495"/>
      <c r="I158" s="1495" t="s">
        <v>65</v>
      </c>
      <c r="J158" s="1495" t="s">
        <v>117</v>
      </c>
      <c r="K158" s="1605" t="s">
        <v>7191</v>
      </c>
      <c r="L158" s="2357">
        <v>747</v>
      </c>
      <c r="M158" s="2160" t="s">
        <v>5247</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3" customHeight="1">
      <c r="A159" s="3770"/>
      <c r="B159" s="1947" t="str">
        <f t="shared" si="16"/>
        <v>2200001984</v>
      </c>
      <c r="C159" s="1630" t="s">
        <v>247</v>
      </c>
      <c r="D159" s="2585"/>
      <c r="E159" s="2118"/>
      <c r="F159" s="1902" t="s">
        <v>22</v>
      </c>
      <c r="G159" s="2118"/>
      <c r="H159" s="1495"/>
      <c r="I159" s="1495" t="s">
        <v>65</v>
      </c>
      <c r="J159" s="1495" t="s">
        <v>117</v>
      </c>
      <c r="K159" s="1605" t="s">
        <v>7192</v>
      </c>
      <c r="L159" s="2357">
        <v>1064</v>
      </c>
      <c r="M159" s="2160" t="s">
        <v>7193</v>
      </c>
      <c r="N159" s="1843"/>
      <c r="O159" s="1790">
        <v>3</v>
      </c>
      <c r="P159" s="1548"/>
      <c r="Q159" s="1493"/>
      <c r="R159" s="2628"/>
      <c r="S159" s="2628"/>
      <c r="T159" s="2716"/>
      <c r="X159" s="1474"/>
      <c r="Y159" s="1474"/>
      <c r="Z159" s="1474"/>
    </row>
    <row r="160" spans="1:56" s="1467" customFormat="1" ht="59.3" customHeight="1">
      <c r="A160" s="3770"/>
      <c r="B160" s="1947" t="str">
        <f>TEXT(LEFT(K160,10),"0000000000")</f>
        <v>2200001991</v>
      </c>
      <c r="C160" s="1630" t="s">
        <v>247</v>
      </c>
      <c r="D160" s="2585"/>
      <c r="E160" s="2118"/>
      <c r="F160" s="1902" t="s">
        <v>22</v>
      </c>
      <c r="G160" s="2118"/>
      <c r="H160" s="1495"/>
      <c r="I160" s="1495" t="s">
        <v>65</v>
      </c>
      <c r="J160" s="1495" t="s">
        <v>117</v>
      </c>
      <c r="K160" s="1605" t="s">
        <v>7194</v>
      </c>
      <c r="L160" s="2357">
        <v>735</v>
      </c>
      <c r="M160" s="2160" t="s">
        <v>7195</v>
      </c>
      <c r="N160" s="1843"/>
      <c r="O160" s="1790">
        <v>3</v>
      </c>
      <c r="P160" s="1548"/>
      <c r="Q160" s="1493"/>
      <c r="R160" s="2628"/>
      <c r="S160" s="2628"/>
      <c r="T160" s="2716"/>
      <c r="X160" s="1474"/>
      <c r="Y160" s="1474"/>
      <c r="Z160" s="1474"/>
    </row>
    <row r="161" spans="1:56" s="1467" customFormat="1" ht="59.3" customHeight="1">
      <c r="A161" s="3770"/>
      <c r="B161" s="1947" t="str">
        <f t="shared" ref="B161:B167" si="17">TEXT(LEFT(K161,10),"0000000000")</f>
        <v>2200001980</v>
      </c>
      <c r="C161" s="1630" t="s">
        <v>247</v>
      </c>
      <c r="D161" s="2585"/>
      <c r="E161" s="2118"/>
      <c r="F161" s="1902" t="s">
        <v>22</v>
      </c>
      <c r="G161" s="2118"/>
      <c r="H161" s="1495"/>
      <c r="I161" s="1495" t="s">
        <v>65</v>
      </c>
      <c r="J161" s="1495" t="s">
        <v>142</v>
      </c>
      <c r="K161" s="1605" t="s">
        <v>7196</v>
      </c>
      <c r="L161" s="2357">
        <v>426</v>
      </c>
      <c r="M161" s="2160" t="s">
        <v>5247</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3" customHeight="1">
      <c r="A162" s="3769"/>
      <c r="B162" s="1947" t="str">
        <f t="shared" si="17"/>
        <v>2200001985</v>
      </c>
      <c r="C162" s="1630" t="s">
        <v>247</v>
      </c>
      <c r="D162" s="2585"/>
      <c r="E162" s="2118"/>
      <c r="F162" s="1902" t="s">
        <v>22</v>
      </c>
      <c r="G162" s="2118"/>
      <c r="H162" s="1495"/>
      <c r="I162" s="1495" t="s">
        <v>65</v>
      </c>
      <c r="J162" s="1495" t="s">
        <v>142</v>
      </c>
      <c r="K162" s="1605" t="s">
        <v>7197</v>
      </c>
      <c r="L162" s="2357">
        <v>350</v>
      </c>
      <c r="M162" s="2160" t="s">
        <v>7193</v>
      </c>
      <c r="N162" s="1843"/>
      <c r="O162" s="1790">
        <v>3</v>
      </c>
      <c r="P162" s="1548"/>
      <c r="Q162" s="1493"/>
      <c r="R162" s="2628"/>
      <c r="S162" s="2628"/>
      <c r="T162" s="2716"/>
      <c r="X162" s="1474"/>
      <c r="Y162" s="1474"/>
      <c r="Z162" s="1474"/>
    </row>
    <row r="163" spans="1:56" s="1467" customFormat="1" ht="59.3" customHeight="1">
      <c r="A163" s="2436">
        <v>50</v>
      </c>
      <c r="B163" s="1568" t="str">
        <f>TEXT(LEFT(K163,10),"0000000000")</f>
        <v>2000002954</v>
      </c>
      <c r="C163" s="1902" t="s">
        <v>3534</v>
      </c>
      <c r="D163" s="2488">
        <v>9300</v>
      </c>
      <c r="E163" s="1921" t="s">
        <v>7198</v>
      </c>
      <c r="F163" s="1902" t="s">
        <v>14</v>
      </c>
      <c r="G163" s="1921" t="s">
        <v>7199</v>
      </c>
      <c r="H163" s="1909" t="s">
        <v>7169</v>
      </c>
      <c r="I163" s="1921" t="s">
        <v>65</v>
      </c>
      <c r="J163" s="1921" t="s">
        <v>294</v>
      </c>
      <c r="K163" s="1845" t="s">
        <v>7200</v>
      </c>
      <c r="L163" s="2583">
        <v>9300</v>
      </c>
      <c r="M163" s="2160" t="s">
        <v>5230</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3" customHeight="1">
      <c r="A164" s="3776">
        <v>51</v>
      </c>
      <c r="B164" s="1568" t="str">
        <f>TEXT(LEFT(K164,10),"0000000000")</f>
        <v>2200001981</v>
      </c>
      <c r="C164" s="2180" t="s">
        <v>3947</v>
      </c>
      <c r="D164" s="2607">
        <v>4300</v>
      </c>
      <c r="E164" s="1921" t="s">
        <v>7201</v>
      </c>
      <c r="F164" s="1902" t="s">
        <v>22</v>
      </c>
      <c r="G164" s="1921" t="s">
        <v>7202</v>
      </c>
      <c r="H164" s="1909" t="s">
        <v>7169</v>
      </c>
      <c r="I164" s="1921" t="s">
        <v>65</v>
      </c>
      <c r="J164" s="1921" t="s">
        <v>1000</v>
      </c>
      <c r="K164" s="1911" t="s">
        <v>7203</v>
      </c>
      <c r="L164" s="2713">
        <v>2750</v>
      </c>
      <c r="M164" s="2196" t="s">
        <v>5230</v>
      </c>
      <c r="N164" s="2675" t="s">
        <v>7204</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3" customHeight="1">
      <c r="A165" s="3776"/>
      <c r="B165" s="1568" t="str">
        <f t="shared" ref="B165" si="18">TEXT(LEFT(K165,10),"0000000000")</f>
        <v>2000002895</v>
      </c>
      <c r="C165" s="1780" t="s">
        <v>3947</v>
      </c>
      <c r="D165" s="1494"/>
      <c r="E165" s="1495"/>
      <c r="F165" s="1493" t="s">
        <v>22</v>
      </c>
      <c r="G165" s="1495"/>
      <c r="H165" s="1748"/>
      <c r="I165" s="1495" t="s">
        <v>65</v>
      </c>
      <c r="J165" s="1495" t="s">
        <v>1000</v>
      </c>
      <c r="K165" s="1600" t="s">
        <v>7205</v>
      </c>
      <c r="L165" s="2357">
        <v>1600</v>
      </c>
      <c r="M165" s="1780" t="s">
        <v>7206</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3" customHeight="1">
      <c r="A166" s="3776">
        <v>52</v>
      </c>
      <c r="B166" s="2159" t="str">
        <f>TEXT(LEFT(K166,10),"0000000000")</f>
        <v>2200001985</v>
      </c>
      <c r="C166" s="1902" t="s">
        <v>3503</v>
      </c>
      <c r="D166" s="2607">
        <v>3180</v>
      </c>
      <c r="E166" s="1921" t="s">
        <v>7207</v>
      </c>
      <c r="F166" s="1902" t="s">
        <v>24</v>
      </c>
      <c r="G166" s="1921" t="s">
        <v>7208</v>
      </c>
      <c r="H166" s="1909" t="s">
        <v>7169</v>
      </c>
      <c r="I166" s="1921" t="s">
        <v>65</v>
      </c>
      <c r="J166" s="1921" t="s">
        <v>142</v>
      </c>
      <c r="K166" s="1845" t="s">
        <v>7209</v>
      </c>
      <c r="L166" s="2583">
        <v>1327</v>
      </c>
      <c r="M166" s="2160" t="s">
        <v>7193</v>
      </c>
      <c r="N166" s="1859"/>
      <c r="O166" s="1790">
        <v>3</v>
      </c>
      <c r="P166" s="1548"/>
      <c r="Q166" s="1493"/>
      <c r="R166" s="2628"/>
      <c r="S166" s="2628"/>
      <c r="T166" s="2629"/>
      <c r="X166" s="1474"/>
      <c r="Y166" s="1474"/>
      <c r="Z166" s="1474"/>
    </row>
    <row r="167" spans="1:56" s="1467" customFormat="1" ht="58.6" customHeight="1">
      <c r="A167" s="3776"/>
      <c r="B167" s="1947" t="str">
        <f t="shared" si="17"/>
        <v>2200001986</v>
      </c>
      <c r="C167" s="1493" t="s">
        <v>3503</v>
      </c>
      <c r="D167" s="1808"/>
      <c r="E167" s="1495"/>
      <c r="F167" s="1493" t="s">
        <v>24</v>
      </c>
      <c r="G167" s="1495"/>
      <c r="H167" s="1495"/>
      <c r="I167" s="1495" t="s">
        <v>65</v>
      </c>
      <c r="J167" s="1495" t="s">
        <v>142</v>
      </c>
      <c r="K167" s="1600" t="s">
        <v>7210</v>
      </c>
      <c r="L167" s="2357">
        <v>1893</v>
      </c>
      <c r="M167" s="2030" t="s">
        <v>5255</v>
      </c>
      <c r="N167" s="1843"/>
      <c r="O167" s="1790">
        <v>3</v>
      </c>
      <c r="P167" s="1548"/>
      <c r="Q167" s="1548"/>
      <c r="R167" s="1493"/>
      <c r="S167" s="1493"/>
      <c r="T167" s="1493"/>
    </row>
    <row r="168" spans="1:56" s="1467" customFormat="1" ht="58.6" customHeight="1">
      <c r="A168" s="3771">
        <v>53</v>
      </c>
      <c r="B168" s="2279" t="str">
        <f t="shared" ref="B168:B177" si="19">TEXT(LEFT(K168,10),"0000000000")</f>
        <v>2200001946</v>
      </c>
      <c r="C168" s="1493" t="s">
        <v>2509</v>
      </c>
      <c r="D168" s="2325">
        <v>911</v>
      </c>
      <c r="E168" s="1495" t="s">
        <v>7211</v>
      </c>
      <c r="F168" s="1493" t="s">
        <v>24</v>
      </c>
      <c r="G168" s="1495"/>
      <c r="H168" s="1495" t="s">
        <v>1640</v>
      </c>
      <c r="I168" s="1495" t="s">
        <v>65</v>
      </c>
      <c r="J168" s="1495" t="s">
        <v>275</v>
      </c>
      <c r="K168" s="1845" t="s">
        <v>5759</v>
      </c>
      <c r="L168" s="2583">
        <v>911</v>
      </c>
      <c r="M168" s="2584" t="s">
        <v>5255</v>
      </c>
      <c r="N168" s="1859"/>
      <c r="O168" s="1790">
        <v>1</v>
      </c>
      <c r="P168" s="1548"/>
      <c r="Q168" s="1548"/>
      <c r="R168" s="1493"/>
      <c r="S168" s="1493"/>
      <c r="T168" s="1493"/>
    </row>
    <row r="169" spans="1:56" s="1467" customFormat="1" ht="58.6" customHeight="1">
      <c r="A169" s="3772"/>
      <c r="B169" s="2279" t="str">
        <f t="shared" si="19"/>
        <v>2200001951</v>
      </c>
      <c r="C169" s="1493" t="s">
        <v>2509</v>
      </c>
      <c r="D169" s="2325">
        <v>3998</v>
      </c>
      <c r="E169" s="1495" t="s">
        <v>7211</v>
      </c>
      <c r="F169" s="1493" t="s">
        <v>24</v>
      </c>
      <c r="G169" s="1495"/>
      <c r="H169" s="1495" t="s">
        <v>1640</v>
      </c>
      <c r="I169" s="1495" t="s">
        <v>65</v>
      </c>
      <c r="J169" s="1495" t="s">
        <v>275</v>
      </c>
      <c r="K169" s="1600" t="s">
        <v>7212</v>
      </c>
      <c r="L169" s="2357">
        <v>3998</v>
      </c>
      <c r="M169" s="2196" t="s">
        <v>5247</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6" customHeight="1">
      <c r="A170" s="3772"/>
      <c r="B170" s="2279" t="str">
        <f t="shared" si="19"/>
        <v>2200001959</v>
      </c>
      <c r="C170" s="1493" t="s">
        <v>2509</v>
      </c>
      <c r="D170" s="2325">
        <v>359</v>
      </c>
      <c r="E170" s="1495" t="s">
        <v>7211</v>
      </c>
      <c r="F170" s="1493" t="s">
        <v>24</v>
      </c>
      <c r="G170" s="1495"/>
      <c r="H170" s="1495" t="s">
        <v>1640</v>
      </c>
      <c r="I170" s="1495" t="s">
        <v>65</v>
      </c>
      <c r="J170" s="1495" t="s">
        <v>275</v>
      </c>
      <c r="K170" s="1547" t="s">
        <v>7213</v>
      </c>
      <c r="L170" s="2357">
        <v>359</v>
      </c>
      <c r="M170" s="2196" t="s">
        <v>5247</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6" customHeight="1">
      <c r="A171" s="3772"/>
      <c r="B171" s="2279" t="str">
        <f t="shared" si="19"/>
        <v>2200001963</v>
      </c>
      <c r="C171" s="1493" t="s">
        <v>2509</v>
      </c>
      <c r="D171" s="2325">
        <v>600</v>
      </c>
      <c r="E171" s="1495" t="s">
        <v>7211</v>
      </c>
      <c r="F171" s="1493" t="s">
        <v>24</v>
      </c>
      <c r="G171" s="1495"/>
      <c r="H171" s="1495" t="s">
        <v>1640</v>
      </c>
      <c r="I171" s="1495" t="s">
        <v>65</v>
      </c>
      <c r="J171" s="1495" t="s">
        <v>275</v>
      </c>
      <c r="K171" s="1547" t="s">
        <v>7214</v>
      </c>
      <c r="L171" s="2357">
        <v>600</v>
      </c>
      <c r="M171" s="2658" t="s">
        <v>5255</v>
      </c>
      <c r="N171" s="1859"/>
      <c r="O171" s="1790">
        <v>1</v>
      </c>
      <c r="P171" s="1548"/>
      <c r="Q171" s="1548"/>
      <c r="R171" s="1493"/>
      <c r="S171" s="1493"/>
      <c r="T171" s="1493"/>
    </row>
    <row r="172" spans="1:56" s="1467" customFormat="1" ht="58.6" customHeight="1">
      <c r="A172" s="3772"/>
      <c r="B172" s="2279" t="str">
        <f t="shared" si="19"/>
        <v>2200001969</v>
      </c>
      <c r="C172" s="1493" t="s">
        <v>2509</v>
      </c>
      <c r="D172" s="2325">
        <v>209</v>
      </c>
      <c r="E172" s="1495" t="s">
        <v>7211</v>
      </c>
      <c r="F172" s="1493" t="s">
        <v>24</v>
      </c>
      <c r="G172" s="1495"/>
      <c r="H172" s="1495" t="s">
        <v>1640</v>
      </c>
      <c r="I172" s="1495" t="s">
        <v>65</v>
      </c>
      <c r="J172" s="1495" t="s">
        <v>275</v>
      </c>
      <c r="K172" s="1600" t="s">
        <v>7215</v>
      </c>
      <c r="L172" s="2357">
        <v>209</v>
      </c>
      <c r="M172" s="2658" t="s">
        <v>5255</v>
      </c>
      <c r="N172" s="1859"/>
      <c r="O172" s="1790">
        <v>1</v>
      </c>
      <c r="P172" s="1548"/>
      <c r="Q172" s="1548"/>
      <c r="R172" s="1493"/>
      <c r="S172" s="1493"/>
      <c r="T172" s="1493"/>
    </row>
    <row r="173" spans="1:56" s="1467" customFormat="1" ht="58.6" customHeight="1">
      <c r="A173" s="3772"/>
      <c r="B173" s="2279" t="str">
        <f t="shared" si="19"/>
        <v>2200001966</v>
      </c>
      <c r="C173" s="1493" t="s">
        <v>2509</v>
      </c>
      <c r="D173" s="2325">
        <v>2579</v>
      </c>
      <c r="E173" s="1495" t="s">
        <v>7216</v>
      </c>
      <c r="F173" s="1493" t="s">
        <v>24</v>
      </c>
      <c r="G173" s="1495"/>
      <c r="H173" s="1495" t="s">
        <v>1640</v>
      </c>
      <c r="I173" s="1495" t="s">
        <v>65</v>
      </c>
      <c r="J173" s="1495" t="s">
        <v>275</v>
      </c>
      <c r="K173" s="1547" t="s">
        <v>7217</v>
      </c>
      <c r="L173" s="2357">
        <v>2579</v>
      </c>
      <c r="M173" s="2584" t="s">
        <v>5230</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6" customHeight="1">
      <c r="A174" s="3772"/>
      <c r="B174" s="2279" t="str">
        <f t="shared" si="19"/>
        <v>2000002920</v>
      </c>
      <c r="C174" s="1493" t="s">
        <v>2509</v>
      </c>
      <c r="D174" s="2325">
        <v>2000</v>
      </c>
      <c r="E174" s="1495" t="s">
        <v>7218</v>
      </c>
      <c r="F174" s="1493" t="s">
        <v>24</v>
      </c>
      <c r="G174" s="1495"/>
      <c r="H174" s="1495" t="s">
        <v>1640</v>
      </c>
      <c r="I174" s="1495" t="s">
        <v>65</v>
      </c>
      <c r="J174" s="1495" t="s">
        <v>275</v>
      </c>
      <c r="K174" s="1547" t="s">
        <v>7219</v>
      </c>
      <c r="L174" s="2357">
        <v>2000</v>
      </c>
      <c r="M174" s="2658" t="s">
        <v>5255</v>
      </c>
      <c r="N174" s="1859"/>
      <c r="O174" s="1790">
        <v>2</v>
      </c>
      <c r="P174" s="1548"/>
      <c r="Q174" s="1548"/>
      <c r="R174" s="1493"/>
      <c r="S174" s="1493"/>
      <c r="T174" s="1493"/>
    </row>
    <row r="175" spans="1:56" s="1467" customFormat="1" ht="58.6" customHeight="1">
      <c r="A175" s="3772"/>
      <c r="B175" s="2279" t="str">
        <f t="shared" si="19"/>
        <v>2200001971</v>
      </c>
      <c r="C175" s="1493" t="s">
        <v>2509</v>
      </c>
      <c r="D175" s="2325">
        <v>1770</v>
      </c>
      <c r="E175" s="1495" t="s">
        <v>7220</v>
      </c>
      <c r="F175" s="1493" t="s">
        <v>24</v>
      </c>
      <c r="G175" s="1495"/>
      <c r="H175" s="1495" t="s">
        <v>1640</v>
      </c>
      <c r="I175" s="1495" t="s">
        <v>65</v>
      </c>
      <c r="J175" s="1495" t="s">
        <v>275</v>
      </c>
      <c r="K175" s="1547" t="s">
        <v>7221</v>
      </c>
      <c r="L175" s="2357">
        <v>1770</v>
      </c>
      <c r="M175" s="1495" t="s">
        <v>6901</v>
      </c>
      <c r="N175" s="1859"/>
      <c r="O175" s="1790">
        <v>2</v>
      </c>
      <c r="P175" s="1548"/>
      <c r="Q175" s="1548"/>
      <c r="R175" s="1493"/>
      <c r="S175" s="1493"/>
      <c r="T175" s="1493"/>
    </row>
    <row r="176" spans="1:56" s="1467" customFormat="1" ht="58.6" customHeight="1">
      <c r="A176" s="3772"/>
      <c r="B176" s="2279" t="str">
        <f t="shared" si="19"/>
        <v>2200001974</v>
      </c>
      <c r="C176" s="1493" t="s">
        <v>2509</v>
      </c>
      <c r="D176" s="2325">
        <v>4857</v>
      </c>
      <c r="E176" s="1495" t="s">
        <v>7222</v>
      </c>
      <c r="F176" s="1493" t="s">
        <v>24</v>
      </c>
      <c r="G176" s="1495"/>
      <c r="H176" s="1495" t="s">
        <v>1640</v>
      </c>
      <c r="I176" s="1495" t="s">
        <v>65</v>
      </c>
      <c r="J176" s="1495" t="s">
        <v>275</v>
      </c>
      <c r="K176" s="1547" t="s">
        <v>7223</v>
      </c>
      <c r="L176" s="2357">
        <v>4857</v>
      </c>
      <c r="M176" s="2196" t="s">
        <v>6603</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6" customHeight="1">
      <c r="A177" s="3772"/>
      <c r="B177" s="2279" t="str">
        <f t="shared" si="19"/>
        <v>2200001977</v>
      </c>
      <c r="C177" s="1493" t="s">
        <v>2509</v>
      </c>
      <c r="D177" s="2325">
        <v>2170</v>
      </c>
      <c r="E177" s="1495" t="s">
        <v>7224</v>
      </c>
      <c r="F177" s="1493" t="s">
        <v>24</v>
      </c>
      <c r="G177" s="1495"/>
      <c r="H177" s="1495" t="s">
        <v>1640</v>
      </c>
      <c r="I177" s="1495" t="s">
        <v>65</v>
      </c>
      <c r="J177" s="1495" t="s">
        <v>275</v>
      </c>
      <c r="K177" s="1547" t="s">
        <v>7225</v>
      </c>
      <c r="L177" s="2357">
        <v>2170</v>
      </c>
      <c r="M177" s="2196" t="s">
        <v>6603</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6" customHeight="1">
      <c r="A178" s="3772"/>
      <c r="B178" s="2279" t="str">
        <f>TEXT(LEFT(K178,10),"0000000000")</f>
        <v>2200001983</v>
      </c>
      <c r="C178" s="1493" t="s">
        <v>2509</v>
      </c>
      <c r="D178" s="1494">
        <v>3237</v>
      </c>
      <c r="E178" s="1495" t="s">
        <v>7226</v>
      </c>
      <c r="F178" s="1493" t="s">
        <v>24</v>
      </c>
      <c r="G178" s="1495"/>
      <c r="H178" s="1495" t="s">
        <v>1640</v>
      </c>
      <c r="I178" s="1495" t="s">
        <v>65</v>
      </c>
      <c r="J178" s="1495" t="s">
        <v>275</v>
      </c>
      <c r="K178" s="1600" t="s">
        <v>7227</v>
      </c>
      <c r="L178" s="2357">
        <v>3237</v>
      </c>
      <c r="M178" s="1495" t="s">
        <v>7228</v>
      </c>
      <c r="N178" s="1859"/>
      <c r="O178" s="1790">
        <v>3</v>
      </c>
      <c r="P178" s="1548"/>
      <c r="Q178" s="1493"/>
      <c r="R178" s="2628"/>
      <c r="S178" s="2628"/>
      <c r="T178" s="2629"/>
      <c r="X178" s="1474"/>
      <c r="Y178" s="1474"/>
      <c r="Z178" s="1474"/>
    </row>
    <row r="179" spans="1:26" s="1467" customFormat="1" ht="58.6" customHeight="1">
      <c r="A179" s="3772"/>
      <c r="B179" s="2279" t="str">
        <f>TEXT(LEFT(K179,10),"0000000000")</f>
        <v>2200001987</v>
      </c>
      <c r="C179" s="1493" t="s">
        <v>2509</v>
      </c>
      <c r="D179" s="1494">
        <v>3237</v>
      </c>
      <c r="E179" s="1495" t="s">
        <v>7229</v>
      </c>
      <c r="F179" s="1493" t="s">
        <v>24</v>
      </c>
      <c r="G179" s="1495"/>
      <c r="H179" s="1495" t="s">
        <v>1640</v>
      </c>
      <c r="I179" s="1495" t="s">
        <v>65</v>
      </c>
      <c r="J179" s="1495" t="s">
        <v>275</v>
      </c>
      <c r="K179" s="1600" t="s">
        <v>7230</v>
      </c>
      <c r="L179" s="2357">
        <v>532</v>
      </c>
      <c r="M179" s="1495" t="s">
        <v>5255</v>
      </c>
      <c r="N179" s="1859"/>
      <c r="O179" s="1790">
        <v>3</v>
      </c>
      <c r="P179" s="1548"/>
      <c r="Q179" s="1493"/>
      <c r="R179" s="2628"/>
      <c r="S179" s="2628"/>
      <c r="T179" s="2629"/>
      <c r="X179" s="1474"/>
      <c r="Y179" s="1474"/>
      <c r="Z179" s="1474"/>
    </row>
    <row r="180" spans="1:26" s="1467" customFormat="1" ht="58.6" customHeight="1">
      <c r="A180" s="3773"/>
      <c r="B180" s="2279" t="str">
        <f>TEXT(LEFT(K180,10),"0000000000")</f>
        <v>2200001993</v>
      </c>
      <c r="C180" s="1493" t="s">
        <v>2509</v>
      </c>
      <c r="D180" s="1494">
        <v>1298</v>
      </c>
      <c r="E180" s="1495" t="s">
        <v>7231</v>
      </c>
      <c r="F180" s="1493" t="s">
        <v>24</v>
      </c>
      <c r="G180" s="1495"/>
      <c r="H180" s="1495" t="s">
        <v>7232</v>
      </c>
      <c r="I180" s="1495" t="s">
        <v>65</v>
      </c>
      <c r="J180" s="1495" t="s">
        <v>275</v>
      </c>
      <c r="K180" s="1600" t="s">
        <v>7233</v>
      </c>
      <c r="L180" s="2357">
        <v>1298</v>
      </c>
      <c r="M180" s="2196" t="s">
        <v>5230</v>
      </c>
      <c r="N180" s="1859"/>
      <c r="O180" s="1790">
        <v>3</v>
      </c>
      <c r="P180" s="1548"/>
      <c r="Q180" s="1493"/>
      <c r="R180" s="2628"/>
      <c r="S180" s="2628"/>
      <c r="T180" s="2629"/>
      <c r="X180" s="1474"/>
      <c r="Y180" s="1474"/>
      <c r="Z180" s="1474"/>
    </row>
    <row r="181" spans="1:26" ht="58.6"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6"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6"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6"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6"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6"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6"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6"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6"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6"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6"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6"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6"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6"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6"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6"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6"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6"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6"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6"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6"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64" priority="1243"/>
  </conditionalFormatting>
  <conditionalFormatting sqref="B202:B1048576 B1:B9 B13:B17 B19:B198">
    <cfRule type="duplicateValues" dxfId="363" priority="1249"/>
  </conditionalFormatting>
  <conditionalFormatting sqref="B202:B1048576 B6:B9 B13:B17 B19:B198">
    <cfRule type="duplicateValues" dxfId="362" priority="1254"/>
    <cfRule type="duplicateValues" dxfId="361"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247"/>
  <sheetViews>
    <sheetView zoomScale="70" zoomScaleNormal="70" workbookViewId="0">
      <pane xSplit="5" ySplit="3" topLeftCell="F72" activePane="bottomRight" state="frozen"/>
      <selection pane="topRight"/>
      <selection pane="bottomLeft"/>
      <selection pane="bottomRight" activeCell="G254" sqref="G254"/>
    </sheetView>
  </sheetViews>
  <sheetFormatPr defaultColWidth="32.125" defaultRowHeight="58.6" customHeight="1"/>
  <cols>
    <col min="1" max="1" width="10.625" style="738" customWidth="1"/>
    <col min="2" max="2" width="36.375" style="1853" customWidth="1"/>
    <col min="3" max="3" width="35.75" style="102" customWidth="1"/>
    <col min="4" max="4" width="17.375" style="2513" customWidth="1"/>
    <col min="5" max="5" width="19" style="109" customWidth="1"/>
    <col min="6" max="6" width="32.125" style="102" customWidth="1"/>
    <col min="7" max="7" width="19.375" style="109" customWidth="1"/>
    <col min="8" max="8" width="19.125" style="109" customWidth="1"/>
    <col min="9" max="9" width="27.875" style="109" customWidth="1"/>
    <col min="10" max="10" width="32.125" style="109" customWidth="1"/>
    <col min="11" max="11" width="27.375" style="109" customWidth="1"/>
    <col min="12" max="12" width="84" style="143" bestFit="1" customWidth="1"/>
    <col min="13" max="13" width="25.625" style="2216" customWidth="1"/>
    <col min="14" max="14" width="57.875" style="102" customWidth="1"/>
    <col min="15" max="15" width="23.125" style="102" customWidth="1"/>
    <col min="16" max="16" width="66" style="2389" customWidth="1"/>
    <col min="17" max="17" width="45.125" style="3144" customWidth="1"/>
    <col min="18" max="16384" width="32.125" style="1777"/>
  </cols>
  <sheetData>
    <row r="1" spans="1:27" ht="74.25" customHeight="1">
      <c r="A1" s="3836" t="s">
        <v>7234</v>
      </c>
      <c r="B1" s="3837"/>
      <c r="C1" s="3837"/>
      <c r="D1" s="3837"/>
      <c r="E1" s="3837"/>
      <c r="F1" s="3837"/>
      <c r="G1" s="3837"/>
      <c r="H1" s="3837"/>
      <c r="I1" s="3837"/>
      <c r="J1" s="3837"/>
      <c r="K1" s="3837"/>
      <c r="L1" s="3837"/>
      <c r="M1" s="3837"/>
      <c r="N1" s="3837"/>
      <c r="O1" s="3837"/>
      <c r="P1" s="3837"/>
      <c r="Q1" s="3838"/>
    </row>
    <row r="2" spans="1:27" s="3345" customFormat="1" ht="58.6" customHeight="1">
      <c r="A2" s="3839" t="s">
        <v>5208</v>
      </c>
      <c r="B2" s="3839"/>
      <c r="C2" s="3839"/>
      <c r="D2" s="3505">
        <f>SUBTOTAL(9,D33:D2179)</f>
        <v>27300</v>
      </c>
      <c r="E2" s="3385"/>
      <c r="F2" s="3506"/>
      <c r="G2" s="3507" t="s">
        <v>5209</v>
      </c>
      <c r="H2" s="3507"/>
      <c r="I2" s="3385"/>
      <c r="J2" s="3385"/>
      <c r="K2" s="3385"/>
      <c r="L2" s="3508">
        <f ca="1">TODAY()</f>
        <v>45988</v>
      </c>
      <c r="M2" s="3505">
        <f>SUBTOTAL(9,M33:M2179)</f>
        <v>232063</v>
      </c>
      <c r="N2" s="3506" t="s">
        <v>7235</v>
      </c>
      <c r="O2" s="3508"/>
      <c r="P2" s="3508"/>
      <c r="Q2" s="3509" t="s">
        <v>0</v>
      </c>
      <c r="R2" s="1777"/>
      <c r="S2" s="3840" t="s">
        <v>7236</v>
      </c>
      <c r="T2" s="3840"/>
      <c r="U2" s="3840"/>
      <c r="V2" s="3840"/>
      <c r="W2" s="1777"/>
      <c r="X2" s="1777"/>
      <c r="Y2" s="1777"/>
      <c r="Z2" s="1777"/>
      <c r="AA2" s="1777"/>
    </row>
    <row r="3" spans="1:27" s="3345" customFormat="1" ht="58.6" customHeight="1">
      <c r="A3" s="3453" t="s">
        <v>48</v>
      </c>
      <c r="B3" s="3454" t="s">
        <v>5213</v>
      </c>
      <c r="C3" s="3427" t="s">
        <v>5214</v>
      </c>
      <c r="D3" s="3455" t="s">
        <v>7237</v>
      </c>
      <c r="E3" s="3427" t="s">
        <v>3430</v>
      </c>
      <c r="F3" s="3426" t="s">
        <v>52</v>
      </c>
      <c r="G3" s="3427" t="s">
        <v>3431</v>
      </c>
      <c r="H3" s="3427" t="s">
        <v>7238</v>
      </c>
      <c r="I3" s="3446" t="s">
        <v>7239</v>
      </c>
      <c r="J3" s="3427" t="s">
        <v>7240</v>
      </c>
      <c r="K3" s="3427" t="s">
        <v>56</v>
      </c>
      <c r="L3" s="3427" t="s">
        <v>7241</v>
      </c>
      <c r="M3" s="3516" t="s">
        <v>5218</v>
      </c>
      <c r="N3" s="3427" t="s">
        <v>7242</v>
      </c>
      <c r="O3" s="3458" t="s">
        <v>5220</v>
      </c>
      <c r="P3" s="3454" t="s">
        <v>58</v>
      </c>
      <c r="Q3" s="3315" t="s">
        <v>5221</v>
      </c>
      <c r="R3" s="3431" t="s">
        <v>7243</v>
      </c>
      <c r="S3" s="3444" t="s">
        <v>5223</v>
      </c>
      <c r="T3" s="3444" t="s">
        <v>7244</v>
      </c>
      <c r="U3" s="3444" t="s">
        <v>7245</v>
      </c>
      <c r="V3" s="3444" t="s">
        <v>7246</v>
      </c>
    </row>
    <row r="4" spans="1:27" s="2167" customFormat="1" ht="58.6" customHeight="1">
      <c r="A4" s="3277"/>
      <c r="B4" s="3473" t="str">
        <f t="shared" ref="B4:B26" si="0">TEXT(LEFT(L4,10),"0000000000")</f>
        <v>2200002342</v>
      </c>
      <c r="C4" s="2114" t="s">
        <v>7247</v>
      </c>
      <c r="D4" s="3638">
        <v>12300</v>
      </c>
      <c r="E4" s="2114" t="s">
        <v>7248</v>
      </c>
      <c r="F4" s="1895" t="s">
        <v>22</v>
      </c>
      <c r="G4" s="2114"/>
      <c r="H4" s="2114"/>
      <c r="I4" s="2114" t="s">
        <v>7249</v>
      </c>
      <c r="J4" s="2114" t="s">
        <v>65</v>
      </c>
      <c r="K4" s="2114" t="s">
        <v>213</v>
      </c>
      <c r="L4" s="2173" t="s">
        <v>7250</v>
      </c>
      <c r="M4" s="3639">
        <v>1570</v>
      </c>
      <c r="N4" s="2114" t="s">
        <v>7251</v>
      </c>
      <c r="O4" s="1895"/>
      <c r="P4" s="2618"/>
      <c r="Q4" s="3618" t="s">
        <v>7252</v>
      </c>
    </row>
    <row r="5" spans="1:27" ht="58.6" customHeight="1">
      <c r="B5" s="2884" t="str">
        <f t="shared" si="0"/>
        <v>2200002296</v>
      </c>
      <c r="C5" s="109" t="s">
        <v>7247</v>
      </c>
      <c r="D5" s="104"/>
      <c r="F5" s="102" t="s">
        <v>22</v>
      </c>
      <c r="I5" s="109" t="s">
        <v>7249</v>
      </c>
      <c r="J5" s="109" t="s">
        <v>65</v>
      </c>
      <c r="K5" s="109" t="s">
        <v>213</v>
      </c>
      <c r="L5" s="143" t="s">
        <v>7253</v>
      </c>
      <c r="M5" s="2644">
        <v>1000</v>
      </c>
      <c r="N5" s="109" t="s">
        <v>7254</v>
      </c>
      <c r="P5" s="143"/>
      <c r="Q5" s="3618" t="s">
        <v>7252</v>
      </c>
    </row>
    <row r="6" spans="1:27" ht="58.6" customHeight="1">
      <c r="B6" s="2884" t="str">
        <f t="shared" si="0"/>
        <v>2000003559</v>
      </c>
      <c r="C6" s="109" t="s">
        <v>7247</v>
      </c>
      <c r="F6" s="102" t="s">
        <v>22</v>
      </c>
      <c r="I6" s="109" t="s">
        <v>7255</v>
      </c>
      <c r="J6" s="2898" t="s">
        <v>65</v>
      </c>
      <c r="K6" s="109" t="s">
        <v>213</v>
      </c>
      <c r="L6" s="3572" t="s">
        <v>7256</v>
      </c>
      <c r="M6" s="3617">
        <v>470</v>
      </c>
      <c r="N6" s="1772" t="s">
        <v>7257</v>
      </c>
      <c r="P6" s="2389" t="s">
        <v>7258</v>
      </c>
      <c r="Q6" s="3618" t="s">
        <v>7252</v>
      </c>
    </row>
    <row r="7" spans="1:27" ht="58.6" customHeight="1">
      <c r="B7" s="2884" t="str">
        <f t="shared" si="0"/>
        <v>2000003567</v>
      </c>
      <c r="C7" s="109" t="s">
        <v>7247</v>
      </c>
      <c r="F7" s="102" t="s">
        <v>22</v>
      </c>
      <c r="I7" s="109" t="s">
        <v>7255</v>
      </c>
      <c r="J7" s="2898" t="s">
        <v>65</v>
      </c>
      <c r="K7" s="109" t="s">
        <v>213</v>
      </c>
      <c r="L7" s="696" t="s">
        <v>7259</v>
      </c>
      <c r="M7" s="2216">
        <v>2880</v>
      </c>
      <c r="N7" s="2446" t="s">
        <v>7260</v>
      </c>
      <c r="P7" s="2389" t="s">
        <v>7258</v>
      </c>
      <c r="Q7" s="3618" t="s">
        <v>7252</v>
      </c>
    </row>
    <row r="8" spans="1:27" ht="58.6" customHeight="1">
      <c r="B8" s="2884" t="str">
        <f t="shared" si="0"/>
        <v>2000003569</v>
      </c>
      <c r="C8" s="109" t="s">
        <v>7247</v>
      </c>
      <c r="F8" s="102" t="s">
        <v>22</v>
      </c>
      <c r="I8" s="109" t="s">
        <v>7255</v>
      </c>
      <c r="J8" s="2898" t="s">
        <v>65</v>
      </c>
      <c r="K8" s="109" t="s">
        <v>213</v>
      </c>
      <c r="L8" s="696" t="s">
        <v>7261</v>
      </c>
      <c r="M8" s="2216">
        <v>1000</v>
      </c>
      <c r="N8" s="109" t="s">
        <v>7262</v>
      </c>
      <c r="P8" s="2389" t="s">
        <v>7258</v>
      </c>
      <c r="Q8" s="3618" t="s">
        <v>7252</v>
      </c>
    </row>
    <row r="9" spans="1:27" ht="58.6" customHeight="1">
      <c r="B9" s="2884" t="str">
        <f t="shared" si="0"/>
        <v>2000003583</v>
      </c>
      <c r="C9" s="109" t="s">
        <v>7247</v>
      </c>
      <c r="F9" s="102" t="s">
        <v>22</v>
      </c>
      <c r="I9" s="3601" t="s">
        <v>7263</v>
      </c>
      <c r="J9" s="109" t="s">
        <v>65</v>
      </c>
      <c r="K9" s="109" t="s">
        <v>213</v>
      </c>
      <c r="L9" s="3484" t="s">
        <v>7264</v>
      </c>
      <c r="M9" s="2216">
        <v>2300</v>
      </c>
      <c r="N9" s="109" t="s">
        <v>7265</v>
      </c>
      <c r="Q9" s="3618" t="s">
        <v>7252</v>
      </c>
    </row>
    <row r="10" spans="1:27" ht="58.6" customHeight="1">
      <c r="B10" s="2884" t="str">
        <f t="shared" si="0"/>
        <v>2000003584</v>
      </c>
      <c r="C10" s="109" t="s">
        <v>7247</v>
      </c>
      <c r="F10" s="102" t="s">
        <v>22</v>
      </c>
      <c r="I10" s="3601" t="s">
        <v>7263</v>
      </c>
      <c r="J10" s="109" t="s">
        <v>65</v>
      </c>
      <c r="K10" s="109" t="s">
        <v>213</v>
      </c>
      <c r="L10" s="3484" t="s">
        <v>7266</v>
      </c>
      <c r="M10" s="2216">
        <v>2700</v>
      </c>
      <c r="N10" s="109" t="s">
        <v>7267</v>
      </c>
      <c r="Q10" s="3618" t="s">
        <v>7252</v>
      </c>
    </row>
    <row r="11" spans="1:27" s="2167" customFormat="1" ht="58.6" customHeight="1">
      <c r="A11" s="3277"/>
      <c r="B11" s="3473" t="str">
        <f t="shared" si="0"/>
        <v>2000003624</v>
      </c>
      <c r="C11" s="1895"/>
      <c r="D11" s="3474"/>
      <c r="E11" s="2114"/>
      <c r="F11" s="1895"/>
      <c r="G11" s="2114"/>
      <c r="H11" s="2114"/>
      <c r="I11" s="3571" t="s">
        <v>7268</v>
      </c>
      <c r="J11" s="3475" t="s">
        <v>65</v>
      </c>
      <c r="K11" s="2114" t="s">
        <v>117</v>
      </c>
      <c r="L11" s="2173" t="s">
        <v>7269</v>
      </c>
      <c r="M11" s="2500">
        <f>2500-1273</f>
        <v>1227</v>
      </c>
      <c r="N11" s="2114" t="s">
        <v>7270</v>
      </c>
      <c r="O11" s="1895"/>
      <c r="P11" s="2501" t="s">
        <v>7271</v>
      </c>
      <c r="Q11" s="3477" t="s">
        <v>7272</v>
      </c>
    </row>
    <row r="12" spans="1:27" s="2167" customFormat="1" ht="58.6" customHeight="1">
      <c r="A12" s="3277"/>
      <c r="B12" s="3473" t="str">
        <f t="shared" si="0"/>
        <v>2000003537</v>
      </c>
      <c r="C12" s="1895"/>
      <c r="D12" s="3474"/>
      <c r="E12" s="2114"/>
      <c r="F12" s="1895"/>
      <c r="G12" s="2114"/>
      <c r="H12" s="2114"/>
      <c r="I12" s="109" t="s">
        <v>7255</v>
      </c>
      <c r="J12" s="2114" t="s">
        <v>65</v>
      </c>
      <c r="K12" s="2114" t="s">
        <v>117</v>
      </c>
      <c r="L12" s="2173" t="s">
        <v>7273</v>
      </c>
      <c r="M12" s="2500">
        <v>4000</v>
      </c>
      <c r="N12" s="2114" t="s">
        <v>7274</v>
      </c>
      <c r="O12" s="1895"/>
      <c r="P12" s="3530" t="s">
        <v>7271</v>
      </c>
      <c r="Q12" s="3477" t="s">
        <v>7272</v>
      </c>
    </row>
    <row r="13" spans="1:27" ht="58.6" customHeight="1">
      <c r="B13" s="2884" t="str">
        <f t="shared" si="0"/>
        <v>2000003623</v>
      </c>
      <c r="I13" s="3567" t="s">
        <v>7268</v>
      </c>
      <c r="J13" s="2898" t="s">
        <v>65</v>
      </c>
      <c r="K13" s="109" t="s">
        <v>117</v>
      </c>
      <c r="L13" s="696" t="s">
        <v>7275</v>
      </c>
      <c r="M13" s="2216">
        <v>2500</v>
      </c>
      <c r="N13" s="109" t="s">
        <v>7276</v>
      </c>
      <c r="P13" s="2389" t="s">
        <v>7271</v>
      </c>
      <c r="Q13" s="3144" t="s">
        <v>7272</v>
      </c>
    </row>
    <row r="14" spans="1:27" ht="58.6" customHeight="1">
      <c r="B14" s="2884" t="str">
        <f t="shared" si="0"/>
        <v>2000003630</v>
      </c>
      <c r="H14" s="1772"/>
      <c r="I14" s="109" t="s">
        <v>7249</v>
      </c>
      <c r="J14" s="109" t="s">
        <v>65</v>
      </c>
      <c r="K14" s="109" t="s">
        <v>117</v>
      </c>
      <c r="L14" s="3525" t="s">
        <v>7277</v>
      </c>
      <c r="M14" s="2216">
        <v>1260</v>
      </c>
      <c r="N14" s="109" t="s">
        <v>7278</v>
      </c>
    </row>
    <row r="15" spans="1:27" ht="58.6" customHeight="1">
      <c r="B15" s="2884" t="str">
        <f t="shared" si="0"/>
        <v>2000003579</v>
      </c>
      <c r="C15" s="102" t="s">
        <v>7279</v>
      </c>
      <c r="D15" s="2513">
        <v>24875</v>
      </c>
      <c r="E15" s="109" t="s">
        <v>7280</v>
      </c>
      <c r="F15" s="102" t="s">
        <v>16</v>
      </c>
      <c r="I15" s="109" t="s">
        <v>7281</v>
      </c>
      <c r="J15" s="109" t="s">
        <v>65</v>
      </c>
      <c r="K15" s="109" t="s">
        <v>106</v>
      </c>
      <c r="L15" s="143" t="s">
        <v>7282</v>
      </c>
      <c r="M15" s="3605">
        <v>500</v>
      </c>
      <c r="N15" s="109" t="s">
        <v>7283</v>
      </c>
      <c r="Q15" s="3144" t="s">
        <v>7284</v>
      </c>
    </row>
    <row r="16" spans="1:27" ht="58.6" customHeight="1">
      <c r="B16" s="2884" t="str">
        <f t="shared" si="0"/>
        <v>2000003586</v>
      </c>
      <c r="C16" s="102" t="s">
        <v>7279</v>
      </c>
      <c r="F16" s="102" t="s">
        <v>16</v>
      </c>
      <c r="I16" s="3409" t="s">
        <v>7249</v>
      </c>
      <c r="J16" s="109" t="s">
        <v>65</v>
      </c>
      <c r="K16" s="109" t="s">
        <v>106</v>
      </c>
      <c r="L16" s="696" t="s">
        <v>7285</v>
      </c>
      <c r="M16" s="3605">
        <f>5000-3265</f>
        <v>1735</v>
      </c>
      <c r="N16" s="109" t="s">
        <v>7286</v>
      </c>
      <c r="P16" s="2389" t="s">
        <v>7287</v>
      </c>
      <c r="Q16" s="3144" t="s">
        <v>7284</v>
      </c>
    </row>
    <row r="17" spans="1:35" ht="58.6" customHeight="1">
      <c r="B17" s="2884" t="str">
        <f t="shared" si="0"/>
        <v>2000003615</v>
      </c>
      <c r="C17" s="102" t="s">
        <v>7279</v>
      </c>
      <c r="F17" s="102" t="s">
        <v>16</v>
      </c>
      <c r="I17" s="3344" t="s">
        <v>7249</v>
      </c>
      <c r="J17" s="109" t="s">
        <v>65</v>
      </c>
      <c r="K17" s="109" t="s">
        <v>106</v>
      </c>
      <c r="L17" s="696" t="s">
        <v>7288</v>
      </c>
      <c r="M17" s="3605">
        <v>5000</v>
      </c>
      <c r="N17" s="109" t="s">
        <v>7289</v>
      </c>
      <c r="P17" s="2389" t="s">
        <v>7287</v>
      </c>
    </row>
    <row r="18" spans="1:35" ht="58.6" customHeight="1">
      <c r="B18" s="2884" t="str">
        <f t="shared" si="0"/>
        <v>2000003626</v>
      </c>
      <c r="C18" s="102" t="s">
        <v>7279</v>
      </c>
      <c r="F18" s="102" t="s">
        <v>16</v>
      </c>
      <c r="I18" s="109" t="s">
        <v>7290</v>
      </c>
      <c r="J18" s="109" t="s">
        <v>65</v>
      </c>
      <c r="K18" s="109" t="s">
        <v>164</v>
      </c>
      <c r="L18" s="143" t="s">
        <v>7291</v>
      </c>
      <c r="M18" s="2216">
        <v>2000</v>
      </c>
      <c r="N18" s="109" t="s">
        <v>7292</v>
      </c>
      <c r="Q18" s="3144" t="s">
        <v>7284</v>
      </c>
    </row>
    <row r="19" spans="1:35" ht="58.6" customHeight="1">
      <c r="B19" s="2884" t="str">
        <f t="shared" si="0"/>
        <v>2000003625</v>
      </c>
      <c r="C19" s="102" t="s">
        <v>7279</v>
      </c>
      <c r="F19" s="102" t="s">
        <v>16</v>
      </c>
      <c r="I19" s="3344" t="s">
        <v>7249</v>
      </c>
      <c r="J19" s="109" t="s">
        <v>65</v>
      </c>
      <c r="K19" s="109" t="s">
        <v>164</v>
      </c>
      <c r="L19" s="143" t="s">
        <v>7293</v>
      </c>
      <c r="M19" s="2216">
        <v>3500</v>
      </c>
      <c r="N19" s="109" t="s">
        <v>7274</v>
      </c>
      <c r="Q19" s="3144" t="s">
        <v>7272</v>
      </c>
    </row>
    <row r="20" spans="1:35" ht="58.6" customHeight="1">
      <c r="B20" s="2884" t="str">
        <f t="shared" si="0"/>
        <v>2000003631</v>
      </c>
      <c r="C20" s="102" t="s">
        <v>7279</v>
      </c>
      <c r="F20" s="102" t="s">
        <v>16</v>
      </c>
      <c r="I20" s="109" t="s">
        <v>7290</v>
      </c>
      <c r="J20" s="2898" t="s">
        <v>65</v>
      </c>
      <c r="K20" s="109" t="s">
        <v>164</v>
      </c>
      <c r="L20" s="696" t="s">
        <v>7294</v>
      </c>
      <c r="M20" s="2216">
        <v>3500</v>
      </c>
      <c r="N20" s="109" t="s">
        <v>7295</v>
      </c>
    </row>
    <row r="21" spans="1:35" s="2167" customFormat="1" ht="58.6" customHeight="1">
      <c r="A21" s="738"/>
      <c r="B21" s="2884" t="str">
        <f t="shared" si="0"/>
        <v>2000003557</v>
      </c>
      <c r="C21" s="102" t="s">
        <v>7279</v>
      </c>
      <c r="D21" s="2513"/>
      <c r="E21" s="109"/>
      <c r="F21" s="102" t="s">
        <v>16</v>
      </c>
      <c r="G21" s="109"/>
      <c r="H21" s="109"/>
      <c r="I21" s="109" t="s">
        <v>7296</v>
      </c>
      <c r="J21" s="2898" t="s">
        <v>65</v>
      </c>
      <c r="K21" s="109" t="s">
        <v>164</v>
      </c>
      <c r="L21" s="696" t="s">
        <v>7297</v>
      </c>
      <c r="M21" s="2216">
        <v>6000</v>
      </c>
      <c r="N21" s="109" t="s">
        <v>7298</v>
      </c>
      <c r="O21" s="102"/>
      <c r="P21" s="2389"/>
      <c r="Q21" s="3144" t="s">
        <v>7284</v>
      </c>
      <c r="R21" s="1777"/>
      <c r="S21" s="1777"/>
      <c r="T21" s="1777"/>
      <c r="U21" s="1777"/>
      <c r="V21" s="1777"/>
      <c r="W21" s="1777"/>
      <c r="X21" s="1777"/>
      <c r="Y21" s="1777"/>
      <c r="Z21" s="1777"/>
      <c r="AA21" s="1777"/>
      <c r="AB21" s="1777"/>
      <c r="AC21" s="1777"/>
      <c r="AD21" s="1777"/>
      <c r="AE21" s="1777"/>
      <c r="AF21" s="1777"/>
      <c r="AG21" s="1777"/>
      <c r="AH21" s="1777"/>
      <c r="AI21" s="1777"/>
    </row>
    <row r="22" spans="1:35" ht="58.6" customHeight="1">
      <c r="B22" s="2884" t="str">
        <f t="shared" si="0"/>
        <v>2000003609</v>
      </c>
      <c r="C22" s="102" t="s">
        <v>3316</v>
      </c>
      <c r="D22" s="2513">
        <v>10500</v>
      </c>
      <c r="E22" s="109" t="s">
        <v>7280</v>
      </c>
      <c r="F22" s="102" t="s">
        <v>16</v>
      </c>
      <c r="I22" s="109" t="s">
        <v>7249</v>
      </c>
      <c r="J22" s="109" t="s">
        <v>65</v>
      </c>
      <c r="K22" s="109" t="s">
        <v>5400</v>
      </c>
      <c r="L22" s="696" t="s">
        <v>7299</v>
      </c>
      <c r="M22" s="2216">
        <v>1700</v>
      </c>
      <c r="N22" s="3465" t="s">
        <v>7300</v>
      </c>
      <c r="P22" s="3447"/>
    </row>
    <row r="23" spans="1:35" s="2390" customFormat="1" ht="58.6" customHeight="1">
      <c r="A23" s="3586"/>
      <c r="B23" s="2884" t="str">
        <f t="shared" si="0"/>
        <v>2000003610</v>
      </c>
      <c r="C23" s="102" t="s">
        <v>3316</v>
      </c>
      <c r="D23" s="3590"/>
      <c r="E23" s="109" t="s">
        <v>7280</v>
      </c>
      <c r="F23" s="102" t="s">
        <v>16</v>
      </c>
      <c r="G23" s="1772"/>
      <c r="H23" s="1772"/>
      <c r="I23" s="1772" t="s">
        <v>7249</v>
      </c>
      <c r="J23" s="1772" t="s">
        <v>65</v>
      </c>
      <c r="K23" s="1772" t="s">
        <v>5400</v>
      </c>
      <c r="L23" s="3587" t="s">
        <v>7301</v>
      </c>
      <c r="M23" s="3591">
        <v>4650</v>
      </c>
      <c r="N23" s="1772" t="s">
        <v>7302</v>
      </c>
      <c r="O23" s="1853"/>
      <c r="P23" s="2389" t="s">
        <v>7271</v>
      </c>
      <c r="Q23" s="3144"/>
    </row>
    <row r="24" spans="1:35" ht="58.6" customHeight="1">
      <c r="B24" s="2884" t="str">
        <f t="shared" si="0"/>
        <v>2000003568</v>
      </c>
      <c r="C24" s="102" t="s">
        <v>3316</v>
      </c>
      <c r="E24" s="109" t="s">
        <v>7280</v>
      </c>
      <c r="F24" s="102" t="s">
        <v>16</v>
      </c>
      <c r="I24" s="109" t="s">
        <v>7255</v>
      </c>
      <c r="J24" s="109" t="s">
        <v>65</v>
      </c>
      <c r="K24" s="109" t="s">
        <v>5400</v>
      </c>
      <c r="L24" s="696" t="s">
        <v>7303</v>
      </c>
      <c r="M24" s="2216">
        <v>4150</v>
      </c>
      <c r="N24" s="109" t="s">
        <v>7304</v>
      </c>
      <c r="P24" s="2389" t="s">
        <v>7271</v>
      </c>
      <c r="Q24" s="3144" t="s">
        <v>7272</v>
      </c>
    </row>
    <row r="25" spans="1:35" ht="58.6" customHeight="1">
      <c r="A25" s="3462"/>
      <c r="B25" s="3427" t="str">
        <f t="shared" si="0"/>
        <v>2200002236</v>
      </c>
      <c r="C25" s="3426"/>
      <c r="D25" s="3463"/>
      <c r="E25" s="3459"/>
      <c r="F25" s="3426"/>
      <c r="G25" s="3459"/>
      <c r="H25" s="3459"/>
      <c r="I25" s="3427" t="s">
        <v>7249</v>
      </c>
      <c r="J25" s="3426" t="s">
        <v>65</v>
      </c>
      <c r="K25" s="3446" t="s">
        <v>164</v>
      </c>
      <c r="L25" s="3428" t="s">
        <v>7305</v>
      </c>
      <c r="M25" s="3429">
        <v>1727</v>
      </c>
      <c r="N25" s="3512" t="s">
        <v>7306</v>
      </c>
      <c r="O25" s="2794"/>
      <c r="P25" s="3447" t="s">
        <v>7271</v>
      </c>
      <c r="Q25" s="3430" t="s">
        <v>7272</v>
      </c>
      <c r="R25" s="3431"/>
      <c r="S25" s="3431"/>
      <c r="T25" s="3431"/>
      <c r="U25" s="3431"/>
      <c r="V25" s="3431"/>
      <c r="W25" s="3345"/>
      <c r="X25" s="3345"/>
      <c r="Y25" s="3345"/>
      <c r="Z25" s="3345"/>
      <c r="AA25" s="3345"/>
      <c r="AB25" s="3345"/>
      <c r="AC25" s="3345"/>
      <c r="AD25" s="3345"/>
      <c r="AE25" s="3345"/>
      <c r="AF25" s="3345"/>
      <c r="AG25" s="3345"/>
      <c r="AH25" s="3345"/>
      <c r="AI25" s="3345"/>
    </row>
    <row r="26" spans="1:35" ht="58.6" customHeight="1">
      <c r="A26" s="3276"/>
      <c r="B26" s="2884" t="str">
        <f t="shared" si="0"/>
        <v>2000003472</v>
      </c>
      <c r="G26" s="2884"/>
      <c r="H26" s="2884"/>
      <c r="I26" s="3491" t="s">
        <v>7249</v>
      </c>
      <c r="J26" s="2898" t="s">
        <v>65</v>
      </c>
      <c r="K26" s="3492" t="s">
        <v>106</v>
      </c>
      <c r="L26" s="3493" t="s">
        <v>7307</v>
      </c>
      <c r="M26" s="3504">
        <v>1350</v>
      </c>
      <c r="N26" s="2884" t="s">
        <v>7308</v>
      </c>
      <c r="O26" s="2898"/>
      <c r="P26" s="2389" t="s">
        <v>7287</v>
      </c>
      <c r="Q26" s="3477" t="s">
        <v>7284</v>
      </c>
      <c r="W26" s="2167"/>
      <c r="X26" s="2167"/>
      <c r="Y26" s="2167"/>
      <c r="Z26" s="2167"/>
      <c r="AA26" s="2167"/>
      <c r="AB26" s="2167"/>
      <c r="AC26" s="2167"/>
      <c r="AD26" s="2167"/>
      <c r="AE26" s="2167"/>
      <c r="AF26" s="2167"/>
      <c r="AG26" s="2167"/>
      <c r="AH26" s="2167"/>
      <c r="AI26" s="2167"/>
    </row>
    <row r="27" spans="1:35" s="3613" customFormat="1" ht="58.6" customHeight="1">
      <c r="A27" s="3610"/>
      <c r="B27" s="2794"/>
      <c r="G27" s="3459"/>
      <c r="H27" s="3459"/>
      <c r="I27" s="3621"/>
      <c r="J27" s="3459"/>
      <c r="K27" s="3533" t="s">
        <v>558</v>
      </c>
      <c r="L27" s="3447"/>
      <c r="M27" s="3612"/>
      <c r="N27" s="2794"/>
      <c r="O27" s="2794"/>
      <c r="P27" s="3447"/>
      <c r="Q27" s="3430"/>
    </row>
    <row r="28" spans="1:35" s="3613" customFormat="1" ht="58.6" customHeight="1">
      <c r="A28" s="3610"/>
      <c r="B28" s="2794"/>
      <c r="C28" s="2704" t="s">
        <v>125</v>
      </c>
      <c r="D28" s="3611">
        <v>4250</v>
      </c>
      <c r="E28" s="3533" t="s">
        <v>7309</v>
      </c>
      <c r="F28" s="2704" t="s">
        <v>22</v>
      </c>
      <c r="G28" s="3459"/>
      <c r="H28" s="3459"/>
      <c r="I28" s="3621"/>
      <c r="J28" s="3459"/>
      <c r="K28" s="3533" t="s">
        <v>558</v>
      </c>
      <c r="L28" s="3447"/>
      <c r="M28" s="3612"/>
      <c r="N28" s="2794"/>
      <c r="O28" s="2794"/>
      <c r="P28" s="3447"/>
      <c r="Q28" s="3430"/>
    </row>
    <row r="29" spans="1:35" s="3616" customFormat="1" ht="58.6" customHeight="1">
      <c r="A29" s="3614"/>
      <c r="B29" s="2704"/>
      <c r="C29" s="2704" t="s">
        <v>7310</v>
      </c>
      <c r="D29" s="3611">
        <v>3820</v>
      </c>
      <c r="E29" s="3533" t="s">
        <v>7280</v>
      </c>
      <c r="F29" s="2704" t="s">
        <v>20</v>
      </c>
      <c r="G29" s="3533"/>
      <c r="H29" s="3533"/>
      <c r="I29" s="3622"/>
      <c r="J29" s="3533"/>
      <c r="K29" s="3533" t="s">
        <v>558</v>
      </c>
      <c r="L29" s="3530"/>
      <c r="M29" s="3615"/>
      <c r="N29" s="2704"/>
      <c r="O29" s="2704"/>
      <c r="P29" s="3530"/>
      <c r="Q29" s="3513"/>
    </row>
    <row r="30" spans="1:35" s="3616" customFormat="1" ht="58.6" customHeight="1">
      <c r="A30" s="3614"/>
      <c r="B30" s="2704"/>
      <c r="C30" s="2704" t="s">
        <v>3738</v>
      </c>
      <c r="D30" s="3611">
        <v>4370</v>
      </c>
      <c r="E30" s="3533" t="s">
        <v>7280</v>
      </c>
      <c r="F30" s="2704" t="s">
        <v>20</v>
      </c>
      <c r="G30" s="3533"/>
      <c r="H30" s="3533"/>
      <c r="I30" s="3622"/>
      <c r="J30" s="3533"/>
      <c r="K30" s="3533" t="s">
        <v>558</v>
      </c>
      <c r="L30" s="3530"/>
      <c r="M30" s="3615"/>
      <c r="N30" s="2704"/>
      <c r="O30" s="2704"/>
      <c r="P30" s="3530"/>
      <c r="Q30" s="3513"/>
    </row>
    <row r="31" spans="1:35" s="3616" customFormat="1" ht="58.6" customHeight="1">
      <c r="A31" s="3614"/>
      <c r="B31" s="2704"/>
      <c r="C31" s="2704" t="s">
        <v>5579</v>
      </c>
      <c r="D31" s="3611">
        <v>4200</v>
      </c>
      <c r="E31" s="3533" t="s">
        <v>7280</v>
      </c>
      <c r="F31" s="2704" t="s">
        <v>20</v>
      </c>
      <c r="G31" s="3533"/>
      <c r="H31" s="3533"/>
      <c r="I31" s="3622"/>
      <c r="J31" s="3533"/>
      <c r="K31" s="3533" t="s">
        <v>558</v>
      </c>
      <c r="L31" s="3530"/>
      <c r="M31" s="3615"/>
      <c r="N31" s="2704"/>
      <c r="O31" s="2704"/>
      <c r="P31" s="3530"/>
      <c r="Q31" s="3513"/>
    </row>
    <row r="32" spans="1:35" s="3616" customFormat="1" ht="58.6" customHeight="1">
      <c r="A32" s="3614"/>
      <c r="B32" s="2704"/>
      <c r="C32" s="2704" t="s">
        <v>252</v>
      </c>
      <c r="D32" s="3611">
        <v>4000</v>
      </c>
      <c r="E32" s="3533" t="s">
        <v>7280</v>
      </c>
      <c r="F32" s="2704" t="s">
        <v>20</v>
      </c>
      <c r="G32" s="3533"/>
      <c r="H32" s="3533"/>
      <c r="I32" s="3622"/>
      <c r="J32" s="3533"/>
      <c r="K32" s="3533" t="s">
        <v>558</v>
      </c>
      <c r="L32" s="3530"/>
      <c r="M32" s="3615"/>
      <c r="N32" s="2704"/>
      <c r="O32" s="2704"/>
      <c r="P32" s="3530"/>
      <c r="Q32" s="3513"/>
    </row>
    <row r="33" spans="1:35" s="3431" customFormat="1" ht="58.6" customHeight="1">
      <c r="A33" s="3443"/>
      <c r="B33" s="3427" t="str">
        <f t="shared" ref="B33" si="1">TEXT(LEFT(L33,10),"0000000000")</f>
        <v>2000003570</v>
      </c>
      <c r="C33" s="3444"/>
      <c r="D33" s="3445"/>
      <c r="E33" s="3446"/>
      <c r="F33" s="3444"/>
      <c r="G33" s="3446"/>
      <c r="H33" s="3446"/>
      <c r="I33" s="3459" t="s">
        <v>7311</v>
      </c>
      <c r="J33" s="3446" t="s">
        <v>65</v>
      </c>
      <c r="K33" s="3446" t="s">
        <v>213</v>
      </c>
      <c r="L33" s="3431" t="s">
        <v>7312</v>
      </c>
      <c r="M33" s="3429">
        <v>970</v>
      </c>
      <c r="N33" s="3512" t="s">
        <v>7313</v>
      </c>
      <c r="O33" s="3444"/>
      <c r="P33" s="3447" t="s">
        <v>7258</v>
      </c>
      <c r="Q33" s="3513"/>
    </row>
    <row r="34" spans="1:35" s="3431" customFormat="1" ht="58.6" customHeight="1">
      <c r="A34" s="3443"/>
      <c r="B34" s="3427" t="str">
        <f t="shared" ref="B34:B52" si="2">TEXT(LEFT(L34,10),"0000000000")</f>
        <v>2000003571</v>
      </c>
      <c r="C34" s="3444"/>
      <c r="D34" s="3445"/>
      <c r="E34" s="3446"/>
      <c r="F34" s="3444"/>
      <c r="G34" s="3446"/>
      <c r="H34" s="3446"/>
      <c r="I34" s="3459" t="s">
        <v>7311</v>
      </c>
      <c r="J34" s="3446" t="s">
        <v>65</v>
      </c>
      <c r="K34" s="3446" t="s">
        <v>213</v>
      </c>
      <c r="L34" s="3448" t="s">
        <v>7314</v>
      </c>
      <c r="M34" s="3429">
        <v>1635</v>
      </c>
      <c r="N34" s="3512" t="s">
        <v>7315</v>
      </c>
      <c r="O34" s="3444"/>
      <c r="P34" s="3447" t="s">
        <v>7258</v>
      </c>
      <c r="Q34" s="3513"/>
    </row>
    <row r="35" spans="1:35" s="3431" customFormat="1" ht="58.6" customHeight="1">
      <c r="A35" s="3443"/>
      <c r="B35" s="3427" t="str">
        <f t="shared" si="2"/>
        <v>2000003601</v>
      </c>
      <c r="C35" s="3444"/>
      <c r="D35" s="3445"/>
      <c r="E35" s="3446"/>
      <c r="F35" s="3444"/>
      <c r="G35" s="3446"/>
      <c r="H35" s="3446"/>
      <c r="I35" s="3459" t="s">
        <v>7311</v>
      </c>
      <c r="J35" s="3446" t="s">
        <v>65</v>
      </c>
      <c r="K35" s="3446" t="s">
        <v>213</v>
      </c>
      <c r="L35" s="3448" t="s">
        <v>7316</v>
      </c>
      <c r="M35" s="3429">
        <v>715</v>
      </c>
      <c r="N35" s="3512" t="s">
        <v>7317</v>
      </c>
      <c r="O35" s="3444"/>
      <c r="P35" s="3447" t="s">
        <v>7258</v>
      </c>
      <c r="Q35" s="3513"/>
    </row>
    <row r="36" spans="1:35" s="3431" customFormat="1" ht="58.6" customHeight="1">
      <c r="A36" s="3443"/>
      <c r="B36" s="3427" t="str">
        <f t="shared" si="2"/>
        <v>2000003573</v>
      </c>
      <c r="C36" s="3444"/>
      <c r="D36" s="3445"/>
      <c r="E36" s="3446"/>
      <c r="F36" s="3444"/>
      <c r="G36" s="3446"/>
      <c r="H36" s="3446"/>
      <c r="I36" s="3459" t="s">
        <v>7311</v>
      </c>
      <c r="J36" s="3446" t="s">
        <v>65</v>
      </c>
      <c r="K36" s="3446" t="s">
        <v>213</v>
      </c>
      <c r="L36" s="3448" t="s">
        <v>7318</v>
      </c>
      <c r="M36" s="3429">
        <v>555</v>
      </c>
      <c r="N36" s="3512" t="s">
        <v>7319</v>
      </c>
      <c r="O36" s="3444"/>
      <c r="P36" s="3447" t="s">
        <v>7258</v>
      </c>
      <c r="Q36" s="3513"/>
    </row>
    <row r="37" spans="1:35" s="3431" customFormat="1" ht="58.6" customHeight="1">
      <c r="A37" s="3443"/>
      <c r="B37" s="3427" t="str">
        <f t="shared" si="2"/>
        <v>2000003540</v>
      </c>
      <c r="C37" s="3444"/>
      <c r="D37" s="3445"/>
      <c r="E37" s="3446"/>
      <c r="F37" s="3444"/>
      <c r="G37" s="3446"/>
      <c r="H37" s="3446"/>
      <c r="I37" s="3446" t="s">
        <v>7255</v>
      </c>
      <c r="J37" s="3426" t="s">
        <v>65</v>
      </c>
      <c r="K37" s="3446" t="s">
        <v>213</v>
      </c>
      <c r="L37" s="3517" t="s">
        <v>7320</v>
      </c>
      <c r="M37" s="3511">
        <v>1000</v>
      </c>
      <c r="N37" s="3518" t="s">
        <v>7321</v>
      </c>
      <c r="O37" s="3444"/>
      <c r="P37" s="3447"/>
      <c r="Q37" s="3430"/>
    </row>
    <row r="38" spans="1:35" s="3431" customFormat="1" ht="58.6" customHeight="1">
      <c r="A38" s="3443"/>
      <c r="B38" s="3427" t="str">
        <f t="shared" si="2"/>
        <v>2000003541</v>
      </c>
      <c r="C38" s="3444"/>
      <c r="D38" s="3445"/>
      <c r="E38" s="3446"/>
      <c r="F38" s="3444"/>
      <c r="G38" s="3446"/>
      <c r="H38" s="3446"/>
      <c r="I38" s="3446" t="s">
        <v>7255</v>
      </c>
      <c r="J38" s="3426" t="s">
        <v>65</v>
      </c>
      <c r="K38" s="3446" t="s">
        <v>213</v>
      </c>
      <c r="L38" s="3515" t="s">
        <v>7322</v>
      </c>
      <c r="M38" s="3511">
        <v>2500</v>
      </c>
      <c r="N38" s="3518" t="s">
        <v>7321</v>
      </c>
      <c r="O38" s="3444"/>
      <c r="P38" s="3447"/>
      <c r="Q38" s="3430"/>
    </row>
    <row r="39" spans="1:35" s="3431" customFormat="1" ht="58.6" customHeight="1">
      <c r="A39" s="3443"/>
      <c r="B39" s="3427" t="str">
        <f t="shared" si="2"/>
        <v>2000003542</v>
      </c>
      <c r="C39" s="3444"/>
      <c r="D39" s="3445"/>
      <c r="E39" s="3446"/>
      <c r="F39" s="3444"/>
      <c r="G39" s="3446"/>
      <c r="H39" s="3446"/>
      <c r="I39" s="3446" t="s">
        <v>7255</v>
      </c>
      <c r="J39" s="3426" t="s">
        <v>65</v>
      </c>
      <c r="K39" s="3514" t="s">
        <v>117</v>
      </c>
      <c r="L39" s="3519" t="s">
        <v>7323</v>
      </c>
      <c r="M39" s="3511">
        <v>3250</v>
      </c>
      <c r="N39" s="3446" t="s">
        <v>7324</v>
      </c>
      <c r="O39" s="3444"/>
      <c r="P39" s="3447"/>
      <c r="Q39" s="3430"/>
    </row>
    <row r="40" spans="1:35" s="3431" customFormat="1" ht="58.6" customHeight="1">
      <c r="A40" s="3443"/>
      <c r="B40" s="3427" t="str">
        <f t="shared" si="2"/>
        <v>2000003536</v>
      </c>
      <c r="C40" s="3444"/>
      <c r="D40" s="3445"/>
      <c r="E40" s="3446"/>
      <c r="F40" s="3444"/>
      <c r="G40" s="3446"/>
      <c r="H40" s="3446"/>
      <c r="I40" s="3446" t="s">
        <v>7255</v>
      </c>
      <c r="J40" s="3426" t="s">
        <v>65</v>
      </c>
      <c r="K40" s="3514" t="s">
        <v>117</v>
      </c>
      <c r="L40" s="3519" t="s">
        <v>7325</v>
      </c>
      <c r="M40" s="3511">
        <v>700</v>
      </c>
      <c r="N40" s="3446" t="s">
        <v>7326</v>
      </c>
      <c r="O40" s="3444"/>
      <c r="P40" s="3447" t="s">
        <v>7258</v>
      </c>
      <c r="Q40" s="3430"/>
    </row>
    <row r="41" spans="1:35" ht="58.6" customHeight="1">
      <c r="A41" s="3496"/>
      <c r="B41" s="2884" t="str">
        <f t="shared" si="2"/>
        <v>2000003650</v>
      </c>
      <c r="C41" s="2898"/>
      <c r="D41" s="3497"/>
      <c r="E41" s="3498"/>
      <c r="F41" s="2898"/>
      <c r="G41" s="2884"/>
      <c r="H41" s="2884"/>
      <c r="I41" s="3491" t="s">
        <v>7327</v>
      </c>
      <c r="J41" s="109" t="s">
        <v>65</v>
      </c>
      <c r="K41" s="2884" t="s">
        <v>117</v>
      </c>
      <c r="L41" s="3529" t="s">
        <v>7328</v>
      </c>
      <c r="M41" s="3494">
        <v>300</v>
      </c>
      <c r="N41" s="2884" t="s">
        <v>7329</v>
      </c>
      <c r="Q41" s="3501"/>
    </row>
    <row r="42" spans="1:35" ht="58.6" customHeight="1">
      <c r="A42" s="3496"/>
      <c r="B42" s="2884" t="str">
        <f t="shared" si="2"/>
        <v>2000003400</v>
      </c>
      <c r="C42" s="2898"/>
      <c r="D42" s="3497"/>
      <c r="E42" s="3498"/>
      <c r="F42" s="2898"/>
      <c r="G42" s="2884"/>
      <c r="H42" s="2884"/>
      <c r="I42" s="2884" t="s">
        <v>7249</v>
      </c>
      <c r="J42" s="109" t="s">
        <v>65</v>
      </c>
      <c r="K42" s="106" t="s">
        <v>117</v>
      </c>
      <c r="L42" s="696" t="s">
        <v>7330</v>
      </c>
      <c r="M42" s="2216">
        <v>20</v>
      </c>
      <c r="N42" s="2884" t="s">
        <v>7329</v>
      </c>
      <c r="Q42" s="3501"/>
    </row>
    <row r="43" spans="1:35" ht="58.6" customHeight="1">
      <c r="A43" s="3496"/>
      <c r="B43" s="2884" t="str">
        <f t="shared" si="2"/>
        <v>2000003664</v>
      </c>
      <c r="C43" s="2898"/>
      <c r="D43" s="3497"/>
      <c r="E43" s="3498"/>
      <c r="F43" s="2898"/>
      <c r="G43" s="2884"/>
      <c r="H43" s="2884"/>
      <c r="I43" s="2884" t="s">
        <v>7331</v>
      </c>
      <c r="J43" s="109" t="s">
        <v>65</v>
      </c>
      <c r="K43" s="106" t="s">
        <v>117</v>
      </c>
      <c r="L43" s="696" t="s">
        <v>7332</v>
      </c>
      <c r="M43" s="3494">
        <v>400</v>
      </c>
      <c r="N43" s="2884" t="s">
        <v>7329</v>
      </c>
      <c r="Q43" s="3501"/>
    </row>
    <row r="44" spans="1:35" ht="58.6" customHeight="1">
      <c r="A44" s="3496"/>
      <c r="B44" s="2884" t="str">
        <f t="shared" si="2"/>
        <v>2000003651</v>
      </c>
      <c r="C44" s="2898"/>
      <c r="D44" s="3497"/>
      <c r="E44" s="3498"/>
      <c r="F44" s="2898"/>
      <c r="G44" s="2884"/>
      <c r="H44" s="2884"/>
      <c r="I44" s="3491" t="s">
        <v>7327</v>
      </c>
      <c r="J44" s="109" t="s">
        <v>65</v>
      </c>
      <c r="K44" s="2884" t="s">
        <v>117</v>
      </c>
      <c r="L44" s="3499" t="s">
        <v>7333</v>
      </c>
      <c r="M44" s="3494">
        <v>1500</v>
      </c>
      <c r="N44" s="2884" t="s">
        <v>7334</v>
      </c>
      <c r="Q44" s="3501"/>
    </row>
    <row r="45" spans="1:35" ht="58.6" customHeight="1">
      <c r="A45" s="3496"/>
      <c r="B45" s="2884" t="str">
        <f t="shared" si="2"/>
        <v>2000003649</v>
      </c>
      <c r="C45" s="2898"/>
      <c r="D45" s="3526"/>
      <c r="E45" s="3498"/>
      <c r="F45" s="2898"/>
      <c r="G45" s="2884"/>
      <c r="H45" s="2884"/>
      <c r="I45" s="3491" t="s">
        <v>7327</v>
      </c>
      <c r="J45" s="109" t="s">
        <v>65</v>
      </c>
      <c r="K45" s="2884" t="s">
        <v>117</v>
      </c>
      <c r="L45" s="3499" t="s">
        <v>7335</v>
      </c>
      <c r="M45" s="3504">
        <v>3000</v>
      </c>
      <c r="N45" s="2884" t="s">
        <v>7329</v>
      </c>
      <c r="Q45" s="3501"/>
    </row>
    <row r="46" spans="1:35" ht="58.6" customHeight="1">
      <c r="B46" s="2884" t="str">
        <f t="shared" si="2"/>
        <v>2000003517</v>
      </c>
      <c r="D46" s="104"/>
      <c r="I46" s="109" t="s">
        <v>7336</v>
      </c>
      <c r="J46" s="2898" t="s">
        <v>65</v>
      </c>
      <c r="K46" s="109" t="s">
        <v>117</v>
      </c>
      <c r="L46" s="143" t="s">
        <v>7337</v>
      </c>
      <c r="M46" s="2644">
        <v>5000</v>
      </c>
      <c r="N46" s="3510" t="s">
        <v>7326</v>
      </c>
      <c r="W46" s="3431"/>
      <c r="X46" s="3431"/>
      <c r="Y46" s="3431"/>
      <c r="Z46" s="3431"/>
      <c r="AA46" s="3431"/>
      <c r="AB46" s="3431"/>
      <c r="AC46" s="3431"/>
      <c r="AD46" s="3431"/>
      <c r="AE46" s="3431"/>
      <c r="AF46" s="3431"/>
      <c r="AG46" s="3431"/>
      <c r="AH46" s="3431"/>
      <c r="AI46" s="3431"/>
    </row>
    <row r="47" spans="1:35" ht="58.6" customHeight="1">
      <c r="B47" s="2884" t="str">
        <f t="shared" si="2"/>
        <v>2000003518</v>
      </c>
      <c r="D47" s="104"/>
      <c r="I47" s="1077">
        <v>45728</v>
      </c>
      <c r="J47" s="2898" t="s">
        <v>65</v>
      </c>
      <c r="K47" s="109" t="s">
        <v>117</v>
      </c>
      <c r="L47" s="143" t="s">
        <v>7338</v>
      </c>
      <c r="M47" s="2644">
        <v>5000</v>
      </c>
      <c r="N47" s="3510" t="s">
        <v>7321</v>
      </c>
      <c r="W47" s="3431"/>
      <c r="X47" s="3431"/>
      <c r="Y47" s="3431"/>
      <c r="Z47" s="3431"/>
      <c r="AA47" s="3431"/>
      <c r="AB47" s="3431"/>
      <c r="AC47" s="3431"/>
      <c r="AD47" s="3431"/>
      <c r="AE47" s="3431"/>
      <c r="AF47" s="3431"/>
      <c r="AG47" s="3431"/>
      <c r="AH47" s="3431"/>
      <c r="AI47" s="3431"/>
    </row>
    <row r="48" spans="1:35" ht="58.6" customHeight="1">
      <c r="A48" s="3496"/>
      <c r="B48" s="2884" t="str">
        <f t="shared" si="2"/>
        <v>2000003667</v>
      </c>
      <c r="C48" s="2898"/>
      <c r="D48" s="3497"/>
      <c r="E48" s="3498"/>
      <c r="F48" s="2898"/>
      <c r="G48" s="2884"/>
      <c r="H48" s="2884"/>
      <c r="I48" s="2884"/>
      <c r="J48" s="109" t="s">
        <v>65</v>
      </c>
      <c r="K48" s="2884" t="s">
        <v>117</v>
      </c>
      <c r="L48" s="3499" t="s">
        <v>7339</v>
      </c>
      <c r="M48" s="3494">
        <v>6000</v>
      </c>
      <c r="N48" s="2884" t="s">
        <v>7340</v>
      </c>
      <c r="Q48" s="3501" t="s">
        <v>7252</v>
      </c>
    </row>
    <row r="49" spans="1:17" ht="58.6" customHeight="1">
      <c r="A49" s="3496"/>
      <c r="B49" s="2884" t="str">
        <f t="shared" si="2"/>
        <v>2000003666</v>
      </c>
      <c r="C49" s="2898"/>
      <c r="D49" s="3497"/>
      <c r="E49" s="3498"/>
      <c r="F49" s="2898"/>
      <c r="G49" s="2884"/>
      <c r="H49" s="2884"/>
      <c r="I49" s="2884"/>
      <c r="J49" s="109" t="s">
        <v>65</v>
      </c>
      <c r="K49" s="2884" t="s">
        <v>117</v>
      </c>
      <c r="L49" s="3499" t="s">
        <v>7341</v>
      </c>
      <c r="M49" s="3494">
        <v>4725</v>
      </c>
      <c r="N49" s="2884" t="s">
        <v>7342</v>
      </c>
      <c r="Q49" s="3501" t="s">
        <v>7252</v>
      </c>
    </row>
    <row r="50" spans="1:17" ht="58.6" customHeight="1">
      <c r="A50" s="3496"/>
      <c r="B50" s="2884" t="str">
        <f t="shared" si="2"/>
        <v>2000003636</v>
      </c>
      <c r="C50" s="2898"/>
      <c r="D50" s="3497"/>
      <c r="E50" s="3498"/>
      <c r="F50" s="2898"/>
      <c r="G50" s="2884"/>
      <c r="H50" s="2884"/>
      <c r="I50" s="2884"/>
      <c r="J50" s="109" t="s">
        <v>65</v>
      </c>
      <c r="K50" s="2884" t="s">
        <v>117</v>
      </c>
      <c r="L50" s="3499" t="s">
        <v>7343</v>
      </c>
      <c r="M50" s="3494">
        <v>275</v>
      </c>
      <c r="N50" s="2884" t="s">
        <v>7342</v>
      </c>
      <c r="Q50" s="3501" t="s">
        <v>7252</v>
      </c>
    </row>
    <row r="51" spans="1:17" ht="58.6" customHeight="1">
      <c r="B51" s="2884" t="str">
        <f t="shared" si="2"/>
        <v>2000003622</v>
      </c>
      <c r="I51" s="109" t="s">
        <v>7344</v>
      </c>
      <c r="J51" s="109" t="s">
        <v>65</v>
      </c>
      <c r="K51" s="109" t="s">
        <v>294</v>
      </c>
      <c r="L51" s="143" t="s">
        <v>7345</v>
      </c>
      <c r="M51" s="2216">
        <v>2000</v>
      </c>
      <c r="N51" s="109" t="s">
        <v>7346</v>
      </c>
      <c r="Q51" s="3144" t="s">
        <v>7252</v>
      </c>
    </row>
    <row r="52" spans="1:17" ht="58.6" customHeight="1">
      <c r="A52" s="3496"/>
      <c r="B52" s="2884" t="str">
        <f t="shared" si="2"/>
        <v>2000003470</v>
      </c>
      <c r="C52" s="2898"/>
      <c r="D52" s="3526"/>
      <c r="E52" s="3498"/>
      <c r="F52" s="2898"/>
      <c r="G52" s="2884"/>
      <c r="H52" s="2884"/>
      <c r="I52" s="109" t="s">
        <v>7249</v>
      </c>
      <c r="J52" s="109" t="s">
        <v>65</v>
      </c>
      <c r="K52" s="2884" t="s">
        <v>106</v>
      </c>
      <c r="L52" s="3527" t="s">
        <v>7347</v>
      </c>
      <c r="M52" s="3504">
        <v>200</v>
      </c>
      <c r="N52" s="2884" t="s">
        <v>7329</v>
      </c>
      <c r="Q52" s="3501" t="s">
        <v>7252</v>
      </c>
    </row>
    <row r="53" spans="1:17" ht="58.6" customHeight="1">
      <c r="A53" s="3496"/>
      <c r="B53" s="2884" t="str">
        <f t="shared" ref="B53:B108" si="3">TEXT(LEFT(L53,10),"0000000000")</f>
        <v>2000003639</v>
      </c>
      <c r="C53" s="2898"/>
      <c r="D53" s="3497"/>
      <c r="E53" s="3498"/>
      <c r="F53" s="2898"/>
      <c r="G53" s="2884"/>
      <c r="H53" s="2884"/>
      <c r="I53" s="3566" t="s">
        <v>7348</v>
      </c>
      <c r="J53" s="109" t="s">
        <v>65</v>
      </c>
      <c r="K53" s="2884" t="s">
        <v>106</v>
      </c>
      <c r="L53" s="3527" t="s">
        <v>7349</v>
      </c>
      <c r="M53" s="3494">
        <v>200</v>
      </c>
      <c r="N53" s="2884" t="s">
        <v>7350</v>
      </c>
      <c r="Q53" s="3501" t="s">
        <v>7252</v>
      </c>
    </row>
    <row r="54" spans="1:17" ht="58.6" customHeight="1">
      <c r="A54" s="3496"/>
      <c r="B54" s="2884" t="str">
        <f t="shared" si="3"/>
        <v>2000003642</v>
      </c>
      <c r="C54" s="2898"/>
      <c r="D54" s="3497"/>
      <c r="E54" s="3498"/>
      <c r="F54" s="2898"/>
      <c r="G54" s="2884"/>
      <c r="H54" s="2884"/>
      <c r="I54" s="3528" t="s">
        <v>7351</v>
      </c>
      <c r="J54" s="109" t="s">
        <v>65</v>
      </c>
      <c r="K54" s="2884" t="s">
        <v>106</v>
      </c>
      <c r="L54" s="3499" t="s">
        <v>7352</v>
      </c>
      <c r="M54" s="3494">
        <v>500</v>
      </c>
      <c r="N54" s="2884" t="s">
        <v>7329</v>
      </c>
      <c r="Q54" s="3501" t="s">
        <v>7252</v>
      </c>
    </row>
    <row r="55" spans="1:17" ht="58.6" customHeight="1">
      <c r="A55" s="3496"/>
      <c r="B55" s="2884" t="str">
        <f t="shared" si="3"/>
        <v>2000003633</v>
      </c>
      <c r="C55" s="2898"/>
      <c r="D55" s="3497"/>
      <c r="E55" s="3498"/>
      <c r="F55" s="2898"/>
      <c r="G55" s="2884"/>
      <c r="H55" s="2884"/>
      <c r="I55" s="2884" t="s">
        <v>7353</v>
      </c>
      <c r="J55" s="109" t="s">
        <v>65</v>
      </c>
      <c r="K55" s="2884" t="s">
        <v>106</v>
      </c>
      <c r="L55" s="3499" t="s">
        <v>7354</v>
      </c>
      <c r="M55" s="3494">
        <v>500</v>
      </c>
      <c r="N55" s="2884" t="s">
        <v>7329</v>
      </c>
      <c r="Q55" s="3501" t="s">
        <v>7252</v>
      </c>
    </row>
    <row r="56" spans="1:17" ht="58.6" customHeight="1">
      <c r="A56" s="3496"/>
      <c r="B56" s="2884" t="str">
        <f t="shared" si="3"/>
        <v>2000003634</v>
      </c>
      <c r="C56" s="2898"/>
      <c r="D56" s="3497"/>
      <c r="E56" s="3498"/>
      <c r="F56" s="2898"/>
      <c r="G56" s="2884"/>
      <c r="H56" s="2884"/>
      <c r="I56" s="2884" t="s">
        <v>7355</v>
      </c>
      <c r="J56" s="109" t="s">
        <v>65</v>
      </c>
      <c r="K56" s="2884" t="s">
        <v>106</v>
      </c>
      <c r="L56" s="3499" t="s">
        <v>7356</v>
      </c>
      <c r="M56" s="3494">
        <v>700</v>
      </c>
      <c r="N56" s="2884" t="s">
        <v>7350</v>
      </c>
      <c r="Q56" s="3501" t="s">
        <v>7252</v>
      </c>
    </row>
    <row r="57" spans="1:17" s="2167" customFormat="1" ht="58.6" customHeight="1">
      <c r="A57" s="3277"/>
      <c r="B57" s="3473" t="str">
        <f t="shared" ref="B57:B64" si="4">TEXT(LEFT(L57,10),"0000000000")</f>
        <v>2000003615</v>
      </c>
      <c r="C57" s="1895" t="s">
        <v>3150</v>
      </c>
      <c r="D57" s="2252">
        <v>18500</v>
      </c>
      <c r="E57" s="2167" t="s">
        <v>7248</v>
      </c>
      <c r="F57" s="102" t="s">
        <v>16</v>
      </c>
      <c r="G57" s="2114"/>
      <c r="H57" s="2114"/>
      <c r="I57" s="3344" t="s">
        <v>7249</v>
      </c>
      <c r="J57" s="2114" t="s">
        <v>65</v>
      </c>
      <c r="K57" s="2114" t="s">
        <v>106</v>
      </c>
      <c r="L57" s="2173" t="s">
        <v>7357</v>
      </c>
      <c r="M57" s="2500">
        <f>13950-5000-2500</f>
        <v>6450</v>
      </c>
      <c r="N57" s="109" t="s">
        <v>7289</v>
      </c>
      <c r="O57" s="1895"/>
      <c r="P57" s="2389" t="s">
        <v>7287</v>
      </c>
      <c r="Q57" s="3477"/>
    </row>
    <row r="58" spans="1:17" ht="58.6" customHeight="1">
      <c r="B58" s="2884" t="str">
        <f t="shared" si="4"/>
        <v>2000003628</v>
      </c>
      <c r="C58" s="102" t="s">
        <v>3150</v>
      </c>
      <c r="E58" s="1777" t="s">
        <v>7248</v>
      </c>
      <c r="F58" s="102" t="s">
        <v>16</v>
      </c>
      <c r="I58" s="109" t="s">
        <v>7290</v>
      </c>
      <c r="J58" s="109" t="s">
        <v>65</v>
      </c>
      <c r="K58" s="109" t="s">
        <v>164</v>
      </c>
      <c r="L58" s="143" t="s">
        <v>7358</v>
      </c>
      <c r="M58" s="2216">
        <v>1500</v>
      </c>
      <c r="N58" s="109" t="s">
        <v>7359</v>
      </c>
    </row>
    <row r="59" spans="1:17" ht="58.6" customHeight="1">
      <c r="B59" s="2884" t="str">
        <f t="shared" si="4"/>
        <v>2000003632</v>
      </c>
      <c r="C59" s="102" t="s">
        <v>3150</v>
      </c>
      <c r="E59" s="1777" t="s">
        <v>7248</v>
      </c>
      <c r="F59" s="102" t="s">
        <v>16</v>
      </c>
      <c r="I59" s="109" t="s">
        <v>7290</v>
      </c>
      <c r="J59" s="2898" t="s">
        <v>65</v>
      </c>
      <c r="K59" s="109" t="s">
        <v>164</v>
      </c>
      <c r="L59" s="143" t="s">
        <v>7360</v>
      </c>
      <c r="M59" s="2216">
        <v>1500</v>
      </c>
      <c r="N59" s="109" t="s">
        <v>7361</v>
      </c>
    </row>
    <row r="60" spans="1:17" ht="58.6" customHeight="1">
      <c r="B60" s="2884" t="str">
        <f t="shared" si="4"/>
        <v>2000003568</v>
      </c>
      <c r="C60" s="102" t="s">
        <v>3150</v>
      </c>
      <c r="E60" s="1777" t="s">
        <v>7248</v>
      </c>
      <c r="F60" s="102" t="s">
        <v>16</v>
      </c>
      <c r="I60" s="109" t="s">
        <v>7255</v>
      </c>
      <c r="J60" s="109" t="s">
        <v>65</v>
      </c>
      <c r="K60" s="109" t="s">
        <v>5400</v>
      </c>
      <c r="L60" s="696" t="s">
        <v>7362</v>
      </c>
      <c r="M60" s="2216">
        <v>850</v>
      </c>
      <c r="N60" s="109" t="s">
        <v>7304</v>
      </c>
      <c r="P60" s="2389" t="s">
        <v>7271</v>
      </c>
      <c r="Q60" s="3144" t="s">
        <v>7272</v>
      </c>
    </row>
    <row r="61" spans="1:17" s="2167" customFormat="1" ht="58.6" customHeight="1">
      <c r="A61" s="3277"/>
      <c r="B61" s="3473" t="str">
        <f t="shared" si="4"/>
        <v>2000003605</v>
      </c>
      <c r="C61" s="102" t="s">
        <v>3150</v>
      </c>
      <c r="D61" s="2513"/>
      <c r="E61" s="1777" t="s">
        <v>7248</v>
      </c>
      <c r="F61" s="102" t="s">
        <v>16</v>
      </c>
      <c r="G61" s="2114"/>
      <c r="H61" s="2114"/>
      <c r="I61" s="109" t="s">
        <v>7255</v>
      </c>
      <c r="J61" s="2114" t="s">
        <v>65</v>
      </c>
      <c r="K61" s="2114" t="s">
        <v>5400</v>
      </c>
      <c r="L61" s="2173" t="s">
        <v>7363</v>
      </c>
      <c r="M61" s="2500">
        <v>1500</v>
      </c>
      <c r="N61" s="1895" t="s">
        <v>7364</v>
      </c>
      <c r="O61" s="1895"/>
      <c r="P61" s="3530" t="s">
        <v>7271</v>
      </c>
      <c r="Q61" s="3477" t="s">
        <v>7272</v>
      </c>
    </row>
    <row r="62" spans="1:17" ht="58.6" customHeight="1">
      <c r="B62" s="2884" t="str">
        <f t="shared" si="4"/>
        <v>2000003606</v>
      </c>
      <c r="C62" s="102" t="s">
        <v>3150</v>
      </c>
      <c r="E62" s="1777" t="s">
        <v>7248</v>
      </c>
      <c r="F62" s="102" t="s">
        <v>16</v>
      </c>
      <c r="I62" s="109" t="s">
        <v>7255</v>
      </c>
      <c r="J62" s="109" t="s">
        <v>65</v>
      </c>
      <c r="K62" s="109" t="s">
        <v>5400</v>
      </c>
      <c r="L62" s="696" t="s">
        <v>7365</v>
      </c>
      <c r="M62" s="2216">
        <v>4200</v>
      </c>
      <c r="N62" s="109" t="s">
        <v>7366</v>
      </c>
      <c r="P62" s="3447" t="s">
        <v>7271</v>
      </c>
      <c r="Q62" s="3144" t="s">
        <v>7272</v>
      </c>
    </row>
    <row r="63" spans="1:17" ht="58.6" customHeight="1">
      <c r="A63" s="3496"/>
      <c r="B63" s="2884" t="str">
        <f t="shared" si="4"/>
        <v>2000003663</v>
      </c>
      <c r="C63" s="102" t="s">
        <v>3150</v>
      </c>
      <c r="D63" s="3497"/>
      <c r="E63" s="1777" t="s">
        <v>7248</v>
      </c>
      <c r="F63" s="102" t="s">
        <v>16</v>
      </c>
      <c r="G63" s="2884"/>
      <c r="H63" s="2884"/>
      <c r="I63" s="2884" t="s">
        <v>7331</v>
      </c>
      <c r="J63" s="109" t="s">
        <v>65</v>
      </c>
      <c r="K63" s="2884" t="s">
        <v>106</v>
      </c>
      <c r="L63" s="3499" t="s">
        <v>7367</v>
      </c>
      <c r="M63" s="3494">
        <v>5000</v>
      </c>
      <c r="N63" s="3458" t="s">
        <v>7368</v>
      </c>
      <c r="Q63" s="3501" t="s">
        <v>7252</v>
      </c>
    </row>
    <row r="64" spans="1:17" ht="58.6" customHeight="1">
      <c r="A64" s="3496"/>
      <c r="B64" s="2884" t="str">
        <f t="shared" si="4"/>
        <v>2000003665</v>
      </c>
      <c r="C64" s="2898"/>
      <c r="D64" s="3497"/>
      <c r="E64" s="3498"/>
      <c r="F64" s="2898"/>
      <c r="G64" s="2884"/>
      <c r="H64" s="2884"/>
      <c r="I64" s="2884" t="s">
        <v>7331</v>
      </c>
      <c r="J64" s="109" t="s">
        <v>65</v>
      </c>
      <c r="K64" s="2884" t="s">
        <v>106</v>
      </c>
      <c r="L64" s="3499" t="s">
        <v>7369</v>
      </c>
      <c r="M64" s="3494">
        <v>1000</v>
      </c>
      <c r="N64" s="2884" t="s">
        <v>7329</v>
      </c>
      <c r="Q64" s="3501" t="s">
        <v>7370</v>
      </c>
    </row>
    <row r="65" spans="1:35" ht="58.6" customHeight="1">
      <c r="A65" s="3496"/>
      <c r="B65" s="2884" t="str">
        <f t="shared" si="3"/>
        <v>2000003561</v>
      </c>
      <c r="C65" s="2898"/>
      <c r="D65" s="3497"/>
      <c r="E65" s="3498"/>
      <c r="F65" s="2898"/>
      <c r="G65" s="2884"/>
      <c r="H65" s="2884"/>
      <c r="I65" s="109" t="s">
        <v>7344</v>
      </c>
      <c r="J65" s="109" t="s">
        <v>65</v>
      </c>
      <c r="K65" s="109" t="s">
        <v>164</v>
      </c>
      <c r="L65" s="143" t="s">
        <v>7371</v>
      </c>
      <c r="M65" s="2216">
        <v>1990</v>
      </c>
      <c r="N65" s="2884" t="s">
        <v>7329</v>
      </c>
      <c r="Q65" s="3501" t="s">
        <v>7252</v>
      </c>
    </row>
    <row r="66" spans="1:35" ht="58.6" customHeight="1">
      <c r="A66" s="3496"/>
      <c r="B66" s="2884" t="str">
        <f t="shared" si="3"/>
        <v>2000003660</v>
      </c>
      <c r="C66" s="2898"/>
      <c r="D66" s="3497"/>
      <c r="E66" s="3498"/>
      <c r="F66" s="2898"/>
      <c r="G66" s="2884"/>
      <c r="H66" s="2884"/>
      <c r="I66" s="109" t="s">
        <v>7344</v>
      </c>
      <c r="J66" s="109" t="s">
        <v>65</v>
      </c>
      <c r="K66" s="109" t="s">
        <v>164</v>
      </c>
      <c r="L66" s="143" t="s">
        <v>7372</v>
      </c>
      <c r="M66" s="2216">
        <v>1980</v>
      </c>
      <c r="N66" s="3458" t="s">
        <v>7373</v>
      </c>
      <c r="Q66" s="3501" t="s">
        <v>7252</v>
      </c>
    </row>
    <row r="67" spans="1:35" ht="58.6" customHeight="1">
      <c r="A67" s="3496"/>
      <c r="B67" s="2884" t="str">
        <f t="shared" si="3"/>
        <v>2000003661</v>
      </c>
      <c r="C67" s="2898"/>
      <c r="D67" s="3497"/>
      <c r="E67" s="3498"/>
      <c r="F67" s="2898"/>
      <c r="G67" s="2884"/>
      <c r="H67" s="2884"/>
      <c r="I67" s="109" t="s">
        <v>7344</v>
      </c>
      <c r="J67" s="109" t="s">
        <v>65</v>
      </c>
      <c r="K67" s="109" t="s">
        <v>164</v>
      </c>
      <c r="L67" s="143" t="s">
        <v>7374</v>
      </c>
      <c r="M67" s="2216">
        <v>220</v>
      </c>
      <c r="N67" s="3464" t="s">
        <v>7375</v>
      </c>
      <c r="Q67" s="3501" t="s">
        <v>7252</v>
      </c>
    </row>
    <row r="68" spans="1:35" ht="58.6" customHeight="1">
      <c r="A68" s="3496"/>
      <c r="B68" s="2884" t="str">
        <f t="shared" si="3"/>
        <v>2000003662</v>
      </c>
      <c r="C68" s="2898"/>
      <c r="D68" s="3497"/>
      <c r="E68" s="3498"/>
      <c r="F68" s="2898"/>
      <c r="G68" s="2884"/>
      <c r="H68" s="2884"/>
      <c r="I68" s="109" t="s">
        <v>7344</v>
      </c>
      <c r="J68" s="109" t="s">
        <v>65</v>
      </c>
      <c r="K68" s="109" t="s">
        <v>164</v>
      </c>
      <c r="L68" s="143" t="s">
        <v>7376</v>
      </c>
      <c r="M68" s="2216">
        <v>5960</v>
      </c>
      <c r="N68" s="2884" t="s">
        <v>7329</v>
      </c>
      <c r="Q68" s="3501" t="s">
        <v>7252</v>
      </c>
    </row>
    <row r="69" spans="1:35" ht="58.6" customHeight="1">
      <c r="A69" s="3496"/>
      <c r="B69" s="2884" t="str">
        <f t="shared" si="3"/>
        <v>2000003647</v>
      </c>
      <c r="C69" s="2898"/>
      <c r="D69" s="3497"/>
      <c r="E69" s="3498"/>
      <c r="F69" s="2898"/>
      <c r="G69" s="2884"/>
      <c r="H69" s="2884"/>
      <c r="I69" s="3344" t="s">
        <v>7327</v>
      </c>
      <c r="J69" s="109" t="s">
        <v>65</v>
      </c>
      <c r="K69" s="2884" t="s">
        <v>164</v>
      </c>
      <c r="L69" s="3499" t="s">
        <v>7377</v>
      </c>
      <c r="M69" s="3494">
        <v>5000</v>
      </c>
      <c r="N69" s="2884" t="s">
        <v>7329</v>
      </c>
      <c r="Q69" s="3501"/>
    </row>
    <row r="70" spans="1:35" ht="58.6" customHeight="1">
      <c r="A70" s="3496"/>
      <c r="B70" s="2884" t="str">
        <f t="shared" si="3"/>
        <v>2000003652</v>
      </c>
      <c r="C70" s="2898"/>
      <c r="D70" s="3497"/>
      <c r="E70" s="3498"/>
      <c r="F70" s="2898"/>
      <c r="G70" s="2884"/>
      <c r="H70" s="2884"/>
      <c r="I70" s="3491" t="s">
        <v>7378</v>
      </c>
      <c r="J70" s="109" t="s">
        <v>65</v>
      </c>
      <c r="K70" s="2884" t="s">
        <v>164</v>
      </c>
      <c r="L70" s="3499" t="s">
        <v>7379</v>
      </c>
      <c r="M70" s="3494">
        <v>3500</v>
      </c>
      <c r="N70" s="3522" t="s">
        <v>7380</v>
      </c>
      <c r="Q70" s="3501"/>
    </row>
    <row r="71" spans="1:35" ht="58.6" customHeight="1">
      <c r="A71" s="3496"/>
      <c r="B71" s="2884" t="str">
        <f t="shared" si="3"/>
        <v>2000003669</v>
      </c>
      <c r="C71" s="2898"/>
      <c r="D71" s="3497"/>
      <c r="E71" s="3498"/>
      <c r="F71" s="2898"/>
      <c r="G71" s="2884"/>
      <c r="H71" s="2884"/>
      <c r="I71" s="3491" t="s">
        <v>7378</v>
      </c>
      <c r="J71" s="109" t="s">
        <v>65</v>
      </c>
      <c r="K71" s="2884" t="s">
        <v>117</v>
      </c>
      <c r="L71" s="3529" t="s">
        <v>7381</v>
      </c>
      <c r="M71" s="3494">
        <v>1200</v>
      </c>
      <c r="N71" s="2884" t="s">
        <v>7350</v>
      </c>
      <c r="Q71" s="3501"/>
    </row>
    <row r="72" spans="1:35" ht="58.6" customHeight="1">
      <c r="A72" s="3496"/>
      <c r="B72" s="2884" t="str">
        <f t="shared" si="3"/>
        <v>2000003653</v>
      </c>
      <c r="C72" s="2898"/>
      <c r="D72" s="3497"/>
      <c r="E72" s="3498"/>
      <c r="F72" s="2898"/>
      <c r="G72" s="2884"/>
      <c r="H72" s="2884"/>
      <c r="I72" s="3491" t="s">
        <v>7378</v>
      </c>
      <c r="J72" s="109" t="s">
        <v>65</v>
      </c>
      <c r="K72" s="2884" t="s">
        <v>164</v>
      </c>
      <c r="L72" s="3499" t="s">
        <v>7382</v>
      </c>
      <c r="M72" s="3494">
        <v>4000</v>
      </c>
      <c r="N72" s="3522" t="s">
        <v>7373</v>
      </c>
      <c r="Q72" s="3501"/>
    </row>
    <row r="73" spans="1:35" s="3179" customFormat="1" ht="58.6" customHeight="1">
      <c r="A73" s="3573"/>
      <c r="B73" s="3173" t="str">
        <f t="shared" si="3"/>
        <v>666C.T11.2</v>
      </c>
      <c r="C73" s="3175"/>
      <c r="D73" s="3574"/>
      <c r="E73" s="3245"/>
      <c r="F73" s="3175"/>
      <c r="G73" s="3173"/>
      <c r="H73" s="3173"/>
      <c r="I73" s="3173"/>
      <c r="J73" s="3523" t="s">
        <v>65</v>
      </c>
      <c r="K73" s="3173" t="s">
        <v>7383</v>
      </c>
      <c r="L73" s="3176" t="s">
        <v>7384</v>
      </c>
      <c r="M73" s="3177">
        <v>2020</v>
      </c>
      <c r="N73" s="3575" t="s">
        <v>7385</v>
      </c>
      <c r="O73" s="3531"/>
      <c r="P73" s="3532"/>
      <c r="Q73" s="3321"/>
    </row>
    <row r="74" spans="1:35" s="2167" customFormat="1" ht="58.6" customHeight="1">
      <c r="A74" s="3277"/>
      <c r="B74" s="3473" t="str">
        <f t="shared" ref="B74:B105" si="5">TEXT(LEFT(L74,10),"0000000000")</f>
        <v>2200002345</v>
      </c>
      <c r="C74" s="1895" t="s">
        <v>3772</v>
      </c>
      <c r="D74" s="2252">
        <v>8800</v>
      </c>
      <c r="E74" s="1895" t="s">
        <v>7386</v>
      </c>
      <c r="F74" s="1895" t="s">
        <v>16</v>
      </c>
      <c r="G74" s="1216"/>
      <c r="H74" s="2114"/>
      <c r="I74" s="2114" t="s">
        <v>7387</v>
      </c>
      <c r="J74" s="3475" t="s">
        <v>65</v>
      </c>
      <c r="K74" s="2114" t="s">
        <v>213</v>
      </c>
      <c r="L74" s="2173" t="s">
        <v>7388</v>
      </c>
      <c r="M74" s="2500">
        <v>1137</v>
      </c>
      <c r="N74" s="2114" t="s">
        <v>7389</v>
      </c>
      <c r="O74" s="1895"/>
      <c r="P74" s="2501"/>
      <c r="Q74" s="3477" t="s">
        <v>7284</v>
      </c>
    </row>
    <row r="75" spans="1:35" ht="58.6" customHeight="1">
      <c r="B75" s="2884" t="str">
        <f t="shared" si="5"/>
        <v>2200002330</v>
      </c>
      <c r="C75" s="102" t="s">
        <v>3772</v>
      </c>
      <c r="F75" s="102" t="s">
        <v>16</v>
      </c>
      <c r="I75" s="109" t="s">
        <v>7387</v>
      </c>
      <c r="J75" s="109" t="s">
        <v>65</v>
      </c>
      <c r="K75" s="109" t="s">
        <v>213</v>
      </c>
      <c r="L75" s="143" t="s">
        <v>7390</v>
      </c>
      <c r="M75" s="2216">
        <v>2905</v>
      </c>
      <c r="N75" s="109" t="s">
        <v>7391</v>
      </c>
      <c r="Q75" s="3144" t="s">
        <v>7252</v>
      </c>
    </row>
    <row r="76" spans="1:35" ht="58.6" customHeight="1">
      <c r="B76" s="2884" t="str">
        <f t="shared" si="5"/>
        <v>2000003619</v>
      </c>
      <c r="C76" s="102" t="s">
        <v>3772</v>
      </c>
      <c r="F76" s="102" t="s">
        <v>16</v>
      </c>
      <c r="I76" s="109" t="s">
        <v>7392</v>
      </c>
      <c r="J76" s="109" t="s">
        <v>65</v>
      </c>
      <c r="K76" s="109" t="s">
        <v>213</v>
      </c>
      <c r="L76" s="696" t="s">
        <v>7393</v>
      </c>
      <c r="M76" s="2216">
        <v>3300</v>
      </c>
      <c r="N76" s="109" t="s">
        <v>7394</v>
      </c>
      <c r="Q76" s="3144" t="s">
        <v>7272</v>
      </c>
    </row>
    <row r="77" spans="1:35" ht="58.6" customHeight="1">
      <c r="B77" s="2884" t="str">
        <f t="shared" si="5"/>
        <v>2000003621</v>
      </c>
      <c r="C77" s="102" t="s">
        <v>3772</v>
      </c>
      <c r="F77" s="102" t="s">
        <v>16</v>
      </c>
      <c r="I77" s="109" t="s">
        <v>7392</v>
      </c>
      <c r="J77" s="109" t="s">
        <v>65</v>
      </c>
      <c r="K77" s="109" t="s">
        <v>213</v>
      </c>
      <c r="L77" s="696" t="s">
        <v>7395</v>
      </c>
      <c r="M77" s="2216">
        <v>1000</v>
      </c>
      <c r="N77" s="109" t="s">
        <v>7396</v>
      </c>
      <c r="Q77" s="3144" t="s">
        <v>7272</v>
      </c>
    </row>
    <row r="78" spans="1:35" ht="58.6" customHeight="1">
      <c r="A78" s="3277"/>
      <c r="B78" s="3473" t="str">
        <f t="shared" si="5"/>
        <v>2200002349</v>
      </c>
      <c r="C78" s="102" t="s">
        <v>3772</v>
      </c>
      <c r="D78" s="3474"/>
      <c r="E78" s="2114"/>
      <c r="F78" s="1895"/>
      <c r="G78" s="2114"/>
      <c r="H78" s="2114"/>
      <c r="I78" s="2114"/>
      <c r="J78" s="2114" t="s">
        <v>65</v>
      </c>
      <c r="K78" s="2114" t="s">
        <v>213</v>
      </c>
      <c r="L78" s="2618" t="s">
        <v>7397</v>
      </c>
      <c r="M78" s="2500">
        <v>51</v>
      </c>
      <c r="N78" s="2114"/>
      <c r="O78" s="1895"/>
      <c r="P78" s="2618"/>
      <c r="Q78" s="3618" t="s">
        <v>7252</v>
      </c>
      <c r="R78" s="2167"/>
      <c r="S78" s="2167"/>
      <c r="T78" s="2167"/>
      <c r="U78" s="2167"/>
      <c r="V78" s="2167"/>
      <c r="W78" s="2167"/>
      <c r="X78" s="2167"/>
      <c r="Y78" s="2167"/>
      <c r="Z78" s="2167"/>
      <c r="AA78" s="2167"/>
      <c r="AB78" s="2167"/>
      <c r="AC78" s="2167"/>
      <c r="AD78" s="2167"/>
      <c r="AE78" s="2167"/>
      <c r="AF78" s="2167"/>
      <c r="AG78" s="2167"/>
      <c r="AH78" s="2167"/>
      <c r="AI78" s="2167"/>
    </row>
    <row r="79" spans="1:35" ht="58.6" customHeight="1">
      <c r="A79" s="3277"/>
      <c r="B79" s="3473" t="str">
        <f t="shared" si="5"/>
        <v>2200002353</v>
      </c>
      <c r="C79" s="102" t="s">
        <v>3772</v>
      </c>
      <c r="D79" s="3474"/>
      <c r="E79" s="2114"/>
      <c r="F79" s="1895"/>
      <c r="G79" s="2114"/>
      <c r="H79" s="2114"/>
      <c r="I79" s="2114"/>
      <c r="J79" s="2114" t="s">
        <v>65</v>
      </c>
      <c r="K79" s="2114" t="s">
        <v>213</v>
      </c>
      <c r="L79" s="2618" t="s">
        <v>7398</v>
      </c>
      <c r="M79" s="2500">
        <v>407</v>
      </c>
      <c r="N79" s="2114"/>
      <c r="O79" s="1895"/>
      <c r="P79" s="2618"/>
      <c r="Q79" s="3618"/>
      <c r="R79" s="2167"/>
      <c r="S79" s="2167"/>
      <c r="T79" s="2167"/>
      <c r="U79" s="2167"/>
      <c r="V79" s="2167"/>
      <c r="W79" s="2167"/>
      <c r="X79" s="2167"/>
      <c r="Y79" s="2167"/>
      <c r="Z79" s="2167"/>
      <c r="AA79" s="2167"/>
      <c r="AB79" s="2167"/>
      <c r="AC79" s="2167"/>
      <c r="AD79" s="2167"/>
      <c r="AE79" s="2167"/>
      <c r="AF79" s="2167"/>
      <c r="AG79" s="2167"/>
      <c r="AH79" s="2167"/>
      <c r="AI79" s="2167"/>
    </row>
    <row r="80" spans="1:35" s="2167" customFormat="1" ht="58.6" customHeight="1">
      <c r="A80" s="3277"/>
      <c r="B80" s="3473" t="str">
        <f t="shared" si="5"/>
        <v>2200002345</v>
      </c>
      <c r="C80" s="1895" t="s">
        <v>7399</v>
      </c>
      <c r="D80" s="2252"/>
      <c r="E80" s="1895"/>
      <c r="F80" s="1895" t="s">
        <v>16</v>
      </c>
      <c r="G80" s="1216"/>
      <c r="H80" s="2114"/>
      <c r="I80" s="2114" t="s">
        <v>7387</v>
      </c>
      <c r="J80" s="3475" t="s">
        <v>65</v>
      </c>
      <c r="K80" s="2114" t="s">
        <v>213</v>
      </c>
      <c r="L80" s="2173" t="s">
        <v>7388</v>
      </c>
      <c r="M80" s="2500">
        <v>363</v>
      </c>
      <c r="N80" s="2114" t="s">
        <v>7389</v>
      </c>
      <c r="O80" s="1895"/>
      <c r="P80" s="2501"/>
      <c r="Q80" s="3477" t="s">
        <v>7284</v>
      </c>
    </row>
    <row r="81" spans="1:17" s="2167" customFormat="1" ht="58.6" customHeight="1">
      <c r="A81" s="3277"/>
      <c r="B81" s="3473" t="str">
        <f t="shared" si="5"/>
        <v>2200002343</v>
      </c>
      <c r="C81" s="1895"/>
      <c r="D81" s="3474"/>
      <c r="E81" s="2114"/>
      <c r="F81" s="1895"/>
      <c r="G81" s="2114"/>
      <c r="H81" s="2114"/>
      <c r="I81" s="2114" t="s">
        <v>7387</v>
      </c>
      <c r="J81" s="2114" t="s">
        <v>65</v>
      </c>
      <c r="K81" s="2114" t="s">
        <v>213</v>
      </c>
      <c r="L81" s="2618" t="s">
        <v>7400</v>
      </c>
      <c r="M81" s="2500">
        <v>4150</v>
      </c>
      <c r="N81" s="2114" t="s">
        <v>7401</v>
      </c>
      <c r="O81" s="1895"/>
      <c r="P81" s="2618"/>
      <c r="Q81" s="3618" t="s">
        <v>7252</v>
      </c>
    </row>
    <row r="82" spans="1:17" ht="58.6" customHeight="1">
      <c r="B82" s="2884" t="str">
        <f t="shared" si="5"/>
        <v>2200002343</v>
      </c>
      <c r="I82" s="109" t="s">
        <v>7387</v>
      </c>
      <c r="J82" s="109" t="s">
        <v>65</v>
      </c>
      <c r="K82" s="109" t="s">
        <v>213</v>
      </c>
      <c r="L82" s="143" t="s">
        <v>7400</v>
      </c>
      <c r="M82" s="2216">
        <v>3020</v>
      </c>
      <c r="N82" s="109" t="s">
        <v>7401</v>
      </c>
      <c r="P82" s="143"/>
      <c r="Q82" s="1776" t="s">
        <v>7252</v>
      </c>
    </row>
    <row r="83" spans="1:17" ht="58.6" customHeight="1">
      <c r="B83" s="2884" t="str">
        <f t="shared" si="5"/>
        <v>2200002341</v>
      </c>
      <c r="I83" s="109" t="s">
        <v>7387</v>
      </c>
      <c r="J83" s="109" t="s">
        <v>65</v>
      </c>
      <c r="K83" s="2114" t="s">
        <v>213</v>
      </c>
      <c r="L83" s="143" t="s">
        <v>7402</v>
      </c>
      <c r="M83" s="2216">
        <v>1250</v>
      </c>
      <c r="N83" s="109" t="s">
        <v>7391</v>
      </c>
      <c r="Q83" s="3144" t="s">
        <v>7272</v>
      </c>
    </row>
    <row r="84" spans="1:17" ht="58.6" customHeight="1">
      <c r="B84" s="2884" t="str">
        <f t="shared" si="5"/>
        <v>2200002342</v>
      </c>
      <c r="I84" s="109" t="s">
        <v>7387</v>
      </c>
      <c r="J84" s="109" t="s">
        <v>65</v>
      </c>
      <c r="K84" s="109" t="s">
        <v>213</v>
      </c>
      <c r="L84" s="143" t="s">
        <v>7403</v>
      </c>
      <c r="M84" s="2216">
        <v>700</v>
      </c>
      <c r="N84" s="109" t="s">
        <v>7404</v>
      </c>
      <c r="Q84" s="3144" t="s">
        <v>7252</v>
      </c>
    </row>
    <row r="85" spans="1:17" ht="58.6" customHeight="1">
      <c r="A85" s="3496"/>
      <c r="B85" s="2884" t="str">
        <f t="shared" si="5"/>
        <v>2000003563</v>
      </c>
      <c r="C85" s="2898"/>
      <c r="D85" s="3497"/>
      <c r="E85" s="3498"/>
      <c r="F85" s="2898"/>
      <c r="G85" s="2884"/>
      <c r="H85" s="2884"/>
      <c r="I85" s="109" t="s">
        <v>7344</v>
      </c>
      <c r="J85" s="109" t="s">
        <v>65</v>
      </c>
      <c r="K85" s="109" t="s">
        <v>66</v>
      </c>
      <c r="L85" s="143" t="s">
        <v>7405</v>
      </c>
      <c r="M85" s="2216">
        <v>300</v>
      </c>
      <c r="N85" s="2884" t="s">
        <v>7329</v>
      </c>
      <c r="Q85" s="3501" t="s">
        <v>7252</v>
      </c>
    </row>
    <row r="86" spans="1:17" ht="58.6" customHeight="1">
      <c r="B86" s="2884" t="str">
        <f t="shared" si="5"/>
        <v>2000003535</v>
      </c>
      <c r="D86" s="104"/>
      <c r="I86" s="109" t="s">
        <v>7249</v>
      </c>
      <c r="J86" s="109" t="s">
        <v>65</v>
      </c>
      <c r="K86" s="109" t="s">
        <v>66</v>
      </c>
      <c r="L86" s="3476" t="s">
        <v>7406</v>
      </c>
      <c r="M86" s="2827">
        <v>65</v>
      </c>
      <c r="N86" s="3473" t="s">
        <v>7407</v>
      </c>
      <c r="P86" s="143"/>
      <c r="Q86" s="1776" t="s">
        <v>7252</v>
      </c>
    </row>
    <row r="87" spans="1:17" ht="58.6" customHeight="1">
      <c r="A87" s="3496"/>
      <c r="B87" s="2884" t="str">
        <f t="shared" si="5"/>
        <v>2000003643</v>
      </c>
      <c r="C87" s="2898"/>
      <c r="D87" s="3497"/>
      <c r="E87" s="3498"/>
      <c r="F87" s="2898"/>
      <c r="G87" s="2884"/>
      <c r="H87" s="2884"/>
      <c r="I87" s="109" t="s">
        <v>7344</v>
      </c>
      <c r="J87" s="109" t="s">
        <v>65</v>
      </c>
      <c r="K87" s="109" t="s">
        <v>66</v>
      </c>
      <c r="L87" s="143" t="s">
        <v>7408</v>
      </c>
      <c r="M87" s="2216">
        <v>1700</v>
      </c>
      <c r="N87" s="2884" t="s">
        <v>7373</v>
      </c>
      <c r="Q87" s="3501" t="s">
        <v>7252</v>
      </c>
    </row>
    <row r="88" spans="1:17" ht="58.6" customHeight="1">
      <c r="A88" s="3496"/>
      <c r="B88" s="2884" t="str">
        <f t="shared" si="5"/>
        <v>2000003644</v>
      </c>
      <c r="C88" s="2898"/>
      <c r="D88" s="3497"/>
      <c r="E88" s="3498"/>
      <c r="F88" s="2898"/>
      <c r="G88" s="2884"/>
      <c r="H88" s="2884"/>
      <c r="I88" s="109" t="s">
        <v>7344</v>
      </c>
      <c r="J88" s="109" t="s">
        <v>65</v>
      </c>
      <c r="K88" s="109" t="s">
        <v>66</v>
      </c>
      <c r="L88" s="143" t="s">
        <v>7409</v>
      </c>
      <c r="M88" s="2216">
        <v>100</v>
      </c>
      <c r="N88" s="3473" t="s">
        <v>7375</v>
      </c>
      <c r="Q88" s="3501" t="s">
        <v>7252</v>
      </c>
    </row>
    <row r="89" spans="1:17" ht="58.6" customHeight="1">
      <c r="A89" s="3496"/>
      <c r="B89" s="2884" t="str">
        <f t="shared" si="5"/>
        <v>2000003645</v>
      </c>
      <c r="C89" s="2898"/>
      <c r="D89" s="3497"/>
      <c r="E89" s="3498"/>
      <c r="F89" s="2898"/>
      <c r="G89" s="2884"/>
      <c r="H89" s="2884"/>
      <c r="I89" s="109" t="s">
        <v>7344</v>
      </c>
      <c r="J89" s="109" t="s">
        <v>65</v>
      </c>
      <c r="K89" s="109" t="s">
        <v>66</v>
      </c>
      <c r="L89" s="143" t="s">
        <v>7410</v>
      </c>
      <c r="M89" s="2216">
        <v>3910</v>
      </c>
      <c r="N89" s="2884" t="s">
        <v>7329</v>
      </c>
      <c r="Q89" s="3501" t="s">
        <v>7252</v>
      </c>
    </row>
    <row r="90" spans="1:17" ht="58.6" customHeight="1">
      <c r="A90" s="3496"/>
      <c r="B90" s="2884" t="str">
        <f t="shared" si="5"/>
        <v>633B.T11.2</v>
      </c>
      <c r="C90" s="2898"/>
      <c r="D90" s="3497"/>
      <c r="E90" s="3498"/>
      <c r="F90" s="2898"/>
      <c r="G90" s="2884"/>
      <c r="H90" s="2884"/>
      <c r="I90" s="109" t="s">
        <v>7344</v>
      </c>
      <c r="J90" s="2884"/>
      <c r="K90" s="2884" t="s">
        <v>66</v>
      </c>
      <c r="L90" s="3499" t="s">
        <v>7411</v>
      </c>
      <c r="M90" s="3494">
        <v>300</v>
      </c>
      <c r="N90" s="109" t="s">
        <v>7412</v>
      </c>
      <c r="Q90" s="3501" t="s">
        <v>7413</v>
      </c>
    </row>
    <row r="91" spans="1:17" ht="58.6" customHeight="1">
      <c r="B91" s="2884" t="str">
        <f t="shared" si="5"/>
        <v>2200002292</v>
      </c>
      <c r="C91" s="2884"/>
      <c r="I91" s="3409" t="s">
        <v>7249</v>
      </c>
      <c r="J91" s="2898" t="s">
        <v>65</v>
      </c>
      <c r="K91" s="109" t="s">
        <v>213</v>
      </c>
      <c r="L91" s="696" t="s">
        <v>7414</v>
      </c>
      <c r="M91" s="2216">
        <v>6500</v>
      </c>
      <c r="N91" s="2884" t="s">
        <v>7329</v>
      </c>
    </row>
    <row r="92" spans="1:17" ht="58.6" customHeight="1">
      <c r="A92" s="3496"/>
      <c r="B92" s="2884" t="str">
        <f t="shared" si="5"/>
        <v>2000003640</v>
      </c>
      <c r="C92" s="2898"/>
      <c r="D92" s="3497"/>
      <c r="E92" s="3498"/>
      <c r="F92" s="2898"/>
      <c r="G92" s="2884"/>
      <c r="H92" s="2884"/>
      <c r="I92" s="2884" t="s">
        <v>7415</v>
      </c>
      <c r="J92" s="109" t="s">
        <v>65</v>
      </c>
      <c r="K92" s="2884" t="s">
        <v>213</v>
      </c>
      <c r="L92" s="3527" t="s">
        <v>7416</v>
      </c>
      <c r="M92" s="3494">
        <v>250</v>
      </c>
      <c r="N92" s="2884" t="s">
        <v>7329</v>
      </c>
      <c r="Q92" s="3501" t="s">
        <v>7252</v>
      </c>
    </row>
    <row r="93" spans="1:17" ht="58.6" customHeight="1">
      <c r="A93" s="3496"/>
      <c r="B93" s="2884" t="str">
        <f t="shared" si="5"/>
        <v>2000003641</v>
      </c>
      <c r="C93" s="2898"/>
      <c r="D93" s="3497"/>
      <c r="E93" s="3498"/>
      <c r="F93" s="2898"/>
      <c r="G93" s="2884"/>
      <c r="H93" s="2884"/>
      <c r="I93" s="2884" t="s">
        <v>7417</v>
      </c>
      <c r="J93" s="109" t="s">
        <v>65</v>
      </c>
      <c r="K93" s="2884" t="s">
        <v>213</v>
      </c>
      <c r="L93" s="3527" t="s">
        <v>7418</v>
      </c>
      <c r="M93" s="3494">
        <v>1500</v>
      </c>
      <c r="N93" s="2884" t="s">
        <v>7419</v>
      </c>
      <c r="Q93" s="3501" t="s">
        <v>7252</v>
      </c>
    </row>
    <row r="94" spans="1:17" ht="58.6" customHeight="1">
      <c r="A94" s="3496"/>
      <c r="B94" s="2884" t="str">
        <f t="shared" si="5"/>
        <v>2000003646</v>
      </c>
      <c r="C94" s="2898"/>
      <c r="D94" s="3497"/>
      <c r="E94" s="3498"/>
      <c r="F94" s="2898"/>
      <c r="G94" s="2884"/>
      <c r="H94" s="2884"/>
      <c r="I94" s="3491" t="s">
        <v>7327</v>
      </c>
      <c r="J94" s="109" t="s">
        <v>65</v>
      </c>
      <c r="K94" s="2884" t="s">
        <v>213</v>
      </c>
      <c r="L94" s="3525" t="s">
        <v>7420</v>
      </c>
      <c r="M94" s="3494">
        <v>7280</v>
      </c>
      <c r="N94" s="2884" t="s">
        <v>7419</v>
      </c>
      <c r="Q94" s="3501"/>
    </row>
    <row r="95" spans="1:17" ht="58.6" customHeight="1">
      <c r="A95" s="3496"/>
      <c r="B95" s="2884" t="str">
        <f t="shared" si="5"/>
        <v>666A.T11.2</v>
      </c>
      <c r="C95" s="2898"/>
      <c r="D95" s="3497"/>
      <c r="E95" s="3498"/>
      <c r="F95" s="2898"/>
      <c r="G95" s="2884"/>
      <c r="H95" s="2884"/>
      <c r="I95" s="2884"/>
      <c r="J95" s="109" t="s">
        <v>65</v>
      </c>
      <c r="K95" s="2884" t="s">
        <v>213</v>
      </c>
      <c r="L95" s="3499" t="s">
        <v>7421</v>
      </c>
      <c r="M95" s="3494">
        <v>2000</v>
      </c>
      <c r="N95" s="2884" t="s">
        <v>7422</v>
      </c>
      <c r="Q95" s="3501"/>
    </row>
    <row r="96" spans="1:17" ht="58.6" customHeight="1">
      <c r="B96" s="2884" t="str">
        <f t="shared" si="5"/>
        <v>2200002338</v>
      </c>
      <c r="D96" s="104"/>
      <c r="J96" s="109" t="s">
        <v>65</v>
      </c>
      <c r="K96" s="109" t="s">
        <v>213</v>
      </c>
      <c r="L96" s="696" t="s">
        <v>7423</v>
      </c>
      <c r="M96" s="2644">
        <v>2500</v>
      </c>
      <c r="N96" s="109" t="s">
        <v>7424</v>
      </c>
    </row>
    <row r="97" spans="1:17" ht="58.6" customHeight="1">
      <c r="B97" s="2884" t="str">
        <f t="shared" si="5"/>
        <v>2200002339</v>
      </c>
      <c r="D97" s="104"/>
      <c r="J97" s="109" t="s">
        <v>65</v>
      </c>
      <c r="K97" s="109" t="s">
        <v>213</v>
      </c>
      <c r="L97" s="696" t="s">
        <v>7425</v>
      </c>
      <c r="M97" s="2644">
        <v>1000</v>
      </c>
      <c r="N97" s="2884" t="s">
        <v>7426</v>
      </c>
    </row>
    <row r="98" spans="1:17" ht="58.6" customHeight="1">
      <c r="B98" s="2884" t="str">
        <f t="shared" si="5"/>
        <v>2200002340</v>
      </c>
      <c r="D98" s="104"/>
      <c r="J98" s="109" t="s">
        <v>65</v>
      </c>
      <c r="K98" s="109" t="s">
        <v>213</v>
      </c>
      <c r="L98" s="696" t="s">
        <v>7427</v>
      </c>
      <c r="M98" s="2644">
        <v>3500</v>
      </c>
      <c r="N98" s="2884" t="s">
        <v>7428</v>
      </c>
    </row>
    <row r="99" spans="1:17" ht="58.6" customHeight="1">
      <c r="A99" s="3496"/>
      <c r="B99" s="2884" t="str">
        <f t="shared" si="5"/>
        <v>666A.T11.2</v>
      </c>
      <c r="C99" s="2898"/>
      <c r="D99" s="3497"/>
      <c r="E99" s="3498"/>
      <c r="F99" s="2898"/>
      <c r="G99" s="2884"/>
      <c r="H99" s="2884"/>
      <c r="I99" s="2884"/>
      <c r="J99" s="109" t="s">
        <v>65</v>
      </c>
      <c r="K99" s="2884" t="s">
        <v>213</v>
      </c>
      <c r="L99" s="3499" t="s">
        <v>7429</v>
      </c>
      <c r="M99" s="3494">
        <v>3000</v>
      </c>
      <c r="N99" s="3510" t="s">
        <v>7321</v>
      </c>
      <c r="Q99" s="3501"/>
    </row>
    <row r="100" spans="1:17" ht="58.6" customHeight="1">
      <c r="A100" s="3496"/>
      <c r="B100" s="2884" t="str">
        <f t="shared" si="5"/>
        <v>666B.T11.2</v>
      </c>
      <c r="C100" s="2898"/>
      <c r="D100" s="3497"/>
      <c r="E100" s="3498"/>
      <c r="F100" s="2898"/>
      <c r="G100" s="2884"/>
      <c r="H100" s="2884"/>
      <c r="I100" s="2884"/>
      <c r="J100" s="109" t="s">
        <v>65</v>
      </c>
      <c r="K100" s="2884" t="s">
        <v>213</v>
      </c>
      <c r="L100" s="3499" t="s">
        <v>7430</v>
      </c>
      <c r="M100" s="3494">
        <v>7000</v>
      </c>
      <c r="N100" s="3510" t="s">
        <v>7321</v>
      </c>
      <c r="Q100" s="3501"/>
    </row>
    <row r="101" spans="1:17" ht="58.6" customHeight="1">
      <c r="A101" s="3496"/>
      <c r="B101" s="2884" t="str">
        <f t="shared" si="5"/>
        <v>2000003657</v>
      </c>
      <c r="I101" s="3344" t="s">
        <v>7268</v>
      </c>
      <c r="J101" s="109" t="s">
        <v>65</v>
      </c>
      <c r="K101" s="109" t="s">
        <v>213</v>
      </c>
      <c r="L101" s="143" t="s">
        <v>7431</v>
      </c>
      <c r="M101" s="2216">
        <v>1000</v>
      </c>
      <c r="N101" s="102" t="s">
        <v>6549</v>
      </c>
      <c r="Q101" s="3501" t="s">
        <v>7432</v>
      </c>
    </row>
    <row r="102" spans="1:17" ht="58.6" customHeight="1">
      <c r="A102" s="3496"/>
      <c r="B102" s="2884" t="str">
        <f t="shared" si="5"/>
        <v>2000003658</v>
      </c>
      <c r="C102" s="2898"/>
      <c r="D102" s="3497"/>
      <c r="E102" s="3498"/>
      <c r="F102" s="2898"/>
      <c r="G102" s="2884"/>
      <c r="H102" s="2884"/>
      <c r="I102" s="2884" t="s">
        <v>7433</v>
      </c>
      <c r="J102" s="109" t="s">
        <v>65</v>
      </c>
      <c r="K102" s="109" t="s">
        <v>213</v>
      </c>
      <c r="L102" s="3499" t="s">
        <v>7434</v>
      </c>
      <c r="M102" s="3494">
        <v>200</v>
      </c>
      <c r="N102" s="102" t="s">
        <v>6549</v>
      </c>
      <c r="Q102" s="3501" t="s">
        <v>7432</v>
      </c>
    </row>
    <row r="103" spans="1:17" ht="58.6" customHeight="1">
      <c r="B103" s="2884" t="str">
        <f t="shared" si="5"/>
        <v>622.T11.20</v>
      </c>
      <c r="I103" s="109" t="s">
        <v>7435</v>
      </c>
      <c r="J103" s="109" t="s">
        <v>65</v>
      </c>
      <c r="K103" s="2884" t="s">
        <v>213</v>
      </c>
      <c r="L103" s="143" t="s">
        <v>7436</v>
      </c>
      <c r="M103" s="2216">
        <v>7990</v>
      </c>
      <c r="N103" s="102" t="s">
        <v>7342</v>
      </c>
      <c r="Q103" s="3144" t="s">
        <v>7370</v>
      </c>
    </row>
    <row r="104" spans="1:17" ht="58.6" customHeight="1">
      <c r="B104" s="2884" t="str">
        <f t="shared" si="5"/>
        <v>622.T11.20</v>
      </c>
      <c r="I104" s="109" t="s">
        <v>7435</v>
      </c>
      <c r="J104" s="109" t="s">
        <v>65</v>
      </c>
      <c r="K104" s="2884" t="s">
        <v>213</v>
      </c>
      <c r="L104" s="143" t="s">
        <v>7437</v>
      </c>
      <c r="M104" s="2216">
        <v>2010</v>
      </c>
      <c r="N104" s="109" t="s">
        <v>7412</v>
      </c>
      <c r="Q104" s="3144" t="s">
        <v>7413</v>
      </c>
    </row>
    <row r="105" spans="1:17" ht="58.6" customHeight="1">
      <c r="A105" s="3496"/>
      <c r="B105" s="2884" t="str">
        <f t="shared" si="5"/>
        <v>628D.T11.2</v>
      </c>
      <c r="C105" s="2898"/>
      <c r="D105" s="3497"/>
      <c r="E105" s="3498"/>
      <c r="F105" s="2898"/>
      <c r="G105" s="2884"/>
      <c r="H105" s="2884"/>
      <c r="I105" s="3498">
        <v>46003</v>
      </c>
      <c r="J105" s="109" t="s">
        <v>65</v>
      </c>
      <c r="K105" s="2884" t="s">
        <v>213</v>
      </c>
      <c r="L105" s="3499" t="s">
        <v>7438</v>
      </c>
      <c r="M105" s="3494">
        <v>7570</v>
      </c>
      <c r="N105" s="3500" t="s">
        <v>7439</v>
      </c>
      <c r="Q105" s="3501"/>
    </row>
    <row r="106" spans="1:17" ht="58.6" customHeight="1">
      <c r="A106" s="3496"/>
      <c r="B106" s="2884" t="str">
        <f t="shared" si="3"/>
        <v>2000003654</v>
      </c>
      <c r="C106" s="2898"/>
      <c r="D106" s="3497"/>
      <c r="E106" s="3498"/>
      <c r="F106" s="2898"/>
      <c r="G106" s="2884"/>
      <c r="H106" s="2884"/>
      <c r="I106" s="3491" t="s">
        <v>7440</v>
      </c>
      <c r="J106" s="109" t="s">
        <v>65</v>
      </c>
      <c r="K106" s="2884" t="s">
        <v>106</v>
      </c>
      <c r="L106" s="3529" t="s">
        <v>7441</v>
      </c>
      <c r="M106" s="3494">
        <v>2000</v>
      </c>
      <c r="N106" s="2884" t="s">
        <v>7419</v>
      </c>
      <c r="Q106" s="3501"/>
    </row>
    <row r="107" spans="1:17" ht="58.6" customHeight="1">
      <c r="A107" s="3496"/>
      <c r="B107" s="2884" t="str">
        <f t="shared" si="3"/>
        <v>2000003655</v>
      </c>
      <c r="C107" s="2898"/>
      <c r="D107" s="3497"/>
      <c r="E107" s="3498"/>
      <c r="F107" s="2898"/>
      <c r="G107" s="2884"/>
      <c r="H107" s="2884"/>
      <c r="I107" s="3491" t="s">
        <v>7440</v>
      </c>
      <c r="J107" s="109" t="s">
        <v>65</v>
      </c>
      <c r="K107" s="2884" t="s">
        <v>106</v>
      </c>
      <c r="L107" s="3529" t="s">
        <v>7442</v>
      </c>
      <c r="M107" s="3494">
        <v>1500</v>
      </c>
      <c r="N107" s="2884" t="s">
        <v>7419</v>
      </c>
      <c r="Q107" s="3501"/>
    </row>
    <row r="108" spans="1:17" ht="58.6" customHeight="1">
      <c r="A108" s="3496"/>
      <c r="B108" s="2884" t="str">
        <f t="shared" si="3"/>
        <v>2000003656</v>
      </c>
      <c r="C108" s="2898"/>
      <c r="D108" s="3497"/>
      <c r="E108" s="3498"/>
      <c r="F108" s="2898"/>
      <c r="G108" s="2884"/>
      <c r="H108" s="2884"/>
      <c r="I108" s="3491" t="s">
        <v>7440</v>
      </c>
      <c r="J108" s="109" t="s">
        <v>65</v>
      </c>
      <c r="K108" s="2884" t="s">
        <v>106</v>
      </c>
      <c r="L108" s="3529" t="s">
        <v>7443</v>
      </c>
      <c r="M108" s="3494">
        <v>1500</v>
      </c>
      <c r="N108" s="2884" t="s">
        <v>7419</v>
      </c>
      <c r="Q108" s="3501"/>
    </row>
    <row r="109" spans="1:17" ht="58.6" customHeight="1">
      <c r="B109" s="2884" t="str">
        <f>TEXT(LEFT(L109,10),"0000000000")</f>
        <v>653.T11.20</v>
      </c>
      <c r="J109" s="109" t="s">
        <v>65</v>
      </c>
      <c r="K109" s="109" t="s">
        <v>240</v>
      </c>
      <c r="L109" s="143" t="s">
        <v>7444</v>
      </c>
      <c r="M109" s="2216">
        <v>3000</v>
      </c>
      <c r="N109" s="109" t="s">
        <v>7412</v>
      </c>
    </row>
    <row r="110" spans="1:17" ht="58.6" customHeight="1">
      <c r="A110" s="3496"/>
      <c r="B110" s="2884" t="str">
        <f t="shared" ref="B110:B166" si="6">TEXT(LEFT(L110,10),"0000000000")</f>
        <v>613B.T10.2</v>
      </c>
      <c r="C110" s="2898"/>
      <c r="D110" s="3497"/>
      <c r="E110" s="3498"/>
      <c r="F110" s="2898"/>
      <c r="G110" s="2884"/>
      <c r="H110" s="2884"/>
      <c r="I110" s="2884"/>
      <c r="J110" s="2884"/>
      <c r="K110" s="2884" t="s">
        <v>164</v>
      </c>
      <c r="L110" s="3499" t="s">
        <v>7445</v>
      </c>
      <c r="M110" s="3494">
        <v>10000</v>
      </c>
      <c r="N110" s="102" t="s">
        <v>7342</v>
      </c>
      <c r="Q110" s="3501" t="s">
        <v>7413</v>
      </c>
    </row>
    <row r="111" spans="1:17" ht="58.6" customHeight="1">
      <c r="A111" s="3496"/>
      <c r="B111" s="2884" t="str">
        <f t="shared" si="6"/>
        <v>662B.T11.2</v>
      </c>
      <c r="C111" s="2898"/>
      <c r="D111" s="3497"/>
      <c r="E111" s="3498"/>
      <c r="F111" s="2898"/>
      <c r="G111" s="2884"/>
      <c r="H111" s="2884"/>
      <c r="I111" s="2884"/>
      <c r="J111" s="2884"/>
      <c r="K111" s="2884" t="s">
        <v>164</v>
      </c>
      <c r="L111" s="3499" t="s">
        <v>7446</v>
      </c>
      <c r="M111" s="3494">
        <v>4000</v>
      </c>
      <c r="N111" s="102" t="s">
        <v>7342</v>
      </c>
      <c r="Q111" s="3501" t="s">
        <v>7413</v>
      </c>
    </row>
    <row r="112" spans="1:17" ht="58.6" customHeight="1">
      <c r="A112" s="3496"/>
      <c r="B112" s="2884" t="str">
        <f t="shared" si="6"/>
        <v>613A1.T10.</v>
      </c>
      <c r="C112" s="2898"/>
      <c r="D112" s="3497"/>
      <c r="E112" s="3498"/>
      <c r="F112" s="2898"/>
      <c r="G112" s="2884"/>
      <c r="H112" s="2884"/>
      <c r="I112" s="2884"/>
      <c r="J112" s="2884"/>
      <c r="K112" s="2884" t="s">
        <v>164</v>
      </c>
      <c r="L112" s="3499" t="s">
        <v>7447</v>
      </c>
      <c r="M112" s="3494">
        <v>380</v>
      </c>
      <c r="N112" s="109" t="s">
        <v>7412</v>
      </c>
      <c r="Q112" s="3501" t="s">
        <v>7413</v>
      </c>
    </row>
    <row r="113" spans="1:17" ht="58.6" customHeight="1">
      <c r="A113" s="3496"/>
      <c r="B113" s="2884" t="str">
        <f t="shared" si="6"/>
        <v>662B.T11.2</v>
      </c>
      <c r="C113" s="2898"/>
      <c r="D113" s="3497"/>
      <c r="E113" s="3498"/>
      <c r="F113" s="2898"/>
      <c r="G113" s="2884"/>
      <c r="H113" s="2884"/>
      <c r="I113" s="2884"/>
      <c r="J113" s="2884"/>
      <c r="K113" s="2884" t="s">
        <v>164</v>
      </c>
      <c r="L113" s="3499" t="s">
        <v>7448</v>
      </c>
      <c r="M113" s="3494">
        <v>6000</v>
      </c>
      <c r="N113" s="109" t="s">
        <v>7412</v>
      </c>
      <c r="Q113" s="3501" t="s">
        <v>7413</v>
      </c>
    </row>
    <row r="114" spans="1:17" ht="58.6" customHeight="1">
      <c r="A114" s="3496"/>
      <c r="B114" s="2884" t="str">
        <f t="shared" si="6"/>
        <v>635B.T11.2</v>
      </c>
      <c r="C114" s="2898"/>
      <c r="D114" s="3497"/>
      <c r="E114" s="3498"/>
      <c r="F114" s="2898"/>
      <c r="G114" s="2884"/>
      <c r="H114" s="2884"/>
      <c r="I114" s="109" t="s">
        <v>7344</v>
      </c>
      <c r="J114" s="2884"/>
      <c r="K114" s="2884" t="s">
        <v>164</v>
      </c>
      <c r="L114" s="3499" t="s">
        <v>7449</v>
      </c>
      <c r="M114" s="3494">
        <v>5190</v>
      </c>
      <c r="N114" s="109" t="s">
        <v>7412</v>
      </c>
      <c r="Q114" s="3501" t="s">
        <v>7413</v>
      </c>
    </row>
    <row r="115" spans="1:17" ht="58.6" customHeight="1">
      <c r="A115" s="3496"/>
      <c r="B115" s="2884" t="str">
        <f t="shared" si="6"/>
        <v>635C.T11.2</v>
      </c>
      <c r="C115" s="2898"/>
      <c r="D115" s="3497"/>
      <c r="E115" s="3498"/>
      <c r="F115" s="2898"/>
      <c r="G115" s="2884"/>
      <c r="H115" s="2884"/>
      <c r="I115" s="2884" t="s">
        <v>7450</v>
      </c>
      <c r="J115" s="2884"/>
      <c r="K115" s="2884" t="s">
        <v>164</v>
      </c>
      <c r="L115" s="3499" t="s">
        <v>7451</v>
      </c>
      <c r="M115" s="3494">
        <v>6540</v>
      </c>
      <c r="N115" s="109" t="s">
        <v>7412</v>
      </c>
      <c r="Q115" s="3501" t="s">
        <v>7413</v>
      </c>
    </row>
    <row r="116" spans="1:17" ht="58.6" customHeight="1">
      <c r="A116" s="3496"/>
      <c r="B116" s="2884" t="str">
        <f t="shared" si="6"/>
        <v>635D.T11.2</v>
      </c>
      <c r="C116" s="2898"/>
      <c r="D116" s="3497"/>
      <c r="E116" s="3498"/>
      <c r="F116" s="2898"/>
      <c r="G116" s="2884"/>
      <c r="H116" s="2884"/>
      <c r="I116" s="2884" t="s">
        <v>7450</v>
      </c>
      <c r="J116" s="2884"/>
      <c r="K116" s="2884" t="s">
        <v>164</v>
      </c>
      <c r="L116" s="3499" t="s">
        <v>7452</v>
      </c>
      <c r="M116" s="3494">
        <v>800</v>
      </c>
      <c r="N116" s="109" t="s">
        <v>7412</v>
      </c>
      <c r="Q116" s="3501" t="s">
        <v>7413</v>
      </c>
    </row>
    <row r="117" spans="1:17" ht="58.6" customHeight="1">
      <c r="B117" s="2884" t="str">
        <f>TEXT(LEFT(L117,10),"0000000000")</f>
        <v>650.T11.20</v>
      </c>
      <c r="I117" s="2884" t="s">
        <v>7331</v>
      </c>
      <c r="J117" s="109" t="s">
        <v>65</v>
      </c>
      <c r="K117" s="109" t="s">
        <v>7453</v>
      </c>
      <c r="L117" s="143" t="s">
        <v>7454</v>
      </c>
      <c r="M117" s="2216">
        <v>3400</v>
      </c>
      <c r="N117" s="102" t="s">
        <v>7342</v>
      </c>
      <c r="Q117" s="3144" t="s">
        <v>7370</v>
      </c>
    </row>
    <row r="118" spans="1:17" ht="58.6" customHeight="1">
      <c r="B118" s="2884" t="str">
        <f>TEXT(LEFT(L118,10),"0000000000")</f>
        <v>650.T11.20</v>
      </c>
      <c r="I118" s="2884" t="s">
        <v>7331</v>
      </c>
      <c r="J118" s="109" t="s">
        <v>65</v>
      </c>
      <c r="K118" s="109" t="s">
        <v>7453</v>
      </c>
      <c r="L118" s="143" t="s">
        <v>7455</v>
      </c>
      <c r="M118" s="2216">
        <v>600</v>
      </c>
      <c r="N118" s="109" t="s">
        <v>7412</v>
      </c>
      <c r="Q118" s="3144" t="s">
        <v>7413</v>
      </c>
    </row>
    <row r="119" spans="1:17" ht="58.6" customHeight="1">
      <c r="B119" s="2884" t="str">
        <f>TEXT(LEFT(L119,10),"0000000000")</f>
        <v>649.T11.20</v>
      </c>
      <c r="I119" s="2884" t="s">
        <v>7331</v>
      </c>
      <c r="J119" s="109" t="s">
        <v>65</v>
      </c>
      <c r="K119" s="109" t="s">
        <v>7453</v>
      </c>
      <c r="L119" s="143" t="s">
        <v>7456</v>
      </c>
      <c r="M119" s="2216">
        <v>500</v>
      </c>
      <c r="N119" s="109" t="s">
        <v>7412</v>
      </c>
      <c r="Q119" s="3144" t="s">
        <v>7413</v>
      </c>
    </row>
    <row r="120" spans="1:17" ht="58.6" customHeight="1">
      <c r="B120" s="2884" t="str">
        <f>TEXT(LEFT(L120,10),"0000000000")</f>
        <v>649.T11.20</v>
      </c>
      <c r="I120" s="2884" t="s">
        <v>7331</v>
      </c>
      <c r="J120" s="109" t="s">
        <v>65</v>
      </c>
      <c r="K120" s="109" t="s">
        <v>7453</v>
      </c>
      <c r="L120" s="696" t="s">
        <v>7457</v>
      </c>
      <c r="M120" s="2216">
        <v>7000</v>
      </c>
      <c r="N120" s="102" t="s">
        <v>7342</v>
      </c>
      <c r="Q120" s="3144" t="s">
        <v>7370</v>
      </c>
    </row>
    <row r="121" spans="1:17" ht="58.6" customHeight="1">
      <c r="A121" s="3496"/>
      <c r="B121" s="2884" t="str">
        <f t="shared" si="6"/>
        <v>530C.T08.2</v>
      </c>
      <c r="C121" s="2898"/>
      <c r="D121" s="3497"/>
      <c r="E121" s="3498"/>
      <c r="F121" s="2898"/>
      <c r="G121" s="2884"/>
      <c r="H121" s="2884"/>
      <c r="I121" s="3528" t="s">
        <v>7378</v>
      </c>
      <c r="J121" s="109" t="s">
        <v>65</v>
      </c>
      <c r="K121" s="2884" t="s">
        <v>164</v>
      </c>
      <c r="L121" s="3499" t="s">
        <v>7458</v>
      </c>
      <c r="M121" s="3494">
        <v>5000</v>
      </c>
      <c r="N121" s="3500" t="s">
        <v>7439</v>
      </c>
      <c r="Q121" s="3501"/>
    </row>
    <row r="122" spans="1:17" ht="58.6" customHeight="1">
      <c r="A122" s="3496"/>
      <c r="B122" s="2884" t="str">
        <f t="shared" si="6"/>
        <v>616E.T08.2</v>
      </c>
      <c r="C122" s="2898"/>
      <c r="D122" s="3497"/>
      <c r="E122" s="3498"/>
      <c r="F122" s="2898"/>
      <c r="G122" s="2884"/>
      <c r="H122" s="2884"/>
      <c r="I122" s="3491" t="s">
        <v>7459</v>
      </c>
      <c r="J122" s="109" t="s">
        <v>65</v>
      </c>
      <c r="K122" s="2884" t="s">
        <v>117</v>
      </c>
      <c r="L122" s="3499" t="s">
        <v>7460</v>
      </c>
      <c r="M122" s="3494">
        <v>1980</v>
      </c>
      <c r="N122" s="3500" t="s">
        <v>7439</v>
      </c>
      <c r="Q122" s="3501"/>
    </row>
    <row r="123" spans="1:17" ht="58.6" customHeight="1">
      <c r="A123" s="3496"/>
      <c r="B123" s="2884" t="str">
        <f t="shared" si="6"/>
        <v>616F.T08.2</v>
      </c>
      <c r="C123" s="2898"/>
      <c r="D123" s="3497"/>
      <c r="E123" s="3498"/>
      <c r="F123" s="2898"/>
      <c r="G123" s="2884"/>
      <c r="H123" s="2884"/>
      <c r="I123" s="3491" t="s">
        <v>7459</v>
      </c>
      <c r="J123" s="109" t="s">
        <v>65</v>
      </c>
      <c r="K123" s="2884" t="s">
        <v>117</v>
      </c>
      <c r="L123" s="3499" t="s">
        <v>7461</v>
      </c>
      <c r="M123" s="3494">
        <v>1500</v>
      </c>
      <c r="N123" s="3500" t="s">
        <v>7439</v>
      </c>
      <c r="Q123" s="3501"/>
    </row>
    <row r="124" spans="1:17" ht="58.6" customHeight="1">
      <c r="A124" s="3496"/>
      <c r="B124" s="2884" t="str">
        <f t="shared" si="6"/>
        <v>576C.T09.2</v>
      </c>
      <c r="C124" s="2898"/>
      <c r="D124" s="3497"/>
      <c r="E124" s="3498"/>
      <c r="F124" s="2898"/>
      <c r="G124" s="2884"/>
      <c r="H124" s="2884"/>
      <c r="I124" s="3636" t="s">
        <v>7378</v>
      </c>
      <c r="J124" s="109" t="s">
        <v>65</v>
      </c>
      <c r="K124" s="2884" t="s">
        <v>164</v>
      </c>
      <c r="L124" s="3499" t="s">
        <v>7462</v>
      </c>
      <c r="M124" s="3494">
        <v>400</v>
      </c>
      <c r="N124" s="3500" t="s">
        <v>7463</v>
      </c>
      <c r="Q124" s="3501"/>
    </row>
    <row r="125" spans="1:17" s="3635" customFormat="1" ht="58.6" customHeight="1">
      <c r="A125" s="3623"/>
      <c r="B125" s="3624" t="str">
        <f t="shared" si="6"/>
        <v>628A1.T11.</v>
      </c>
      <c r="C125" s="3625" t="s">
        <v>2509</v>
      </c>
      <c r="D125" s="3626"/>
      <c r="E125" s="3627"/>
      <c r="F125" s="3625"/>
      <c r="G125" s="3624"/>
      <c r="H125" s="3624"/>
      <c r="I125" s="3637" t="s">
        <v>7464</v>
      </c>
      <c r="J125" s="3628" t="s">
        <v>65</v>
      </c>
      <c r="K125" s="3624" t="s">
        <v>275</v>
      </c>
      <c r="L125" s="3629" t="s">
        <v>7465</v>
      </c>
      <c r="M125" s="3630">
        <v>1500</v>
      </c>
      <c r="N125" s="3631" t="s">
        <v>7439</v>
      </c>
      <c r="O125" s="3632"/>
      <c r="P125" s="3633"/>
      <c r="Q125" s="3634" t="s">
        <v>7466</v>
      </c>
    </row>
    <row r="126" spans="1:17" s="3635" customFormat="1" ht="58.6" customHeight="1">
      <c r="A126" s="3623"/>
      <c r="B126" s="3624" t="str">
        <f t="shared" si="6"/>
        <v>2000003659</v>
      </c>
      <c r="C126" s="3625" t="s">
        <v>2509</v>
      </c>
      <c r="D126" s="3626"/>
      <c r="E126" s="3627"/>
      <c r="F126" s="3625"/>
      <c r="G126" s="3624"/>
      <c r="H126" s="3624"/>
      <c r="I126" s="3624"/>
      <c r="J126" s="3628" t="s">
        <v>65</v>
      </c>
      <c r="K126" s="3624" t="s">
        <v>275</v>
      </c>
      <c r="L126" s="3629" t="s">
        <v>7467</v>
      </c>
      <c r="M126" s="3630">
        <v>800</v>
      </c>
      <c r="N126" s="3631" t="s">
        <v>7468</v>
      </c>
      <c r="O126" s="3632"/>
      <c r="P126" s="3633"/>
      <c r="Q126" s="3634" t="s">
        <v>7469</v>
      </c>
    </row>
    <row r="127" spans="1:17" ht="58.6" customHeight="1">
      <c r="A127" s="3496"/>
      <c r="B127" s="2884" t="str">
        <f t="shared" si="6"/>
        <v>655.T11.20</v>
      </c>
      <c r="C127" s="2898"/>
      <c r="D127" s="3497"/>
      <c r="E127" s="3498"/>
      <c r="F127" s="2898"/>
      <c r="G127" s="2884"/>
      <c r="H127" s="2884"/>
      <c r="I127" s="3528" t="s">
        <v>7378</v>
      </c>
      <c r="J127" s="2884" t="s">
        <v>7470</v>
      </c>
      <c r="K127" s="2884" t="s">
        <v>4386</v>
      </c>
      <c r="L127" s="3499" t="s">
        <v>7471</v>
      </c>
      <c r="M127" s="3494">
        <v>1000</v>
      </c>
      <c r="N127" s="3500" t="s">
        <v>7472</v>
      </c>
      <c r="Q127" s="3501" t="s">
        <v>7413</v>
      </c>
    </row>
    <row r="128" spans="1:17" ht="58.6" customHeight="1">
      <c r="A128" s="3496"/>
      <c r="B128" s="2884" t="str">
        <f t="shared" si="6"/>
        <v/>
      </c>
      <c r="C128" s="2898"/>
      <c r="D128" s="3497"/>
      <c r="E128" s="3498"/>
      <c r="F128" s="2898"/>
      <c r="G128" s="2884"/>
      <c r="H128" s="2884"/>
      <c r="I128" s="2884"/>
      <c r="J128" s="2884"/>
      <c r="K128" s="2884"/>
      <c r="L128" s="3499"/>
      <c r="M128" s="3494"/>
      <c r="N128" s="3500"/>
      <c r="Q128" s="3501"/>
    </row>
    <row r="129" spans="1:17" ht="58.6" customHeight="1">
      <c r="A129" s="3496"/>
      <c r="B129" s="2884" t="str">
        <f t="shared" si="6"/>
        <v/>
      </c>
      <c r="C129" s="2898"/>
      <c r="D129" s="3497"/>
      <c r="E129" s="3498"/>
      <c r="F129" s="2898"/>
      <c r="G129" s="2884"/>
      <c r="H129" s="2884"/>
      <c r="I129" s="2884"/>
      <c r="J129" s="2884"/>
      <c r="K129" s="2884"/>
      <c r="L129" s="3499"/>
      <c r="M129" s="3494"/>
      <c r="N129" s="3500"/>
      <c r="Q129" s="3501"/>
    </row>
    <row r="130" spans="1:17" ht="58.6" customHeight="1">
      <c r="A130" s="3496"/>
      <c r="B130" s="2884" t="str">
        <f t="shared" si="6"/>
        <v/>
      </c>
      <c r="C130" s="2898"/>
      <c r="D130" s="3497"/>
      <c r="E130" s="3498"/>
      <c r="F130" s="2898"/>
      <c r="G130" s="2884"/>
      <c r="H130" s="2884"/>
      <c r="I130" s="2884"/>
      <c r="J130" s="2884"/>
      <c r="K130" s="2884"/>
      <c r="L130" s="3499"/>
      <c r="M130" s="3494"/>
      <c r="N130" s="3500"/>
      <c r="Q130" s="3501"/>
    </row>
    <row r="131" spans="1:17" ht="58.6" customHeight="1">
      <c r="A131" s="3496"/>
      <c r="B131" s="2884" t="str">
        <f t="shared" si="6"/>
        <v/>
      </c>
      <c r="C131" s="2898"/>
      <c r="D131" s="3497"/>
      <c r="E131" s="3498"/>
      <c r="F131" s="2898"/>
      <c r="G131" s="2884"/>
      <c r="H131" s="2884"/>
      <c r="I131" s="2884"/>
      <c r="J131" s="2884"/>
      <c r="K131" s="2884"/>
      <c r="L131" s="3499"/>
      <c r="M131" s="3494"/>
      <c r="N131" s="3500"/>
      <c r="Q131" s="3501"/>
    </row>
    <row r="132" spans="1:17" ht="58.6" customHeight="1">
      <c r="A132" s="3496"/>
      <c r="B132" s="2884" t="str">
        <f t="shared" si="6"/>
        <v/>
      </c>
      <c r="C132" s="2898"/>
      <c r="D132" s="3497"/>
      <c r="E132" s="3498"/>
      <c r="F132" s="2898"/>
      <c r="G132" s="2884"/>
      <c r="H132" s="2884"/>
      <c r="I132" s="2884"/>
      <c r="J132" s="2884"/>
      <c r="K132" s="2884"/>
      <c r="L132" s="3499"/>
      <c r="M132" s="3494"/>
      <c r="N132" s="3500"/>
      <c r="Q132" s="3501"/>
    </row>
    <row r="133" spans="1:17" ht="58.6" customHeight="1">
      <c r="A133" s="3496"/>
      <c r="B133" s="2884" t="str">
        <f t="shared" si="6"/>
        <v/>
      </c>
      <c r="C133" s="2898"/>
      <c r="D133" s="3497"/>
      <c r="E133" s="3498"/>
      <c r="F133" s="2898"/>
      <c r="G133" s="2884"/>
      <c r="H133" s="2884"/>
      <c r="I133" s="2884"/>
      <c r="J133" s="2884"/>
      <c r="K133" s="2884"/>
      <c r="L133" s="3499"/>
      <c r="M133" s="3494"/>
      <c r="N133" s="3500"/>
      <c r="Q133" s="3501"/>
    </row>
    <row r="134" spans="1:17" ht="58.6" customHeight="1">
      <c r="A134" s="3496"/>
      <c r="B134" s="2884" t="str">
        <f t="shared" si="6"/>
        <v/>
      </c>
      <c r="C134" s="2898"/>
      <c r="D134" s="3497"/>
      <c r="E134" s="3498"/>
      <c r="F134" s="2898"/>
      <c r="G134" s="2884"/>
      <c r="H134" s="2884"/>
      <c r="I134" s="2884"/>
      <c r="J134" s="2884"/>
      <c r="K134" s="2884"/>
      <c r="L134" s="3499"/>
      <c r="M134" s="3494"/>
      <c r="N134" s="3500"/>
      <c r="Q134" s="3501"/>
    </row>
    <row r="135" spans="1:17" ht="58.6" customHeight="1">
      <c r="A135" s="3496"/>
      <c r="B135" s="2884" t="str">
        <f t="shared" si="6"/>
        <v/>
      </c>
      <c r="C135" s="2898"/>
      <c r="D135" s="3497"/>
      <c r="E135" s="3498"/>
      <c r="F135" s="2898"/>
      <c r="G135" s="2884"/>
      <c r="H135" s="2884"/>
      <c r="I135" s="2884"/>
      <c r="J135" s="2884"/>
      <c r="K135" s="2884"/>
      <c r="L135" s="3499"/>
      <c r="M135" s="3494"/>
      <c r="N135" s="3500"/>
      <c r="Q135" s="3501"/>
    </row>
    <row r="136" spans="1:17" ht="58.6" customHeight="1">
      <c r="A136" s="3496"/>
      <c r="B136" s="2884" t="str">
        <f t="shared" si="6"/>
        <v/>
      </c>
      <c r="C136" s="2898"/>
      <c r="D136" s="3497"/>
      <c r="E136" s="3498"/>
      <c r="F136" s="2898"/>
      <c r="G136" s="2884"/>
      <c r="H136" s="2884"/>
      <c r="I136" s="2884"/>
      <c r="J136" s="2884"/>
      <c r="K136" s="2884"/>
      <c r="L136" s="3499"/>
      <c r="M136" s="3494"/>
      <c r="N136" s="3500"/>
      <c r="Q136" s="3501"/>
    </row>
    <row r="137" spans="1:17" ht="58.6" customHeight="1">
      <c r="A137" s="3496"/>
      <c r="B137" s="2884" t="str">
        <f t="shared" si="6"/>
        <v/>
      </c>
      <c r="C137" s="2898"/>
      <c r="D137" s="3497"/>
      <c r="E137" s="3498"/>
      <c r="F137" s="2898"/>
      <c r="G137" s="2884"/>
      <c r="H137" s="2884"/>
      <c r="I137" s="2884"/>
      <c r="J137" s="2884"/>
      <c r="K137" s="2884"/>
      <c r="L137" s="3499"/>
      <c r="M137" s="3494"/>
      <c r="N137" s="3500"/>
      <c r="Q137" s="3501"/>
    </row>
    <row r="138" spans="1:17" ht="58.6" customHeight="1">
      <c r="A138" s="3496"/>
      <c r="B138" s="2884" t="str">
        <f t="shared" si="6"/>
        <v/>
      </c>
      <c r="C138" s="2898"/>
      <c r="D138" s="3497"/>
      <c r="E138" s="3498"/>
      <c r="F138" s="2898"/>
      <c r="G138" s="2884"/>
      <c r="H138" s="2884"/>
      <c r="I138" s="2884"/>
      <c r="J138" s="2884"/>
      <c r="K138" s="2884"/>
      <c r="L138" s="3499"/>
      <c r="M138" s="3494"/>
      <c r="N138" s="3500"/>
      <c r="Q138" s="3501"/>
    </row>
    <row r="139" spans="1:17" ht="58.6" customHeight="1">
      <c r="A139" s="3496"/>
      <c r="B139" s="2884" t="str">
        <f t="shared" si="6"/>
        <v/>
      </c>
      <c r="C139" s="2898"/>
      <c r="D139" s="3497"/>
      <c r="E139" s="3498"/>
      <c r="F139" s="2898"/>
      <c r="G139" s="2884"/>
      <c r="H139" s="2884"/>
      <c r="I139" s="2884"/>
      <c r="J139" s="2884"/>
      <c r="K139" s="2884"/>
      <c r="L139" s="3499"/>
      <c r="M139" s="3494"/>
      <c r="N139" s="3500"/>
      <c r="Q139" s="3501"/>
    </row>
    <row r="140" spans="1:17" ht="58.6" customHeight="1">
      <c r="A140" s="3496"/>
      <c r="B140" s="2884" t="str">
        <f t="shared" si="6"/>
        <v/>
      </c>
      <c r="C140" s="2898"/>
      <c r="D140" s="3497"/>
      <c r="E140" s="3498"/>
      <c r="F140" s="2898"/>
      <c r="G140" s="2884"/>
      <c r="H140" s="2884"/>
      <c r="I140" s="2884"/>
      <c r="J140" s="2884"/>
      <c r="K140" s="2884"/>
      <c r="L140" s="3499"/>
      <c r="M140" s="3494"/>
      <c r="N140" s="3500"/>
      <c r="Q140" s="3501"/>
    </row>
    <row r="141" spans="1:17" ht="58.6" customHeight="1">
      <c r="A141" s="3496"/>
      <c r="B141" s="2884" t="str">
        <f t="shared" si="6"/>
        <v/>
      </c>
      <c r="C141" s="2898"/>
      <c r="D141" s="3497"/>
      <c r="E141" s="3498"/>
      <c r="F141" s="2898"/>
      <c r="G141" s="2884"/>
      <c r="H141" s="2884"/>
      <c r="I141" s="2884"/>
      <c r="J141" s="2884"/>
      <c r="K141" s="2884"/>
      <c r="L141" s="3499"/>
      <c r="M141" s="3494"/>
      <c r="N141" s="3500"/>
      <c r="Q141" s="3501"/>
    </row>
    <row r="142" spans="1:17" ht="58.6" customHeight="1">
      <c r="A142" s="3496"/>
      <c r="B142" s="2884" t="str">
        <f t="shared" si="6"/>
        <v/>
      </c>
      <c r="C142" s="2898"/>
      <c r="D142" s="3497"/>
      <c r="E142" s="3498"/>
      <c r="F142" s="2898"/>
      <c r="G142" s="2884"/>
      <c r="H142" s="2884"/>
      <c r="I142" s="2884"/>
      <c r="J142" s="2884"/>
      <c r="K142" s="2884"/>
      <c r="L142" s="3499"/>
      <c r="M142" s="3494"/>
      <c r="N142" s="3500"/>
      <c r="Q142" s="3501"/>
    </row>
    <row r="143" spans="1:17" ht="58.6" customHeight="1">
      <c r="A143" s="3496"/>
      <c r="B143" s="2884" t="str">
        <f t="shared" si="6"/>
        <v/>
      </c>
      <c r="C143" s="2898"/>
      <c r="D143" s="3497"/>
      <c r="E143" s="3498"/>
      <c r="F143" s="2898"/>
      <c r="G143" s="2884"/>
      <c r="H143" s="2884"/>
      <c r="I143" s="2884"/>
      <c r="J143" s="2884"/>
      <c r="K143" s="2884"/>
      <c r="L143" s="3499"/>
      <c r="M143" s="3494"/>
      <c r="N143" s="3500"/>
      <c r="Q143" s="3501"/>
    </row>
    <row r="144" spans="1:17" ht="58.6" customHeight="1">
      <c r="A144" s="3496"/>
      <c r="B144" s="2884" t="str">
        <f t="shared" si="6"/>
        <v/>
      </c>
      <c r="C144" s="2898"/>
      <c r="D144" s="3497"/>
      <c r="E144" s="3498"/>
      <c r="F144" s="2898"/>
      <c r="G144" s="2884"/>
      <c r="H144" s="2884"/>
      <c r="I144" s="2884"/>
      <c r="J144" s="2884"/>
      <c r="K144" s="2884"/>
      <c r="L144" s="3499"/>
      <c r="M144" s="3494"/>
      <c r="N144" s="3500"/>
      <c r="Q144" s="3501"/>
    </row>
    <row r="145" spans="1:17" ht="58.6" customHeight="1">
      <c r="A145" s="3496"/>
      <c r="B145" s="2884" t="str">
        <f t="shared" si="6"/>
        <v/>
      </c>
      <c r="C145" s="2898"/>
      <c r="D145" s="3497"/>
      <c r="E145" s="3498"/>
      <c r="F145" s="2898"/>
      <c r="G145" s="2884"/>
      <c r="H145" s="2884"/>
      <c r="I145" s="2884"/>
      <c r="J145" s="2884"/>
      <c r="K145" s="2884"/>
      <c r="L145" s="3499"/>
      <c r="M145" s="3494"/>
      <c r="N145" s="3500"/>
      <c r="Q145" s="3501"/>
    </row>
    <row r="146" spans="1:17" ht="58.6" customHeight="1">
      <c r="A146" s="3496"/>
      <c r="B146" s="2884" t="str">
        <f t="shared" si="6"/>
        <v/>
      </c>
      <c r="C146" s="2898"/>
      <c r="D146" s="3497"/>
      <c r="E146" s="3498"/>
      <c r="F146" s="2898"/>
      <c r="G146" s="2884"/>
      <c r="H146" s="2884"/>
      <c r="I146" s="2884"/>
      <c r="J146" s="2884"/>
      <c r="K146" s="2884"/>
      <c r="L146" s="3499"/>
      <c r="M146" s="3494"/>
      <c r="N146" s="3500"/>
      <c r="Q146" s="3501"/>
    </row>
    <row r="147" spans="1:17" ht="58.6" customHeight="1">
      <c r="A147" s="3496"/>
      <c r="B147" s="2884" t="str">
        <f t="shared" si="6"/>
        <v/>
      </c>
      <c r="C147" s="2898"/>
      <c r="D147" s="3497"/>
      <c r="E147" s="3498"/>
      <c r="F147" s="2898"/>
      <c r="G147" s="2884"/>
      <c r="H147" s="2884"/>
      <c r="I147" s="2884"/>
      <c r="J147" s="2884"/>
      <c r="K147" s="2884"/>
      <c r="L147" s="3499"/>
      <c r="M147" s="3494"/>
      <c r="N147" s="3500"/>
      <c r="Q147" s="3501"/>
    </row>
    <row r="148" spans="1:17" ht="58.6" customHeight="1">
      <c r="A148" s="3496"/>
      <c r="B148" s="2884" t="str">
        <f t="shared" si="6"/>
        <v/>
      </c>
      <c r="C148" s="2898"/>
      <c r="D148" s="3497"/>
      <c r="E148" s="3498"/>
      <c r="F148" s="2898"/>
      <c r="G148" s="2884"/>
      <c r="H148" s="2884"/>
      <c r="I148" s="2884"/>
      <c r="J148" s="2884"/>
      <c r="K148" s="2884"/>
      <c r="L148" s="3499"/>
      <c r="M148" s="3494"/>
      <c r="N148" s="3500"/>
      <c r="Q148" s="3501"/>
    </row>
    <row r="149" spans="1:17" ht="58.6" customHeight="1">
      <c r="A149" s="3496"/>
      <c r="B149" s="2884" t="str">
        <f t="shared" si="6"/>
        <v/>
      </c>
      <c r="C149" s="2898"/>
      <c r="D149" s="3497"/>
      <c r="E149" s="3498"/>
      <c r="F149" s="2898"/>
      <c r="G149" s="2884"/>
      <c r="H149" s="2884"/>
      <c r="I149" s="2884"/>
      <c r="J149" s="2884"/>
      <c r="K149" s="2884"/>
      <c r="L149" s="3499"/>
      <c r="M149" s="3494"/>
      <c r="N149" s="3500"/>
      <c r="Q149" s="3501"/>
    </row>
    <row r="150" spans="1:17" ht="58.6" customHeight="1">
      <c r="A150" s="3496"/>
      <c r="B150" s="2884" t="str">
        <f t="shared" si="6"/>
        <v/>
      </c>
      <c r="C150" s="2898"/>
      <c r="D150" s="3497"/>
      <c r="E150" s="3498"/>
      <c r="F150" s="2898"/>
      <c r="G150" s="2884"/>
      <c r="H150" s="2884"/>
      <c r="I150" s="2884"/>
      <c r="J150" s="2884"/>
      <c r="K150" s="2884"/>
      <c r="L150" s="3499"/>
      <c r="M150" s="3494"/>
      <c r="N150" s="3500"/>
      <c r="Q150" s="3501"/>
    </row>
    <row r="151" spans="1:17" ht="58.6" customHeight="1">
      <c r="A151" s="3496"/>
      <c r="B151" s="2884" t="str">
        <f t="shared" si="6"/>
        <v/>
      </c>
      <c r="C151" s="2898"/>
      <c r="D151" s="3497"/>
      <c r="E151" s="3498"/>
      <c r="F151" s="2898"/>
      <c r="G151" s="2884"/>
      <c r="H151" s="2884"/>
      <c r="I151" s="2884"/>
      <c r="J151" s="2884"/>
      <c r="K151" s="2884"/>
      <c r="L151" s="3499"/>
      <c r="M151" s="3494"/>
      <c r="N151" s="3500"/>
      <c r="Q151" s="3501"/>
    </row>
    <row r="152" spans="1:17" ht="58.6" customHeight="1">
      <c r="A152" s="3496"/>
      <c r="B152" s="2884" t="str">
        <f t="shared" si="6"/>
        <v/>
      </c>
      <c r="C152" s="2898"/>
      <c r="D152" s="3497"/>
      <c r="E152" s="3498"/>
      <c r="F152" s="2898"/>
      <c r="G152" s="2884"/>
      <c r="H152" s="2884"/>
      <c r="I152" s="2884"/>
      <c r="J152" s="2884"/>
      <c r="K152" s="2884"/>
      <c r="L152" s="3499"/>
      <c r="M152" s="3494"/>
      <c r="N152" s="3500"/>
      <c r="Q152" s="3501"/>
    </row>
    <row r="153" spans="1:17" ht="58.6" customHeight="1">
      <c r="A153" s="3496"/>
      <c r="B153" s="2884" t="str">
        <f t="shared" si="6"/>
        <v/>
      </c>
      <c r="C153" s="2898"/>
      <c r="D153" s="3497"/>
      <c r="E153" s="3498"/>
      <c r="F153" s="2898"/>
      <c r="G153" s="2884"/>
      <c r="H153" s="2884"/>
      <c r="I153" s="2884"/>
      <c r="J153" s="2884"/>
      <c r="K153" s="2884"/>
      <c r="L153" s="3499"/>
      <c r="M153" s="3494"/>
      <c r="N153" s="3500"/>
      <c r="Q153" s="3501"/>
    </row>
    <row r="154" spans="1:17" ht="58.6" customHeight="1">
      <c r="A154" s="3496"/>
      <c r="B154" s="2884" t="str">
        <f t="shared" si="6"/>
        <v/>
      </c>
      <c r="C154" s="2898"/>
      <c r="D154" s="3497"/>
      <c r="E154" s="3498"/>
      <c r="F154" s="2898"/>
      <c r="G154" s="2884"/>
      <c r="H154" s="2884"/>
      <c r="I154" s="2884"/>
      <c r="J154" s="2884"/>
      <c r="K154" s="2884"/>
      <c r="L154" s="3499"/>
      <c r="M154" s="3494"/>
      <c r="N154" s="3500"/>
      <c r="Q154" s="3501"/>
    </row>
    <row r="155" spans="1:17" ht="58.6" customHeight="1">
      <c r="A155" s="3496"/>
      <c r="B155" s="2884" t="str">
        <f t="shared" si="6"/>
        <v/>
      </c>
      <c r="C155" s="2898"/>
      <c r="D155" s="3497"/>
      <c r="E155" s="3498"/>
      <c r="F155" s="2898"/>
      <c r="G155" s="2884"/>
      <c r="H155" s="2884"/>
      <c r="I155" s="2884"/>
      <c r="J155" s="2884"/>
      <c r="K155" s="2884"/>
      <c r="L155" s="3499"/>
      <c r="M155" s="3494"/>
      <c r="N155" s="3500"/>
      <c r="Q155" s="3501"/>
    </row>
    <row r="156" spans="1:17" ht="58.6" customHeight="1">
      <c r="A156" s="3496"/>
      <c r="B156" s="2884" t="str">
        <f t="shared" si="6"/>
        <v/>
      </c>
      <c r="C156" s="2898"/>
      <c r="D156" s="3497"/>
      <c r="E156" s="3498"/>
      <c r="F156" s="2898"/>
      <c r="G156" s="2884"/>
      <c r="H156" s="2884"/>
      <c r="I156" s="2884"/>
      <c r="J156" s="2884"/>
      <c r="K156" s="2884"/>
      <c r="L156" s="3499"/>
      <c r="M156" s="3494"/>
      <c r="N156" s="3500"/>
      <c r="Q156" s="3501"/>
    </row>
    <row r="157" spans="1:17" ht="58.6" customHeight="1">
      <c r="A157" s="3496"/>
      <c r="B157" s="2884" t="str">
        <f t="shared" si="6"/>
        <v/>
      </c>
      <c r="C157" s="2898"/>
      <c r="D157" s="3497"/>
      <c r="E157" s="3498"/>
      <c r="F157" s="2898"/>
      <c r="G157" s="2884"/>
      <c r="H157" s="2884"/>
      <c r="I157" s="2884"/>
      <c r="J157" s="2884"/>
      <c r="K157" s="2884"/>
      <c r="L157" s="3499"/>
      <c r="M157" s="3494"/>
      <c r="N157" s="3500"/>
      <c r="Q157" s="3501"/>
    </row>
    <row r="158" spans="1:17" ht="58.6" customHeight="1">
      <c r="A158" s="3496"/>
      <c r="B158" s="2884" t="str">
        <f t="shared" si="6"/>
        <v/>
      </c>
      <c r="C158" s="2898"/>
      <c r="D158" s="3497"/>
      <c r="E158" s="3498"/>
      <c r="F158" s="2898"/>
      <c r="G158" s="2884"/>
      <c r="H158" s="2884"/>
      <c r="I158" s="2884"/>
      <c r="J158" s="2884"/>
      <c r="K158" s="2884"/>
      <c r="L158" s="3499"/>
      <c r="M158" s="3494"/>
      <c r="N158" s="3500"/>
      <c r="Q158" s="3501"/>
    </row>
    <row r="159" spans="1:17" ht="58.6" customHeight="1">
      <c r="A159" s="3496"/>
      <c r="B159" s="2884" t="str">
        <f t="shared" si="6"/>
        <v/>
      </c>
      <c r="C159" s="2898"/>
      <c r="D159" s="3497"/>
      <c r="E159" s="3498"/>
      <c r="F159" s="2898"/>
      <c r="G159" s="2884"/>
      <c r="H159" s="2884"/>
      <c r="I159" s="2884"/>
      <c r="J159" s="2884"/>
      <c r="K159" s="2884"/>
      <c r="L159" s="3499"/>
      <c r="M159" s="3494"/>
      <c r="N159" s="3500"/>
      <c r="Q159" s="3501"/>
    </row>
    <row r="160" spans="1:17" ht="58.6" customHeight="1">
      <c r="A160" s="3496"/>
      <c r="B160" s="2884" t="str">
        <f t="shared" si="6"/>
        <v/>
      </c>
      <c r="C160" s="2898"/>
      <c r="D160" s="3497"/>
      <c r="E160" s="3498"/>
      <c r="F160" s="2898"/>
      <c r="G160" s="2884"/>
      <c r="H160" s="2884"/>
      <c r="I160" s="2884"/>
      <c r="J160" s="2884"/>
      <c r="K160" s="2884"/>
      <c r="L160" s="3499"/>
      <c r="M160" s="3494"/>
      <c r="N160" s="3500"/>
      <c r="Q160" s="3501"/>
    </row>
    <row r="161" spans="1:17" ht="58.6" customHeight="1">
      <c r="A161" s="3496"/>
      <c r="B161" s="2884" t="str">
        <f t="shared" si="6"/>
        <v/>
      </c>
      <c r="C161" s="2898"/>
      <c r="D161" s="3497"/>
      <c r="E161" s="3498"/>
      <c r="F161" s="2898"/>
      <c r="G161" s="2884"/>
      <c r="H161" s="2884"/>
      <c r="I161" s="2884"/>
      <c r="J161" s="2884"/>
      <c r="K161" s="2884"/>
      <c r="L161" s="3499"/>
      <c r="M161" s="3494"/>
      <c r="N161" s="3500"/>
      <c r="Q161" s="3501"/>
    </row>
    <row r="162" spans="1:17" ht="58.6" customHeight="1">
      <c r="A162" s="3496"/>
      <c r="B162" s="2884" t="str">
        <f t="shared" si="6"/>
        <v/>
      </c>
      <c r="C162" s="2898"/>
      <c r="D162" s="3497"/>
      <c r="E162" s="3498"/>
      <c r="F162" s="2898"/>
      <c r="G162" s="2884"/>
      <c r="H162" s="2884"/>
      <c r="I162" s="2884"/>
      <c r="J162" s="2884"/>
      <c r="K162" s="2884"/>
      <c r="L162" s="3499"/>
      <c r="M162" s="3494"/>
      <c r="N162" s="3500"/>
      <c r="Q162" s="3501"/>
    </row>
    <row r="163" spans="1:17" ht="58.6" customHeight="1">
      <c r="A163" s="3496"/>
      <c r="B163" s="2884" t="str">
        <f t="shared" si="6"/>
        <v/>
      </c>
      <c r="C163" s="2898"/>
      <c r="D163" s="3497"/>
      <c r="E163" s="3498"/>
      <c r="F163" s="2898"/>
      <c r="G163" s="2884"/>
      <c r="H163" s="2884"/>
      <c r="I163" s="2884"/>
      <c r="J163" s="2884"/>
      <c r="K163" s="2884"/>
      <c r="L163" s="3499"/>
      <c r="M163" s="3494"/>
      <c r="N163" s="3500"/>
      <c r="Q163" s="3501"/>
    </row>
    <row r="164" spans="1:17" ht="58.6" customHeight="1">
      <c r="A164" s="3496"/>
      <c r="B164" s="2884" t="str">
        <f t="shared" si="6"/>
        <v/>
      </c>
      <c r="C164" s="2898"/>
      <c r="D164" s="3497"/>
      <c r="E164" s="3498"/>
      <c r="F164" s="2898"/>
      <c r="G164" s="2884"/>
      <c r="H164" s="2884"/>
      <c r="I164" s="2884"/>
      <c r="J164" s="2884"/>
      <c r="K164" s="2884"/>
      <c r="L164" s="3499"/>
      <c r="M164" s="3494"/>
      <c r="N164" s="3500"/>
      <c r="Q164" s="3501"/>
    </row>
    <row r="165" spans="1:17" ht="58.6" customHeight="1">
      <c r="A165" s="3496"/>
      <c r="B165" s="2884" t="str">
        <f t="shared" si="6"/>
        <v/>
      </c>
      <c r="C165" s="2898"/>
      <c r="D165" s="3497"/>
      <c r="E165" s="3498"/>
      <c r="F165" s="2898"/>
      <c r="G165" s="2884"/>
      <c r="H165" s="2884"/>
      <c r="I165" s="2884"/>
      <c r="J165" s="2884"/>
      <c r="K165" s="2884"/>
      <c r="L165" s="3499"/>
      <c r="M165" s="3494"/>
      <c r="N165" s="3500"/>
      <c r="Q165" s="3501"/>
    </row>
    <row r="166" spans="1:17" ht="58.6" customHeight="1">
      <c r="A166" s="3496"/>
      <c r="B166" s="2884" t="str">
        <f t="shared" si="6"/>
        <v/>
      </c>
      <c r="C166" s="2898"/>
      <c r="D166" s="3497"/>
      <c r="E166" s="3498"/>
      <c r="F166" s="2898"/>
      <c r="G166" s="2884"/>
      <c r="H166" s="2884"/>
      <c r="I166" s="2884"/>
      <c r="J166" s="2884"/>
      <c r="K166" s="2884"/>
      <c r="L166" s="3499"/>
      <c r="M166" s="3494"/>
      <c r="N166" s="3500"/>
      <c r="Q166" s="3501"/>
    </row>
    <row r="167" spans="1:17" ht="58.6" customHeight="1">
      <c r="A167" s="3496"/>
      <c r="B167" s="2884" t="str">
        <f t="shared" ref="B167:B230" si="7">TEXT(LEFT(L167,10),"0000000000")</f>
        <v/>
      </c>
      <c r="C167" s="2898"/>
      <c r="D167" s="3497"/>
      <c r="E167" s="3498"/>
      <c r="F167" s="2898"/>
      <c r="G167" s="2884"/>
      <c r="H167" s="2884"/>
      <c r="I167" s="2884"/>
      <c r="J167" s="2884"/>
      <c r="K167" s="2884"/>
      <c r="L167" s="3499"/>
      <c r="M167" s="3494"/>
      <c r="N167" s="3500"/>
      <c r="Q167" s="3501"/>
    </row>
    <row r="168" spans="1:17" ht="58.6" customHeight="1">
      <c r="A168" s="3496"/>
      <c r="B168" s="2884" t="str">
        <f t="shared" si="7"/>
        <v/>
      </c>
      <c r="C168" s="2898"/>
      <c r="D168" s="3497"/>
      <c r="E168" s="3498"/>
      <c r="F168" s="2898"/>
      <c r="G168" s="2884"/>
      <c r="H168" s="2884"/>
      <c r="I168" s="2884"/>
      <c r="J168" s="2884"/>
      <c r="K168" s="2884"/>
      <c r="L168" s="3499"/>
      <c r="M168" s="3494"/>
      <c r="N168" s="3500"/>
      <c r="Q168" s="3501"/>
    </row>
    <row r="169" spans="1:17" ht="58.6" customHeight="1">
      <c r="A169" s="3496"/>
      <c r="B169" s="2884" t="str">
        <f t="shared" si="7"/>
        <v/>
      </c>
      <c r="C169" s="2898"/>
      <c r="D169" s="3497"/>
      <c r="E169" s="3498"/>
      <c r="F169" s="2898"/>
      <c r="G169" s="2884"/>
      <c r="H169" s="2884"/>
      <c r="I169" s="2884"/>
      <c r="J169" s="2884"/>
      <c r="K169" s="2884"/>
      <c r="L169" s="3499"/>
      <c r="M169" s="3494"/>
      <c r="N169" s="3500"/>
      <c r="Q169" s="3501"/>
    </row>
    <row r="170" spans="1:17" ht="58.6" customHeight="1">
      <c r="A170" s="3496"/>
      <c r="B170" s="2884" t="str">
        <f t="shared" si="7"/>
        <v/>
      </c>
      <c r="C170" s="2898"/>
      <c r="D170" s="3497"/>
      <c r="E170" s="3498"/>
      <c r="F170" s="2898"/>
      <c r="G170" s="2884"/>
      <c r="H170" s="2884"/>
      <c r="I170" s="2884"/>
      <c r="J170" s="2884"/>
      <c r="K170" s="2884"/>
      <c r="L170" s="3499"/>
      <c r="M170" s="3494"/>
      <c r="N170" s="3500"/>
      <c r="Q170" s="3501"/>
    </row>
    <row r="171" spans="1:17" ht="58.6" customHeight="1">
      <c r="A171" s="3496"/>
      <c r="B171" s="2884" t="str">
        <f t="shared" si="7"/>
        <v/>
      </c>
      <c r="C171" s="2898"/>
      <c r="D171" s="3497"/>
      <c r="E171" s="3498"/>
      <c r="F171" s="2898"/>
      <c r="G171" s="2884"/>
      <c r="H171" s="2884"/>
      <c r="I171" s="2884"/>
      <c r="J171" s="2884"/>
      <c r="K171" s="2884"/>
      <c r="L171" s="3499"/>
      <c r="M171" s="3494"/>
      <c r="N171" s="3500"/>
      <c r="Q171" s="3501"/>
    </row>
    <row r="172" spans="1:17" ht="58.6" customHeight="1">
      <c r="A172" s="3496"/>
      <c r="B172" s="2884" t="str">
        <f t="shared" si="7"/>
        <v/>
      </c>
      <c r="C172" s="2898"/>
      <c r="D172" s="3497"/>
      <c r="E172" s="3498"/>
      <c r="F172" s="2898"/>
      <c r="G172" s="2884"/>
      <c r="H172" s="2884"/>
      <c r="I172" s="2884"/>
      <c r="J172" s="2884"/>
      <c r="K172" s="2884"/>
      <c r="L172" s="3499"/>
      <c r="M172" s="3494"/>
      <c r="N172" s="3500"/>
      <c r="Q172" s="3501"/>
    </row>
    <row r="173" spans="1:17" ht="58.6" customHeight="1">
      <c r="A173" s="3496"/>
      <c r="B173" s="2884" t="str">
        <f t="shared" si="7"/>
        <v/>
      </c>
      <c r="C173" s="2898"/>
      <c r="D173" s="3497"/>
      <c r="E173" s="3498"/>
      <c r="F173" s="2898"/>
      <c r="G173" s="2884"/>
      <c r="H173" s="2884"/>
      <c r="I173" s="2884"/>
      <c r="J173" s="2884"/>
      <c r="K173" s="2884"/>
      <c r="L173" s="3499"/>
      <c r="M173" s="3494"/>
      <c r="N173" s="3500"/>
      <c r="Q173" s="3501"/>
    </row>
    <row r="174" spans="1:17" ht="58.6" customHeight="1">
      <c r="A174" s="3496"/>
      <c r="B174" s="2884" t="str">
        <f t="shared" si="7"/>
        <v/>
      </c>
      <c r="C174" s="2898"/>
      <c r="D174" s="3497"/>
      <c r="E174" s="3498"/>
      <c r="F174" s="2898"/>
      <c r="G174" s="2884"/>
      <c r="H174" s="2884"/>
      <c r="I174" s="2884"/>
      <c r="J174" s="2884"/>
      <c r="K174" s="2884"/>
      <c r="L174" s="3499"/>
      <c r="M174" s="3494"/>
      <c r="N174" s="3500"/>
      <c r="Q174" s="3501"/>
    </row>
    <row r="175" spans="1:17" ht="58.6" customHeight="1">
      <c r="A175" s="3496"/>
      <c r="B175" s="2884" t="str">
        <f t="shared" si="7"/>
        <v/>
      </c>
      <c r="C175" s="2898"/>
      <c r="D175" s="3497"/>
      <c r="E175" s="3498"/>
      <c r="F175" s="2898"/>
      <c r="G175" s="2884"/>
      <c r="H175" s="2884"/>
      <c r="I175" s="2884"/>
      <c r="J175" s="2884"/>
      <c r="K175" s="2884"/>
      <c r="L175" s="3499"/>
      <c r="M175" s="3494"/>
      <c r="N175" s="3500"/>
      <c r="Q175" s="3501"/>
    </row>
    <row r="176" spans="1:17" ht="58.6" customHeight="1">
      <c r="A176" s="3496"/>
      <c r="B176" s="2884" t="str">
        <f t="shared" si="7"/>
        <v/>
      </c>
      <c r="C176" s="2898"/>
      <c r="D176" s="3497"/>
      <c r="E176" s="3498"/>
      <c r="F176" s="2898"/>
      <c r="G176" s="2884"/>
      <c r="H176" s="2884"/>
      <c r="I176" s="2884"/>
      <c r="J176" s="2884"/>
      <c r="K176" s="2884"/>
      <c r="L176" s="3499"/>
      <c r="M176" s="3494"/>
      <c r="N176" s="3500"/>
      <c r="Q176" s="3501"/>
    </row>
    <row r="177" spans="1:17" ht="58.6" customHeight="1">
      <c r="A177" s="3496"/>
      <c r="B177" s="2884" t="str">
        <f t="shared" si="7"/>
        <v/>
      </c>
      <c r="C177" s="2898"/>
      <c r="D177" s="3497"/>
      <c r="E177" s="3498"/>
      <c r="F177" s="2898"/>
      <c r="G177" s="2884"/>
      <c r="H177" s="2884"/>
      <c r="I177" s="2884"/>
      <c r="J177" s="2884"/>
      <c r="K177" s="2884"/>
      <c r="L177" s="3499"/>
      <c r="M177" s="3494"/>
      <c r="N177" s="3500"/>
      <c r="Q177" s="3501"/>
    </row>
    <row r="178" spans="1:17" ht="58.6" customHeight="1">
      <c r="A178" s="3496"/>
      <c r="B178" s="2884" t="str">
        <f t="shared" si="7"/>
        <v/>
      </c>
      <c r="C178" s="2898"/>
      <c r="D178" s="3497"/>
      <c r="E178" s="3498"/>
      <c r="F178" s="2898"/>
      <c r="G178" s="2884"/>
      <c r="H178" s="2884"/>
      <c r="I178" s="2884"/>
      <c r="J178" s="2884"/>
      <c r="K178" s="2884"/>
      <c r="L178" s="3499"/>
      <c r="M178" s="3494"/>
      <c r="N178" s="3500"/>
      <c r="Q178" s="3501"/>
    </row>
    <row r="179" spans="1:17" ht="58.6" customHeight="1">
      <c r="A179" s="3496"/>
      <c r="B179" s="2884" t="str">
        <f t="shared" si="7"/>
        <v/>
      </c>
      <c r="C179" s="2898"/>
      <c r="D179" s="3497"/>
      <c r="E179" s="3498"/>
      <c r="F179" s="2898"/>
      <c r="G179" s="2884"/>
      <c r="H179" s="2884"/>
      <c r="I179" s="2884"/>
      <c r="J179" s="2884"/>
      <c r="K179" s="2884"/>
      <c r="L179" s="3499"/>
      <c r="M179" s="3494"/>
      <c r="N179" s="3500"/>
      <c r="Q179" s="3501"/>
    </row>
    <row r="180" spans="1:17" ht="58.6" customHeight="1">
      <c r="A180" s="3496"/>
      <c r="B180" s="2884" t="str">
        <f t="shared" si="7"/>
        <v/>
      </c>
      <c r="C180" s="2898"/>
      <c r="D180" s="3497"/>
      <c r="E180" s="3498"/>
      <c r="F180" s="2898"/>
      <c r="G180" s="2884"/>
      <c r="H180" s="2884"/>
      <c r="I180" s="2884"/>
      <c r="J180" s="2884"/>
      <c r="K180" s="2884"/>
      <c r="L180" s="3499"/>
      <c r="M180" s="3494"/>
      <c r="N180" s="3500"/>
      <c r="Q180" s="3501"/>
    </row>
    <row r="181" spans="1:17" ht="58.6" customHeight="1">
      <c r="A181" s="3496"/>
      <c r="B181" s="2884" t="str">
        <f t="shared" si="7"/>
        <v/>
      </c>
      <c r="C181" s="2898"/>
      <c r="D181" s="3497"/>
      <c r="E181" s="3498"/>
      <c r="F181" s="2898"/>
      <c r="G181" s="2884"/>
      <c r="H181" s="2884"/>
      <c r="I181" s="2884"/>
      <c r="J181" s="2884"/>
      <c r="K181" s="2884"/>
      <c r="L181" s="3499"/>
      <c r="M181" s="3494"/>
      <c r="N181" s="3500"/>
      <c r="Q181" s="3501"/>
    </row>
    <row r="182" spans="1:17" ht="58.6" customHeight="1">
      <c r="A182" s="3496"/>
      <c r="B182" s="2884" t="str">
        <f t="shared" si="7"/>
        <v/>
      </c>
      <c r="C182" s="2898"/>
      <c r="D182" s="3497"/>
      <c r="E182" s="3498"/>
      <c r="F182" s="2898"/>
      <c r="G182" s="2884"/>
      <c r="H182" s="2884"/>
      <c r="I182" s="2884"/>
      <c r="J182" s="2884"/>
      <c r="K182" s="2884"/>
      <c r="L182" s="3499"/>
      <c r="M182" s="3494"/>
      <c r="N182" s="3500"/>
      <c r="Q182" s="3501"/>
    </row>
    <row r="183" spans="1:17" ht="58.6" customHeight="1">
      <c r="A183" s="3496"/>
      <c r="B183" s="2884" t="str">
        <f t="shared" si="7"/>
        <v/>
      </c>
      <c r="C183" s="2898"/>
      <c r="D183" s="3497"/>
      <c r="E183" s="3498"/>
      <c r="F183" s="2898"/>
      <c r="G183" s="2884"/>
      <c r="H183" s="2884"/>
      <c r="I183" s="2884"/>
      <c r="J183" s="2884"/>
      <c r="K183" s="2884"/>
      <c r="L183" s="3499"/>
      <c r="M183" s="3494"/>
      <c r="N183" s="3500"/>
      <c r="Q183" s="3501"/>
    </row>
    <row r="184" spans="1:17" ht="58.6" customHeight="1">
      <c r="A184" s="3496"/>
      <c r="B184" s="2884" t="str">
        <f t="shared" si="7"/>
        <v/>
      </c>
      <c r="C184" s="2898"/>
      <c r="D184" s="3497"/>
      <c r="E184" s="3498"/>
      <c r="F184" s="2898"/>
      <c r="G184" s="2884"/>
      <c r="H184" s="2884"/>
      <c r="I184" s="2884"/>
      <c r="J184" s="2884"/>
      <c r="K184" s="2884"/>
      <c r="L184" s="3499"/>
      <c r="M184" s="3494"/>
      <c r="N184" s="3500"/>
      <c r="Q184" s="3501"/>
    </row>
    <row r="185" spans="1:17" ht="58.6" customHeight="1">
      <c r="A185" s="3496"/>
      <c r="B185" s="2884" t="str">
        <f t="shared" si="7"/>
        <v/>
      </c>
      <c r="C185" s="2898"/>
      <c r="D185" s="3497"/>
      <c r="E185" s="3498"/>
      <c r="F185" s="2898"/>
      <c r="G185" s="2884"/>
      <c r="H185" s="2884"/>
      <c r="I185" s="2884"/>
      <c r="J185" s="2884"/>
      <c r="K185" s="2884"/>
      <c r="L185" s="3499"/>
      <c r="M185" s="3494"/>
      <c r="N185" s="3500"/>
      <c r="Q185" s="3501"/>
    </row>
    <row r="186" spans="1:17" ht="58.6" customHeight="1">
      <c r="A186" s="3496"/>
      <c r="B186" s="2884" t="str">
        <f t="shared" si="7"/>
        <v/>
      </c>
      <c r="C186" s="2898"/>
      <c r="D186" s="3497"/>
      <c r="E186" s="3498"/>
      <c r="F186" s="2898"/>
      <c r="G186" s="2884"/>
      <c r="H186" s="2884"/>
      <c r="I186" s="2884"/>
      <c r="J186" s="2884"/>
      <c r="K186" s="2884"/>
      <c r="L186" s="3499"/>
      <c r="M186" s="3494"/>
      <c r="N186" s="3500"/>
      <c r="Q186" s="3501"/>
    </row>
    <row r="187" spans="1:17" ht="58.6" customHeight="1">
      <c r="A187" s="3496"/>
      <c r="B187" s="2884" t="str">
        <f t="shared" si="7"/>
        <v/>
      </c>
      <c r="C187" s="2898"/>
      <c r="D187" s="3497"/>
      <c r="E187" s="3498"/>
      <c r="F187" s="2898"/>
      <c r="G187" s="2884"/>
      <c r="H187" s="2884"/>
      <c r="I187" s="2884"/>
      <c r="J187" s="2884"/>
      <c r="K187" s="2884"/>
      <c r="L187" s="3499"/>
      <c r="M187" s="3494"/>
      <c r="N187" s="3500"/>
      <c r="Q187" s="3501"/>
    </row>
    <row r="188" spans="1:17" ht="58.6" customHeight="1">
      <c r="A188" s="3496"/>
      <c r="B188" s="2884" t="str">
        <f t="shared" si="7"/>
        <v/>
      </c>
      <c r="C188" s="2898"/>
      <c r="D188" s="3497"/>
      <c r="E188" s="3498"/>
      <c r="F188" s="2898"/>
      <c r="G188" s="2884"/>
      <c r="H188" s="2884"/>
      <c r="I188" s="2884"/>
      <c r="J188" s="2884"/>
      <c r="K188" s="2884"/>
      <c r="L188" s="3499"/>
      <c r="M188" s="3494"/>
      <c r="N188" s="3500"/>
      <c r="Q188" s="3501"/>
    </row>
    <row r="189" spans="1:17" ht="58.6" customHeight="1">
      <c r="A189" s="3496"/>
      <c r="B189" s="2884" t="str">
        <f t="shared" si="7"/>
        <v/>
      </c>
      <c r="C189" s="2898"/>
      <c r="D189" s="3497"/>
      <c r="E189" s="3498"/>
      <c r="F189" s="2898"/>
      <c r="G189" s="2884"/>
      <c r="H189" s="2884"/>
      <c r="I189" s="2884"/>
      <c r="J189" s="2884"/>
      <c r="K189" s="2884"/>
      <c r="L189" s="3499"/>
      <c r="M189" s="3494"/>
      <c r="N189" s="3500"/>
      <c r="Q189" s="3501"/>
    </row>
    <row r="190" spans="1:17" ht="58.6" customHeight="1">
      <c r="A190" s="3496"/>
      <c r="B190" s="2884" t="str">
        <f t="shared" si="7"/>
        <v/>
      </c>
      <c r="C190" s="2898"/>
      <c r="D190" s="3497"/>
      <c r="E190" s="3498"/>
      <c r="F190" s="2898"/>
      <c r="G190" s="2884"/>
      <c r="H190" s="2884"/>
      <c r="I190" s="2884"/>
      <c r="J190" s="2884"/>
      <c r="K190" s="2884"/>
      <c r="L190" s="3499"/>
      <c r="M190" s="3494"/>
      <c r="N190" s="3500"/>
      <c r="Q190" s="3501"/>
    </row>
    <row r="191" spans="1:17" ht="58.6" customHeight="1">
      <c r="A191" s="3496"/>
      <c r="B191" s="2884" t="str">
        <f t="shared" si="7"/>
        <v/>
      </c>
      <c r="C191" s="2898"/>
      <c r="D191" s="3497"/>
      <c r="E191" s="3498"/>
      <c r="F191" s="2898"/>
      <c r="G191" s="2884"/>
      <c r="H191" s="2884"/>
      <c r="I191" s="2884"/>
      <c r="J191" s="2884"/>
      <c r="K191" s="2884"/>
      <c r="L191" s="3499"/>
      <c r="M191" s="3494"/>
      <c r="N191" s="3500"/>
      <c r="Q191" s="3501"/>
    </row>
    <row r="192" spans="1:17" ht="58.6" customHeight="1">
      <c r="A192" s="3496"/>
      <c r="B192" s="2884" t="str">
        <f t="shared" si="7"/>
        <v/>
      </c>
      <c r="C192" s="2898"/>
      <c r="D192" s="3497"/>
      <c r="E192" s="3498"/>
      <c r="F192" s="2898"/>
      <c r="G192" s="2884"/>
      <c r="H192" s="2884"/>
      <c r="I192" s="2884"/>
      <c r="J192" s="2884"/>
      <c r="K192" s="2884"/>
      <c r="L192" s="3499"/>
      <c r="M192" s="3494"/>
      <c r="N192" s="3500"/>
      <c r="Q192" s="3501"/>
    </row>
    <row r="193" spans="1:17" ht="58.6" customHeight="1">
      <c r="A193" s="3496"/>
      <c r="B193" s="2884" t="str">
        <f t="shared" si="7"/>
        <v/>
      </c>
      <c r="C193" s="2898"/>
      <c r="D193" s="3497"/>
      <c r="E193" s="3498"/>
      <c r="F193" s="2898"/>
      <c r="G193" s="2884"/>
      <c r="H193" s="2884"/>
      <c r="I193" s="2884"/>
      <c r="J193" s="2884"/>
      <c r="K193" s="2884"/>
      <c r="L193" s="3499"/>
      <c r="M193" s="3494"/>
      <c r="N193" s="3500"/>
      <c r="Q193" s="3501"/>
    </row>
    <row r="194" spans="1:17" ht="58.6" customHeight="1">
      <c r="A194" s="3496"/>
      <c r="B194" s="2884" t="str">
        <f t="shared" si="7"/>
        <v/>
      </c>
      <c r="C194" s="2898"/>
      <c r="D194" s="3497"/>
      <c r="E194" s="3498"/>
      <c r="F194" s="2898"/>
      <c r="G194" s="2884"/>
      <c r="H194" s="2884"/>
      <c r="I194" s="2884"/>
      <c r="J194" s="2884"/>
      <c r="K194" s="2884"/>
      <c r="L194" s="3499"/>
      <c r="M194" s="3494"/>
      <c r="N194" s="3500"/>
      <c r="Q194" s="3501"/>
    </row>
    <row r="195" spans="1:17" ht="58.6" customHeight="1">
      <c r="A195" s="3496"/>
      <c r="B195" s="2884" t="str">
        <f t="shared" si="7"/>
        <v/>
      </c>
      <c r="C195" s="2898"/>
      <c r="D195" s="3497"/>
      <c r="E195" s="3498"/>
      <c r="F195" s="2898"/>
      <c r="G195" s="2884"/>
      <c r="H195" s="2884"/>
      <c r="I195" s="2884"/>
      <c r="J195" s="2884"/>
      <c r="K195" s="2884"/>
      <c r="L195" s="3499"/>
      <c r="M195" s="3494"/>
      <c r="N195" s="3500"/>
      <c r="Q195" s="3501"/>
    </row>
    <row r="196" spans="1:17" ht="58.6" customHeight="1">
      <c r="A196" s="3496"/>
      <c r="B196" s="2884" t="str">
        <f t="shared" si="7"/>
        <v/>
      </c>
      <c r="C196" s="2898"/>
      <c r="D196" s="3497"/>
      <c r="E196" s="3498"/>
      <c r="F196" s="2898"/>
      <c r="G196" s="2884"/>
      <c r="H196" s="2884"/>
      <c r="I196" s="2884"/>
      <c r="J196" s="2884"/>
      <c r="K196" s="2884"/>
      <c r="L196" s="3499"/>
      <c r="M196" s="3494"/>
      <c r="N196" s="3500"/>
      <c r="Q196" s="3501"/>
    </row>
    <row r="197" spans="1:17" ht="58.6" customHeight="1">
      <c r="A197" s="3496"/>
      <c r="B197" s="2884" t="str">
        <f t="shared" si="7"/>
        <v/>
      </c>
      <c r="C197" s="2898"/>
      <c r="D197" s="3497"/>
      <c r="E197" s="3498"/>
      <c r="F197" s="2898"/>
      <c r="G197" s="2884"/>
      <c r="H197" s="2884"/>
      <c r="I197" s="2884"/>
      <c r="J197" s="2884"/>
      <c r="K197" s="2884"/>
      <c r="L197" s="3499"/>
      <c r="M197" s="3494"/>
      <c r="N197" s="3500"/>
      <c r="Q197" s="3501"/>
    </row>
    <row r="198" spans="1:17" ht="58.6" customHeight="1">
      <c r="A198" s="3496"/>
      <c r="B198" s="2884" t="str">
        <f t="shared" si="7"/>
        <v/>
      </c>
      <c r="C198" s="2898"/>
      <c r="D198" s="3497"/>
      <c r="E198" s="3498"/>
      <c r="F198" s="2898"/>
      <c r="G198" s="2884"/>
      <c r="H198" s="2884"/>
      <c r="I198" s="2884"/>
      <c r="J198" s="2884"/>
      <c r="K198" s="2884"/>
      <c r="L198" s="3499"/>
      <c r="M198" s="3494"/>
      <c r="N198" s="3500"/>
      <c r="Q198" s="3501"/>
    </row>
    <row r="199" spans="1:17" ht="58.6" customHeight="1">
      <c r="A199" s="3496"/>
      <c r="B199" s="2884" t="str">
        <f t="shared" si="7"/>
        <v/>
      </c>
      <c r="C199" s="2898"/>
      <c r="D199" s="3497"/>
      <c r="E199" s="3498"/>
      <c r="F199" s="2898"/>
      <c r="G199" s="2884"/>
      <c r="H199" s="2884"/>
      <c r="I199" s="2884"/>
      <c r="J199" s="2884"/>
      <c r="K199" s="2884"/>
      <c r="L199" s="3499"/>
      <c r="M199" s="3494"/>
      <c r="N199" s="3500"/>
      <c r="Q199" s="3501"/>
    </row>
    <row r="200" spans="1:17" ht="58.6" customHeight="1">
      <c r="A200" s="3496"/>
      <c r="B200" s="2884" t="str">
        <f t="shared" si="7"/>
        <v/>
      </c>
      <c r="C200" s="2898"/>
      <c r="D200" s="3497"/>
      <c r="E200" s="3498"/>
      <c r="F200" s="2898"/>
      <c r="G200" s="2884"/>
      <c r="H200" s="2884"/>
      <c r="I200" s="2884"/>
      <c r="J200" s="2884"/>
      <c r="K200" s="2884"/>
      <c r="L200" s="3499"/>
      <c r="M200" s="3494"/>
      <c r="N200" s="3500"/>
      <c r="Q200" s="3501"/>
    </row>
    <row r="201" spans="1:17" ht="58.6" customHeight="1">
      <c r="A201" s="3496"/>
      <c r="B201" s="2884" t="str">
        <f t="shared" si="7"/>
        <v/>
      </c>
      <c r="C201" s="2898"/>
      <c r="D201" s="3497"/>
      <c r="E201" s="3498"/>
      <c r="F201" s="2898"/>
      <c r="G201" s="2884"/>
      <c r="H201" s="2884"/>
      <c r="I201" s="2884"/>
      <c r="J201" s="2884"/>
      <c r="K201" s="2884"/>
      <c r="L201" s="3499"/>
      <c r="M201" s="3494"/>
      <c r="N201" s="3500"/>
      <c r="Q201" s="3501"/>
    </row>
    <row r="202" spans="1:17" ht="58.6" customHeight="1">
      <c r="A202" s="3496"/>
      <c r="B202" s="2884" t="str">
        <f t="shared" si="7"/>
        <v/>
      </c>
      <c r="C202" s="2898"/>
      <c r="D202" s="3497"/>
      <c r="E202" s="3498"/>
      <c r="F202" s="2898"/>
      <c r="G202" s="2884"/>
      <c r="H202" s="2884"/>
      <c r="I202" s="2884"/>
      <c r="J202" s="2884"/>
      <c r="K202" s="2884"/>
      <c r="L202" s="3499"/>
      <c r="M202" s="3494"/>
      <c r="N202" s="3500"/>
      <c r="Q202" s="3501"/>
    </row>
    <row r="203" spans="1:17" ht="58.6" customHeight="1">
      <c r="A203" s="3496"/>
      <c r="B203" s="2884" t="str">
        <f t="shared" si="7"/>
        <v/>
      </c>
      <c r="C203" s="2898"/>
      <c r="D203" s="3497"/>
      <c r="E203" s="3498"/>
      <c r="F203" s="2898"/>
      <c r="G203" s="2884"/>
      <c r="H203" s="2884"/>
      <c r="I203" s="2884"/>
      <c r="J203" s="2884"/>
      <c r="K203" s="2884"/>
      <c r="L203" s="3499"/>
      <c r="M203" s="3494"/>
      <c r="N203" s="3500"/>
      <c r="Q203" s="3501"/>
    </row>
    <row r="204" spans="1:17" ht="58.6" customHeight="1">
      <c r="A204" s="3496"/>
      <c r="B204" s="2884" t="str">
        <f t="shared" si="7"/>
        <v/>
      </c>
      <c r="C204" s="2898"/>
      <c r="D204" s="3497"/>
      <c r="E204" s="3498"/>
      <c r="F204" s="2898"/>
      <c r="G204" s="2884"/>
      <c r="H204" s="2884"/>
      <c r="I204" s="2884"/>
      <c r="J204" s="2884"/>
      <c r="K204" s="2884"/>
      <c r="L204" s="3499"/>
      <c r="M204" s="3494"/>
      <c r="N204" s="3500"/>
      <c r="Q204" s="3501"/>
    </row>
    <row r="205" spans="1:17" ht="58.6" customHeight="1">
      <c r="A205" s="3496"/>
      <c r="B205" s="2884" t="str">
        <f t="shared" si="7"/>
        <v/>
      </c>
      <c r="C205" s="2898"/>
      <c r="D205" s="3497"/>
      <c r="E205" s="3498"/>
      <c r="F205" s="2898"/>
      <c r="G205" s="2884"/>
      <c r="H205" s="2884"/>
      <c r="I205" s="2884"/>
      <c r="J205" s="2884"/>
      <c r="K205" s="2884"/>
      <c r="L205" s="3499"/>
      <c r="M205" s="3494"/>
      <c r="N205" s="3500"/>
      <c r="Q205" s="3501"/>
    </row>
    <row r="206" spans="1:17" ht="58.6" customHeight="1">
      <c r="A206" s="3496"/>
      <c r="B206" s="2884" t="str">
        <f t="shared" si="7"/>
        <v/>
      </c>
      <c r="C206" s="2898"/>
      <c r="D206" s="3497"/>
      <c r="E206" s="3498"/>
      <c r="F206" s="2898"/>
      <c r="G206" s="2884"/>
      <c r="H206" s="2884"/>
      <c r="I206" s="2884"/>
      <c r="J206" s="2884"/>
      <c r="K206" s="2884"/>
      <c r="L206" s="3499"/>
      <c r="M206" s="3494"/>
      <c r="N206" s="3500"/>
      <c r="Q206" s="3501"/>
    </row>
    <row r="207" spans="1:17" ht="58.6" customHeight="1">
      <c r="A207" s="3496"/>
      <c r="B207" s="2884" t="str">
        <f t="shared" si="7"/>
        <v/>
      </c>
      <c r="C207" s="2898"/>
      <c r="D207" s="3497"/>
      <c r="E207" s="3498"/>
      <c r="F207" s="2898"/>
      <c r="G207" s="2884"/>
      <c r="H207" s="2884"/>
      <c r="I207" s="2884"/>
      <c r="J207" s="2884"/>
      <c r="K207" s="2884"/>
      <c r="L207" s="3499"/>
      <c r="M207" s="3494"/>
      <c r="N207" s="3500"/>
      <c r="Q207" s="3501"/>
    </row>
    <row r="208" spans="1:17" ht="58.6" customHeight="1">
      <c r="A208" s="3496"/>
      <c r="B208" s="2884" t="str">
        <f t="shared" si="7"/>
        <v/>
      </c>
      <c r="C208" s="2898"/>
      <c r="D208" s="3497"/>
      <c r="E208" s="3498"/>
      <c r="F208" s="2898"/>
      <c r="G208" s="2884"/>
      <c r="H208" s="2884"/>
      <c r="I208" s="2884"/>
      <c r="J208" s="2884"/>
      <c r="K208" s="2884"/>
      <c r="L208" s="3499"/>
      <c r="M208" s="3494"/>
      <c r="N208" s="3500"/>
      <c r="Q208" s="3501"/>
    </row>
    <row r="209" spans="1:17" ht="58.6" customHeight="1">
      <c r="A209" s="3496"/>
      <c r="B209" s="2884" t="str">
        <f t="shared" si="7"/>
        <v/>
      </c>
      <c r="C209" s="2898"/>
      <c r="D209" s="3497"/>
      <c r="E209" s="3498"/>
      <c r="F209" s="2898"/>
      <c r="G209" s="2884"/>
      <c r="H209" s="2884"/>
      <c r="I209" s="2884"/>
      <c r="J209" s="2884"/>
      <c r="K209" s="2884"/>
      <c r="L209" s="3499"/>
      <c r="M209" s="3494"/>
      <c r="N209" s="3500"/>
      <c r="Q209" s="3501"/>
    </row>
    <row r="210" spans="1:17" ht="58.6" customHeight="1">
      <c r="A210" s="3496"/>
      <c r="B210" s="2884" t="str">
        <f t="shared" si="7"/>
        <v/>
      </c>
      <c r="C210" s="2898"/>
      <c r="D210" s="3497"/>
      <c r="E210" s="3498"/>
      <c r="F210" s="2898"/>
      <c r="G210" s="2884"/>
      <c r="H210" s="2884"/>
      <c r="I210" s="2884"/>
      <c r="J210" s="2884"/>
      <c r="K210" s="2884"/>
      <c r="L210" s="3499"/>
      <c r="M210" s="3494"/>
      <c r="N210" s="3500"/>
      <c r="Q210" s="3501"/>
    </row>
    <row r="211" spans="1:17" ht="58.6" customHeight="1">
      <c r="A211" s="3496"/>
      <c r="B211" s="2884" t="str">
        <f t="shared" si="7"/>
        <v/>
      </c>
      <c r="C211" s="2898"/>
      <c r="D211" s="3497"/>
      <c r="E211" s="3498"/>
      <c r="F211" s="2898"/>
      <c r="G211" s="2884"/>
      <c r="H211" s="2884"/>
      <c r="I211" s="2884"/>
      <c r="J211" s="2884"/>
      <c r="K211" s="2884"/>
      <c r="L211" s="3499"/>
      <c r="M211" s="3494"/>
      <c r="N211" s="3500"/>
      <c r="Q211" s="3501"/>
    </row>
    <row r="212" spans="1:17" ht="58.6" customHeight="1">
      <c r="A212" s="3496"/>
      <c r="B212" s="2884" t="str">
        <f t="shared" si="7"/>
        <v/>
      </c>
      <c r="C212" s="2898"/>
      <c r="D212" s="3497"/>
      <c r="E212" s="3498"/>
      <c r="F212" s="2898"/>
      <c r="G212" s="2884"/>
      <c r="H212" s="2884"/>
      <c r="I212" s="2884"/>
      <c r="J212" s="2884"/>
      <c r="K212" s="2884"/>
      <c r="L212" s="3499"/>
      <c r="M212" s="3494"/>
      <c r="N212" s="3500"/>
      <c r="Q212" s="3501"/>
    </row>
    <row r="213" spans="1:17" ht="58.6" customHeight="1">
      <c r="A213" s="3496"/>
      <c r="B213" s="2884" t="str">
        <f t="shared" si="7"/>
        <v/>
      </c>
      <c r="C213" s="2898"/>
      <c r="D213" s="3497"/>
      <c r="E213" s="3498"/>
      <c r="F213" s="2898"/>
      <c r="G213" s="2884"/>
      <c r="H213" s="2884"/>
      <c r="I213" s="2884"/>
      <c r="J213" s="2884"/>
      <c r="K213" s="2884"/>
      <c r="L213" s="3499"/>
      <c r="M213" s="3494"/>
      <c r="N213" s="3500"/>
      <c r="Q213" s="3501"/>
    </row>
    <row r="214" spans="1:17" ht="58.6" customHeight="1">
      <c r="A214" s="3496"/>
      <c r="B214" s="2884" t="str">
        <f t="shared" si="7"/>
        <v/>
      </c>
      <c r="C214" s="2898"/>
      <c r="D214" s="3497"/>
      <c r="E214" s="3498"/>
      <c r="F214" s="2898"/>
      <c r="G214" s="2884"/>
      <c r="H214" s="2884"/>
      <c r="I214" s="2884"/>
      <c r="J214" s="2884"/>
      <c r="K214" s="2884"/>
      <c r="L214" s="3499"/>
      <c r="M214" s="3494"/>
      <c r="N214" s="3500"/>
      <c r="Q214" s="3501"/>
    </row>
    <row r="215" spans="1:17" ht="58.6" customHeight="1">
      <c r="A215" s="3496"/>
      <c r="B215" s="2884" t="str">
        <f t="shared" si="7"/>
        <v/>
      </c>
      <c r="C215" s="2898"/>
      <c r="D215" s="3497"/>
      <c r="E215" s="3498"/>
      <c r="F215" s="2898"/>
      <c r="G215" s="2884"/>
      <c r="H215" s="2884"/>
      <c r="I215" s="2884"/>
      <c r="J215" s="2884"/>
      <c r="K215" s="2884"/>
      <c r="L215" s="3499"/>
      <c r="M215" s="3494"/>
      <c r="N215" s="3500"/>
      <c r="Q215" s="3501"/>
    </row>
    <row r="216" spans="1:17" ht="58.6" customHeight="1">
      <c r="A216" s="3496"/>
      <c r="B216" s="2884" t="str">
        <f t="shared" si="7"/>
        <v/>
      </c>
      <c r="C216" s="2898"/>
      <c r="D216" s="3497"/>
      <c r="E216" s="3498"/>
      <c r="F216" s="2898"/>
      <c r="G216" s="2884"/>
      <c r="H216" s="2884"/>
      <c r="I216" s="2884"/>
      <c r="J216" s="2884"/>
      <c r="K216" s="2884"/>
      <c r="L216" s="3499"/>
      <c r="M216" s="3494"/>
      <c r="N216" s="3500"/>
      <c r="Q216" s="3501"/>
    </row>
    <row r="217" spans="1:17" ht="58.6" customHeight="1">
      <c r="A217" s="3496"/>
      <c r="B217" s="2884" t="str">
        <f t="shared" si="7"/>
        <v/>
      </c>
      <c r="C217" s="2898"/>
      <c r="D217" s="3497"/>
      <c r="E217" s="3498"/>
      <c r="F217" s="2898"/>
      <c r="G217" s="2884"/>
      <c r="H217" s="2884"/>
      <c r="I217" s="2884"/>
      <c r="J217" s="2884"/>
      <c r="K217" s="2884"/>
      <c r="L217" s="3499"/>
      <c r="M217" s="3494"/>
      <c r="N217" s="3500"/>
      <c r="Q217" s="3501"/>
    </row>
    <row r="218" spans="1:17" ht="58.6" customHeight="1">
      <c r="A218" s="3496"/>
      <c r="B218" s="2884" t="str">
        <f t="shared" si="7"/>
        <v/>
      </c>
      <c r="C218" s="2898"/>
      <c r="D218" s="3497"/>
      <c r="E218" s="3498"/>
      <c r="F218" s="2898"/>
      <c r="G218" s="2884"/>
      <c r="H218" s="2884"/>
      <c r="I218" s="2884"/>
      <c r="J218" s="2884"/>
      <c r="K218" s="2884"/>
      <c r="L218" s="3499"/>
      <c r="M218" s="3494"/>
      <c r="N218" s="3500"/>
      <c r="Q218" s="3501"/>
    </row>
    <row r="219" spans="1:17" ht="58.6" customHeight="1">
      <c r="A219" s="3496"/>
      <c r="B219" s="2884" t="str">
        <f t="shared" si="7"/>
        <v/>
      </c>
      <c r="C219" s="2898"/>
      <c r="D219" s="3497"/>
      <c r="E219" s="3498"/>
      <c r="F219" s="2898"/>
      <c r="G219" s="2884"/>
      <c r="H219" s="2884"/>
      <c r="I219" s="2884"/>
      <c r="J219" s="2884"/>
      <c r="K219" s="2884"/>
      <c r="L219" s="3499"/>
      <c r="M219" s="3494"/>
      <c r="N219" s="3500"/>
      <c r="Q219" s="3501"/>
    </row>
    <row r="220" spans="1:17" ht="58.6" customHeight="1">
      <c r="A220" s="3496"/>
      <c r="B220" s="2884" t="str">
        <f t="shared" si="7"/>
        <v/>
      </c>
      <c r="C220" s="2898"/>
      <c r="D220" s="3497"/>
      <c r="E220" s="3498"/>
      <c r="F220" s="2898"/>
      <c r="G220" s="2884"/>
      <c r="H220" s="2884"/>
      <c r="I220" s="2884"/>
      <c r="J220" s="2884"/>
      <c r="K220" s="2884"/>
      <c r="L220" s="3499"/>
      <c r="M220" s="3494"/>
      <c r="N220" s="3500"/>
      <c r="Q220" s="3501"/>
    </row>
    <row r="221" spans="1:17" ht="58.6" customHeight="1">
      <c r="A221" s="3496"/>
      <c r="B221" s="2884" t="str">
        <f t="shared" si="7"/>
        <v/>
      </c>
      <c r="C221" s="2898"/>
      <c r="D221" s="3497"/>
      <c r="E221" s="3498"/>
      <c r="F221" s="2898"/>
      <c r="G221" s="2884"/>
      <c r="H221" s="2884"/>
      <c r="I221" s="2884"/>
      <c r="J221" s="2884"/>
      <c r="K221" s="2884"/>
      <c r="L221" s="3499"/>
      <c r="M221" s="3494"/>
      <c r="N221" s="3500"/>
      <c r="Q221" s="3501"/>
    </row>
    <row r="222" spans="1:17" ht="58.6" customHeight="1">
      <c r="A222" s="3496"/>
      <c r="B222" s="2884" t="str">
        <f t="shared" si="7"/>
        <v/>
      </c>
      <c r="C222" s="2898"/>
      <c r="D222" s="3497"/>
      <c r="E222" s="3498"/>
      <c r="F222" s="2898"/>
      <c r="G222" s="2884"/>
      <c r="H222" s="2884"/>
      <c r="I222" s="2884"/>
      <c r="J222" s="2884"/>
      <c r="K222" s="2884"/>
      <c r="L222" s="3499"/>
      <c r="M222" s="3494"/>
      <c r="N222" s="3500"/>
      <c r="Q222" s="3501"/>
    </row>
    <row r="223" spans="1:17" ht="58.6" customHeight="1">
      <c r="A223" s="3496"/>
      <c r="B223" s="2884" t="str">
        <f t="shared" si="7"/>
        <v/>
      </c>
      <c r="C223" s="2898"/>
      <c r="D223" s="3497"/>
      <c r="E223" s="3498"/>
      <c r="F223" s="2898"/>
      <c r="G223" s="2884"/>
      <c r="H223" s="2884"/>
      <c r="I223" s="2884"/>
      <c r="J223" s="2884"/>
      <c r="K223" s="2884"/>
      <c r="L223" s="3499"/>
      <c r="M223" s="3494"/>
      <c r="N223" s="3500"/>
      <c r="Q223" s="3501"/>
    </row>
    <row r="224" spans="1:17" ht="58.6" customHeight="1">
      <c r="A224" s="3496"/>
      <c r="B224" s="2884" t="str">
        <f t="shared" si="7"/>
        <v/>
      </c>
      <c r="C224" s="2898"/>
      <c r="D224" s="3497"/>
      <c r="E224" s="3498"/>
      <c r="F224" s="2898"/>
      <c r="G224" s="2884"/>
      <c r="H224" s="2884"/>
      <c r="I224" s="2884"/>
      <c r="J224" s="2884"/>
      <c r="K224" s="2884"/>
      <c r="L224" s="3499"/>
      <c r="M224" s="3494"/>
      <c r="N224" s="3500"/>
      <c r="Q224" s="3501"/>
    </row>
    <row r="225" spans="1:17" ht="58.6" customHeight="1">
      <c r="A225" s="3496"/>
      <c r="B225" s="2884" t="str">
        <f t="shared" si="7"/>
        <v/>
      </c>
      <c r="C225" s="2898"/>
      <c r="D225" s="3497"/>
      <c r="E225" s="3498"/>
      <c r="F225" s="2898"/>
      <c r="G225" s="2884"/>
      <c r="H225" s="2884"/>
      <c r="I225" s="2884"/>
      <c r="J225" s="2884"/>
      <c r="K225" s="2884"/>
      <c r="L225" s="3499"/>
      <c r="M225" s="3494"/>
      <c r="N225" s="3500"/>
      <c r="Q225" s="3501"/>
    </row>
    <row r="226" spans="1:17" ht="58.6" customHeight="1">
      <c r="A226" s="3496"/>
      <c r="B226" s="2884" t="str">
        <f t="shared" si="7"/>
        <v/>
      </c>
      <c r="C226" s="2898"/>
      <c r="D226" s="3497"/>
      <c r="E226" s="3498"/>
      <c r="F226" s="2898"/>
      <c r="G226" s="2884"/>
      <c r="H226" s="2884"/>
      <c r="I226" s="2884"/>
      <c r="J226" s="2884"/>
      <c r="K226" s="2884"/>
      <c r="L226" s="3499"/>
      <c r="M226" s="3494"/>
      <c r="N226" s="3500"/>
      <c r="Q226" s="3501"/>
    </row>
    <row r="227" spans="1:17" ht="58.6" customHeight="1">
      <c r="A227" s="3496"/>
      <c r="B227" s="2884" t="str">
        <f t="shared" si="7"/>
        <v/>
      </c>
      <c r="C227" s="2898"/>
      <c r="D227" s="3497"/>
      <c r="E227" s="3498"/>
      <c r="F227" s="2898"/>
      <c r="G227" s="2884"/>
      <c r="H227" s="2884"/>
      <c r="I227" s="2884"/>
      <c r="J227" s="2884"/>
      <c r="K227" s="2884"/>
      <c r="L227" s="3499"/>
      <c r="M227" s="3494"/>
      <c r="N227" s="3500"/>
      <c r="Q227" s="3501"/>
    </row>
    <row r="228" spans="1:17" ht="58.6" customHeight="1">
      <c r="A228" s="3496"/>
      <c r="B228" s="2884" t="str">
        <f t="shared" si="7"/>
        <v/>
      </c>
      <c r="C228" s="2898"/>
      <c r="D228" s="3497"/>
      <c r="E228" s="3498"/>
      <c r="F228" s="2898"/>
      <c r="G228" s="2884"/>
      <c r="H228" s="2884"/>
      <c r="I228" s="2884"/>
      <c r="J228" s="2884"/>
      <c r="K228" s="2884"/>
      <c r="L228" s="3499"/>
      <c r="M228" s="3494"/>
      <c r="N228" s="3500"/>
      <c r="Q228" s="3501"/>
    </row>
    <row r="229" spans="1:17" ht="58.6" customHeight="1">
      <c r="A229" s="3496"/>
      <c r="B229" s="2884" t="str">
        <f t="shared" si="7"/>
        <v/>
      </c>
      <c r="C229" s="2898"/>
      <c r="D229" s="3497"/>
      <c r="E229" s="3498"/>
      <c r="F229" s="2898"/>
      <c r="G229" s="2884"/>
      <c r="H229" s="2884"/>
      <c r="I229" s="2884"/>
      <c r="J229" s="2884"/>
      <c r="K229" s="2884"/>
      <c r="L229" s="3499"/>
      <c r="M229" s="3494"/>
      <c r="N229" s="3500"/>
      <c r="Q229" s="3501"/>
    </row>
    <row r="230" spans="1:17" ht="58.6" customHeight="1">
      <c r="A230" s="3496"/>
      <c r="B230" s="2884" t="str">
        <f t="shared" si="7"/>
        <v/>
      </c>
      <c r="C230" s="2898"/>
      <c r="D230" s="3497"/>
      <c r="E230" s="3498"/>
      <c r="F230" s="2898"/>
      <c r="G230" s="2884"/>
      <c r="H230" s="2884"/>
      <c r="I230" s="2884"/>
      <c r="J230" s="2884"/>
      <c r="K230" s="2884"/>
      <c r="L230" s="3499"/>
      <c r="M230" s="3494"/>
      <c r="N230" s="3500"/>
      <c r="Q230" s="3501"/>
    </row>
    <row r="231" spans="1:17" ht="58.6" customHeight="1">
      <c r="A231" s="3496"/>
      <c r="B231" s="2884" t="str">
        <f t="shared" ref="B231:B238" si="8">TEXT(LEFT(L231,10),"0000000000")</f>
        <v/>
      </c>
      <c r="C231" s="2898"/>
      <c r="D231" s="3497"/>
      <c r="E231" s="3498"/>
      <c r="F231" s="2898"/>
      <c r="G231" s="2884"/>
      <c r="H231" s="2884"/>
      <c r="I231" s="2884"/>
      <c r="J231" s="2884"/>
      <c r="K231" s="2884"/>
      <c r="L231" s="3499"/>
      <c r="M231" s="3494"/>
      <c r="N231" s="3500"/>
      <c r="Q231" s="3501"/>
    </row>
    <row r="232" spans="1:17" ht="58.6" customHeight="1">
      <c r="A232" s="3496"/>
      <c r="B232" s="2884" t="str">
        <f t="shared" si="8"/>
        <v/>
      </c>
      <c r="C232" s="2898"/>
      <c r="D232" s="3497"/>
      <c r="E232" s="3498"/>
      <c r="F232" s="2898"/>
      <c r="G232" s="2884"/>
      <c r="H232" s="2884"/>
      <c r="I232" s="2884"/>
      <c r="J232" s="2884"/>
      <c r="K232" s="2884"/>
      <c r="L232" s="3499"/>
      <c r="M232" s="3494"/>
      <c r="N232" s="3500"/>
      <c r="Q232" s="3501"/>
    </row>
    <row r="233" spans="1:17" ht="58.6" customHeight="1">
      <c r="A233" s="3496"/>
      <c r="B233" s="2884" t="str">
        <f t="shared" si="8"/>
        <v/>
      </c>
      <c r="C233" s="2898"/>
      <c r="D233" s="3497"/>
      <c r="E233" s="3498"/>
      <c r="F233" s="2898"/>
      <c r="G233" s="2884"/>
      <c r="H233" s="2884"/>
      <c r="I233" s="2884"/>
      <c r="J233" s="2884"/>
      <c r="K233" s="2884"/>
      <c r="L233" s="3499"/>
      <c r="M233" s="3494"/>
      <c r="N233" s="3500"/>
      <c r="Q233" s="3501"/>
    </row>
    <row r="234" spans="1:17" ht="58.6" customHeight="1">
      <c r="A234" s="3496"/>
      <c r="B234" s="2884" t="str">
        <f t="shared" si="8"/>
        <v/>
      </c>
      <c r="C234" s="2898"/>
      <c r="D234" s="3497"/>
      <c r="E234" s="3498"/>
      <c r="F234" s="2898"/>
      <c r="G234" s="2884"/>
      <c r="H234" s="2884"/>
      <c r="I234" s="2884"/>
      <c r="J234" s="2884"/>
      <c r="K234" s="2884"/>
      <c r="L234" s="3499"/>
      <c r="M234" s="3494"/>
      <c r="N234" s="3500"/>
      <c r="Q234" s="3501"/>
    </row>
    <row r="235" spans="1:17" ht="58.6" customHeight="1">
      <c r="A235" s="3496"/>
      <c r="B235" s="2884" t="str">
        <f t="shared" si="8"/>
        <v/>
      </c>
      <c r="C235" s="2898"/>
      <c r="D235" s="3497"/>
      <c r="E235" s="3498"/>
      <c r="F235" s="2898"/>
      <c r="G235" s="2884"/>
      <c r="H235" s="2884"/>
      <c r="I235" s="2884"/>
      <c r="J235" s="2884"/>
      <c r="K235" s="2884"/>
      <c r="L235" s="3499"/>
      <c r="M235" s="3494"/>
      <c r="N235" s="3500"/>
      <c r="Q235" s="3501"/>
    </row>
    <row r="236" spans="1:17" ht="58.6" customHeight="1">
      <c r="A236" s="3496"/>
      <c r="B236" s="2884" t="str">
        <f t="shared" si="8"/>
        <v/>
      </c>
      <c r="C236" s="2898"/>
      <c r="D236" s="3497"/>
      <c r="E236" s="3498"/>
      <c r="F236" s="2898"/>
      <c r="G236" s="2884"/>
      <c r="H236" s="2884"/>
      <c r="I236" s="2884"/>
      <c r="J236" s="2884"/>
      <c r="K236" s="2884"/>
      <c r="L236" s="3499"/>
      <c r="M236" s="3494"/>
      <c r="N236" s="3500"/>
      <c r="Q236" s="3501"/>
    </row>
    <row r="237" spans="1:17" ht="58.6" customHeight="1">
      <c r="A237" s="3496"/>
      <c r="B237" s="2884" t="str">
        <f t="shared" si="8"/>
        <v/>
      </c>
      <c r="C237" s="2898"/>
      <c r="D237" s="3497"/>
      <c r="E237" s="3498"/>
      <c r="F237" s="2898"/>
      <c r="G237" s="2884"/>
      <c r="H237" s="2884"/>
      <c r="I237" s="2884"/>
      <c r="J237" s="2884"/>
      <c r="K237" s="2884"/>
      <c r="L237" s="3499"/>
      <c r="M237" s="3494"/>
      <c r="N237" s="3500"/>
      <c r="Q237" s="3501"/>
    </row>
    <row r="238" spans="1:17" ht="58.6" customHeight="1">
      <c r="A238" s="3496"/>
      <c r="B238" s="2884" t="str">
        <f t="shared" si="8"/>
        <v/>
      </c>
      <c r="C238" s="2898"/>
      <c r="D238" s="3497"/>
      <c r="E238" s="3498"/>
      <c r="F238" s="2898"/>
      <c r="G238" s="2884"/>
      <c r="H238" s="2884"/>
      <c r="I238" s="2884"/>
      <c r="J238" s="2884"/>
      <c r="K238" s="2884"/>
      <c r="L238" s="3499"/>
      <c r="M238" s="3494"/>
      <c r="N238" s="3500"/>
      <c r="Q238" s="3501"/>
    </row>
    <row r="239" spans="1:17" ht="58.6" customHeight="1">
      <c r="A239" s="3496"/>
      <c r="B239" s="2884"/>
      <c r="C239" s="2898"/>
      <c r="D239" s="3497"/>
      <c r="E239" s="3498"/>
      <c r="F239" s="2898"/>
      <c r="G239" s="2884"/>
      <c r="H239" s="2884"/>
      <c r="I239" s="2884"/>
      <c r="J239" s="2884"/>
      <c r="K239" s="2884"/>
      <c r="L239" s="3499"/>
      <c r="M239" s="3494"/>
      <c r="N239" s="3500"/>
      <c r="Q239" s="3501"/>
    </row>
    <row r="240" spans="1:17" ht="58.6" customHeight="1">
      <c r="B240" s="2884"/>
      <c r="K240" s="2884"/>
    </row>
    <row r="241" spans="2:14" ht="58.6" customHeight="1">
      <c r="B241" s="2884"/>
      <c r="K241" s="2884"/>
      <c r="N241" s="109"/>
    </row>
    <row r="242" spans="2:14" ht="58.6" customHeight="1">
      <c r="B242" s="2884"/>
      <c r="I242" s="2884"/>
    </row>
    <row r="243" spans="2:14" ht="58.6" customHeight="1">
      <c r="B243" s="2884"/>
      <c r="I243" s="2884"/>
      <c r="N243" s="109"/>
    </row>
    <row r="244" spans="2:14" ht="58.6" customHeight="1">
      <c r="B244" s="2884"/>
      <c r="I244" s="2884"/>
      <c r="N244" s="109"/>
    </row>
    <row r="245" spans="2:14" ht="58.6" customHeight="1">
      <c r="B245" s="2884"/>
      <c r="I245" s="2884"/>
      <c r="L245" s="696"/>
    </row>
    <row r="246" spans="2:14" ht="58.6" customHeight="1">
      <c r="B246" s="2884"/>
    </row>
    <row r="247" spans="2:14" ht="58.6" customHeight="1">
      <c r="B247" s="2884"/>
    </row>
  </sheetData>
  <autoFilter ref="A3:AI247" xr:uid="{DD385387-0778-406B-BE47-1387A6C4D5B5}"/>
  <mergeCells count="3">
    <mergeCell ref="A1:Q1"/>
    <mergeCell ref="A2:C2"/>
    <mergeCell ref="S2:V2"/>
  </mergeCells>
  <conditionalFormatting sqref="B1:B77 B80:B1048576">
    <cfRule type="duplicateValues" dxfId="360" priority="2"/>
  </conditionalFormatting>
  <conditionalFormatting sqref="B78:B79">
    <cfRule type="duplicateValues" dxfId="359" priority="1"/>
  </conditionalFormatting>
  <conditionalFormatting sqref="C91">
    <cfRule type="duplicateValues" dxfId="358" priority="17"/>
  </conditionalFormatting>
  <conditionalFormatting sqref="L21:L23">
    <cfRule type="containsText" dxfId="357" priority="6" operator="containsText" text="Chưa chốt cơ cấu">
      <formula>NOT(ISERROR(SEARCH("Chưa chốt cơ cấu",L21)))</formula>
    </cfRule>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filterMode="1">
    <tabColor rgb="FFFFC000"/>
    <pageSetUpPr fitToPage="1"/>
  </sheetPr>
  <dimension ref="A1:AI263"/>
  <sheetViews>
    <sheetView tabSelected="1" zoomScale="70" zoomScaleNormal="70" workbookViewId="0">
      <pane xSplit="5" ySplit="3" topLeftCell="L4" activePane="bottomRight" state="frozen"/>
      <selection pane="topRight"/>
      <selection pane="bottomLeft"/>
      <selection pane="bottomRight" activeCell="C42" sqref="C42"/>
    </sheetView>
  </sheetViews>
  <sheetFormatPr defaultColWidth="32.125" defaultRowHeight="58.6" customHeight="1"/>
  <cols>
    <col min="1" max="1" width="8.125" style="738" customWidth="1"/>
    <col min="2" max="2" width="27.625" style="102" customWidth="1"/>
    <col min="3" max="3" width="35.75" style="102" customWidth="1"/>
    <col min="4" max="4" width="17.375" style="2513" customWidth="1"/>
    <col min="5" max="5" width="19" style="109" customWidth="1"/>
    <col min="6" max="6" width="27.75" style="102" customWidth="1"/>
    <col min="7" max="7" width="19.375" style="109" customWidth="1"/>
    <col min="8" max="8" width="19.125" style="109" customWidth="1"/>
    <col min="9" max="9" width="27.875" style="109" customWidth="1"/>
    <col min="10" max="10" width="32.125" style="109" customWidth="1"/>
    <col min="11" max="11" width="27.375" style="109" customWidth="1"/>
    <col min="12" max="12" width="102.125" style="143" customWidth="1"/>
    <col min="13" max="13" width="25.625" style="2216" customWidth="1"/>
    <col min="14" max="14" width="57.875" style="102" customWidth="1"/>
    <col min="15" max="15" width="23.125" style="102" customWidth="1"/>
    <col min="16" max="16" width="76.875" style="2389" customWidth="1"/>
    <col min="17" max="17" width="45.125" style="3144" customWidth="1"/>
    <col min="18" max="16384" width="32.125" style="1777"/>
  </cols>
  <sheetData>
    <row r="1" spans="1:35" ht="74.25" customHeight="1">
      <c r="A1" s="3836" t="s">
        <v>7473</v>
      </c>
      <c r="B1" s="3837"/>
      <c r="C1" s="3837"/>
      <c r="D1" s="3837"/>
      <c r="E1" s="3837"/>
      <c r="F1" s="3837"/>
      <c r="G1" s="3837"/>
      <c r="H1" s="3837"/>
      <c r="I1" s="3837"/>
      <c r="J1" s="3837"/>
      <c r="K1" s="3837"/>
      <c r="L1" s="3837"/>
      <c r="M1" s="3837"/>
      <c r="N1" s="3837"/>
      <c r="O1" s="3837"/>
      <c r="P1" s="3837"/>
      <c r="Q1" s="3838"/>
    </row>
    <row r="2" spans="1:35" s="3345" customFormat="1" ht="58.6" customHeight="1">
      <c r="A2" s="3839" t="s">
        <v>5208</v>
      </c>
      <c r="B2" s="3839"/>
      <c r="C2" s="3839"/>
      <c r="D2" s="3384">
        <f>SUBTOTAL(9,D4:D2375)</f>
        <v>228650</v>
      </c>
      <c r="E2" s="3384"/>
      <c r="F2" s="3386"/>
      <c r="G2" s="3452" t="s">
        <v>5209</v>
      </c>
      <c r="H2" s="3452"/>
      <c r="I2" s="3385"/>
      <c r="J2" s="3385"/>
      <c r="K2" s="3385"/>
      <c r="L2" s="2889">
        <f ca="1">TODAY()</f>
        <v>45988</v>
      </c>
      <c r="M2" s="3384">
        <f>SUBTOTAL(9,M4:M2375)</f>
        <v>179417</v>
      </c>
      <c r="N2" s="3386" t="s">
        <v>7235</v>
      </c>
      <c r="O2" s="2889"/>
      <c r="P2" s="2889"/>
      <c r="Q2" s="3387" t="s">
        <v>0</v>
      </c>
      <c r="R2" s="1777"/>
      <c r="S2" s="3843" t="s">
        <v>7236</v>
      </c>
      <c r="T2" s="3843"/>
      <c r="U2" s="3843"/>
      <c r="V2" s="3843"/>
      <c r="W2" s="1777"/>
      <c r="X2" s="1777"/>
      <c r="Y2" s="1777"/>
      <c r="Z2" s="1777"/>
      <c r="AA2" s="1777"/>
    </row>
    <row r="3" spans="1:35" s="3345" customFormat="1" ht="58.6" customHeight="1">
      <c r="A3" s="3453" t="s">
        <v>48</v>
      </c>
      <c r="B3" s="3426" t="s">
        <v>5213</v>
      </c>
      <c r="C3" s="3427" t="s">
        <v>5214</v>
      </c>
      <c r="D3" s="3455" t="s">
        <v>7237</v>
      </c>
      <c r="E3" s="3427" t="s">
        <v>3430</v>
      </c>
      <c r="F3" s="3426" t="s">
        <v>52</v>
      </c>
      <c r="G3" s="3427" t="s">
        <v>3431</v>
      </c>
      <c r="H3" s="3427" t="s">
        <v>7238</v>
      </c>
      <c r="I3" s="3456" t="s">
        <v>7239</v>
      </c>
      <c r="J3" s="3427" t="s">
        <v>7240</v>
      </c>
      <c r="K3" s="3427" t="s">
        <v>56</v>
      </c>
      <c r="L3" s="3388" t="s">
        <v>7241</v>
      </c>
      <c r="M3" s="3457" t="s">
        <v>5218</v>
      </c>
      <c r="N3" s="3427" t="s">
        <v>7242</v>
      </c>
      <c r="O3" s="3458" t="s">
        <v>5220</v>
      </c>
      <c r="P3" s="3454" t="s">
        <v>58</v>
      </c>
      <c r="Q3" s="3315" t="s">
        <v>5221</v>
      </c>
      <c r="R3" s="3431" t="s">
        <v>7243</v>
      </c>
      <c r="S3" s="3444" t="s">
        <v>5223</v>
      </c>
      <c r="T3" s="3444" t="s">
        <v>7244</v>
      </c>
      <c r="U3" s="3444" t="s">
        <v>7245</v>
      </c>
      <c r="V3" s="3444" t="s">
        <v>7246</v>
      </c>
    </row>
    <row r="4" spans="1:35" s="2150" customFormat="1" ht="45" hidden="1" customHeight="1">
      <c r="A4" s="3844">
        <v>1</v>
      </c>
      <c r="B4" s="3189" t="str">
        <f t="shared" ref="B4:B35" si="0">TEXT(LEFT(L4,10),"0000000000")</f>
        <v>2400001318</v>
      </c>
      <c r="C4" s="3019" t="s">
        <v>7474</v>
      </c>
      <c r="D4" s="3478">
        <v>12900</v>
      </c>
      <c r="E4" s="3021" t="s">
        <v>7475</v>
      </c>
      <c r="F4" s="3019" t="s">
        <v>38</v>
      </c>
      <c r="G4" s="3021"/>
      <c r="H4" s="3021" t="s">
        <v>7476</v>
      </c>
      <c r="I4" s="3026"/>
      <c r="J4" s="3021" t="s">
        <v>7477</v>
      </c>
      <c r="K4" s="3021" t="s">
        <v>308</v>
      </c>
      <c r="L4" s="2904" t="s">
        <v>7478</v>
      </c>
      <c r="M4" s="3272">
        <v>5350</v>
      </c>
      <c r="N4" s="3205" t="s">
        <v>7479</v>
      </c>
      <c r="O4" s="3046"/>
      <c r="P4" s="3206"/>
      <c r="Q4" s="3342" t="s">
        <v>7252</v>
      </c>
      <c r="R4" s="2429"/>
      <c r="S4" s="2643"/>
      <c r="T4" s="2643"/>
      <c r="U4" s="2643"/>
      <c r="V4" s="2643"/>
      <c r="W4" s="2643"/>
      <c r="X4" s="2643"/>
      <c r="Y4" s="2643"/>
      <c r="Z4" s="2643"/>
      <c r="AA4" s="2643"/>
      <c r="AB4" s="2643"/>
      <c r="AC4" s="2643"/>
      <c r="AD4" s="2643"/>
      <c r="AE4" s="2643"/>
      <c r="AF4" s="2643"/>
      <c r="AG4" s="2643"/>
      <c r="AH4" s="2643"/>
      <c r="AI4" s="2643"/>
    </row>
    <row r="5" spans="1:35" s="1548" customFormat="1" ht="45" hidden="1" customHeight="1">
      <c r="A5" s="3845"/>
      <c r="B5" s="3290" t="str">
        <f t="shared" si="0"/>
        <v>2400001319</v>
      </c>
      <c r="C5" s="3009" t="s">
        <v>7474</v>
      </c>
      <c r="D5" s="3479"/>
      <c r="E5" s="3007"/>
      <c r="F5" s="3009" t="s">
        <v>38</v>
      </c>
      <c r="G5" s="3007"/>
      <c r="H5" s="3045"/>
      <c r="I5" s="3045"/>
      <c r="J5" s="3007" t="s">
        <v>7477</v>
      </c>
      <c r="K5" s="3007" t="s">
        <v>308</v>
      </c>
      <c r="L5" s="2878" t="s">
        <v>7480</v>
      </c>
      <c r="M5" s="3217">
        <v>500</v>
      </c>
      <c r="N5" s="3017" t="s">
        <v>7479</v>
      </c>
      <c r="O5" s="3480"/>
      <c r="P5" s="3218"/>
      <c r="Q5" s="3306" t="s">
        <v>7252</v>
      </c>
      <c r="R5" s="1790"/>
      <c r="S5" s="1467"/>
      <c r="T5" s="1467"/>
      <c r="U5" s="1467"/>
      <c r="V5" s="1467"/>
      <c r="W5" s="2643"/>
      <c r="X5" s="2643"/>
      <c r="Y5" s="2643"/>
      <c r="Z5" s="2643"/>
      <c r="AA5" s="2643"/>
      <c r="AB5" s="2643"/>
      <c r="AC5" s="2643"/>
      <c r="AD5" s="2643"/>
      <c r="AE5" s="2643"/>
      <c r="AF5" s="2643"/>
      <c r="AG5" s="2643"/>
      <c r="AH5" s="2643"/>
      <c r="AI5" s="2643"/>
    </row>
    <row r="6" spans="1:35" s="1548" customFormat="1" ht="45" hidden="1" customHeight="1">
      <c r="A6" s="3845"/>
      <c r="B6" s="3290" t="str">
        <f t="shared" si="0"/>
        <v>2400001320</v>
      </c>
      <c r="C6" s="3009" t="s">
        <v>7474</v>
      </c>
      <c r="D6" s="3479"/>
      <c r="E6" s="3007"/>
      <c r="F6" s="3009" t="s">
        <v>38</v>
      </c>
      <c r="G6" s="3007"/>
      <c r="H6" s="3045"/>
      <c r="I6" s="3045"/>
      <c r="J6" s="3007" t="s">
        <v>7477</v>
      </c>
      <c r="K6" s="3007" t="s">
        <v>308</v>
      </c>
      <c r="L6" s="2878" t="s">
        <v>7481</v>
      </c>
      <c r="M6" s="3217">
        <v>2100</v>
      </c>
      <c r="N6" s="3017" t="s">
        <v>7479</v>
      </c>
      <c r="O6" s="3480"/>
      <c r="P6" s="3218"/>
      <c r="Q6" s="3306" t="s">
        <v>7252</v>
      </c>
      <c r="R6" s="1790"/>
      <c r="S6" s="1467"/>
      <c r="T6" s="1467"/>
      <c r="U6" s="1467"/>
      <c r="V6" s="1467"/>
      <c r="W6" s="2643"/>
      <c r="X6" s="2643"/>
      <c r="Y6" s="2643"/>
      <c r="Z6" s="2643"/>
      <c r="AA6" s="2643"/>
      <c r="AB6" s="2643"/>
      <c r="AC6" s="2643"/>
      <c r="AD6" s="2643"/>
      <c r="AE6" s="2643"/>
      <c r="AF6" s="2643"/>
      <c r="AG6" s="2643"/>
      <c r="AH6" s="2643"/>
      <c r="AI6" s="2643"/>
    </row>
    <row r="7" spans="1:35" s="1548" customFormat="1" ht="45" hidden="1" customHeight="1">
      <c r="A7" s="3845"/>
      <c r="B7" s="3290" t="str">
        <f t="shared" si="0"/>
        <v>2400001317</v>
      </c>
      <c r="C7" s="3009" t="s">
        <v>7474</v>
      </c>
      <c r="D7" s="3481"/>
      <c r="F7" s="3009" t="s">
        <v>38</v>
      </c>
      <c r="G7" s="3007"/>
      <c r="H7" s="3045"/>
      <c r="I7" s="3045"/>
      <c r="J7" s="3007" t="s">
        <v>7477</v>
      </c>
      <c r="K7" s="3007" t="s">
        <v>308</v>
      </c>
      <c r="L7" s="2878" t="s">
        <v>7482</v>
      </c>
      <c r="M7" s="3217">
        <v>2550</v>
      </c>
      <c r="N7" s="3017" t="s">
        <v>7479</v>
      </c>
      <c r="O7" s="3480"/>
      <c r="P7" s="3218"/>
      <c r="Q7" s="3306" t="s">
        <v>7252</v>
      </c>
      <c r="R7" s="1790"/>
      <c r="S7" s="1467"/>
      <c r="T7" s="1467"/>
      <c r="U7" s="1467"/>
      <c r="V7" s="1467"/>
      <c r="W7" s="2643"/>
      <c r="X7" s="2643"/>
      <c r="Y7" s="2643"/>
      <c r="Z7" s="2643"/>
      <c r="AA7" s="2643"/>
      <c r="AB7" s="2643"/>
      <c r="AC7" s="2643"/>
      <c r="AD7" s="2643"/>
      <c r="AE7" s="2643"/>
      <c r="AF7" s="2643"/>
      <c r="AG7" s="2643"/>
      <c r="AH7" s="2643"/>
      <c r="AI7" s="2643"/>
    </row>
    <row r="8" spans="1:35" s="1548" customFormat="1" ht="45" hidden="1" customHeight="1">
      <c r="A8" s="3845"/>
      <c r="B8" s="3290" t="str">
        <f t="shared" si="0"/>
        <v>2400001314</v>
      </c>
      <c r="C8" s="3009" t="s">
        <v>7474</v>
      </c>
      <c r="D8" s="3481"/>
      <c r="F8" s="3009" t="s">
        <v>38</v>
      </c>
      <c r="G8" s="3007"/>
      <c r="H8" s="3045"/>
      <c r="I8" s="3045"/>
      <c r="J8" s="3007" t="s">
        <v>7477</v>
      </c>
      <c r="K8" s="3007" t="s">
        <v>308</v>
      </c>
      <c r="L8" s="2878" t="s">
        <v>7483</v>
      </c>
      <c r="M8" s="3217">
        <v>1125</v>
      </c>
      <c r="N8" s="3017" t="s">
        <v>7479</v>
      </c>
      <c r="O8" s="3480"/>
      <c r="P8" s="3218"/>
      <c r="Q8" s="3306" t="s">
        <v>7252</v>
      </c>
      <c r="R8" s="1790"/>
      <c r="S8" s="1467"/>
      <c r="T8" s="1467"/>
      <c r="U8" s="1467"/>
      <c r="V8" s="1467"/>
      <c r="W8" s="2643"/>
      <c r="X8" s="2643"/>
      <c r="Y8" s="2643"/>
      <c r="Z8" s="2643"/>
      <c r="AA8" s="2643"/>
      <c r="AB8" s="2643"/>
      <c r="AC8" s="2643"/>
      <c r="AD8" s="2643"/>
      <c r="AE8" s="2643"/>
      <c r="AF8" s="2643"/>
      <c r="AG8" s="2643"/>
      <c r="AH8" s="2643"/>
      <c r="AI8" s="2643"/>
    </row>
    <row r="9" spans="1:35" s="1548" customFormat="1" ht="45" hidden="1" customHeight="1">
      <c r="A9" s="3845"/>
      <c r="B9" s="3290" t="str">
        <f t="shared" si="0"/>
        <v>2400001315</v>
      </c>
      <c r="C9" s="3009" t="s">
        <v>7474</v>
      </c>
      <c r="D9" s="3481"/>
      <c r="F9" s="3009" t="s">
        <v>38</v>
      </c>
      <c r="G9" s="3007"/>
      <c r="H9" s="3045"/>
      <c r="I9" s="3045"/>
      <c r="J9" s="3007" t="s">
        <v>7477</v>
      </c>
      <c r="K9" s="3007" t="s">
        <v>308</v>
      </c>
      <c r="L9" s="2878" t="s">
        <v>7484</v>
      </c>
      <c r="M9" s="3217">
        <v>575</v>
      </c>
      <c r="N9" s="3017" t="s">
        <v>7479</v>
      </c>
      <c r="O9" s="3480"/>
      <c r="P9" s="3218"/>
      <c r="Q9" s="3306" t="s">
        <v>7252</v>
      </c>
      <c r="R9" s="1790"/>
      <c r="S9" s="1467"/>
      <c r="T9" s="1467"/>
      <c r="U9" s="1467"/>
      <c r="V9" s="1467"/>
      <c r="W9" s="2643"/>
      <c r="X9" s="2643"/>
      <c r="Y9" s="2643"/>
      <c r="Z9" s="2643"/>
      <c r="AA9" s="2643"/>
      <c r="AB9" s="2643"/>
      <c r="AC9" s="2643"/>
      <c r="AD9" s="2643"/>
      <c r="AE9" s="2643"/>
      <c r="AF9" s="2643"/>
      <c r="AG9" s="2643"/>
      <c r="AH9" s="2643"/>
      <c r="AI9" s="2643"/>
    </row>
    <row r="10" spans="1:35" s="1548" customFormat="1" ht="45" hidden="1" customHeight="1">
      <c r="A10" s="3845"/>
      <c r="B10" s="3290" t="str">
        <f t="shared" si="0"/>
        <v>2400001316</v>
      </c>
      <c r="C10" s="3009" t="s">
        <v>7474</v>
      </c>
      <c r="D10" s="3479"/>
      <c r="E10" s="3007"/>
      <c r="F10" s="3009" t="s">
        <v>38</v>
      </c>
      <c r="G10" s="3007"/>
      <c r="H10" s="3007"/>
      <c r="I10" s="3007"/>
      <c r="J10" s="3007" t="s">
        <v>7477</v>
      </c>
      <c r="K10" s="3007" t="s">
        <v>308</v>
      </c>
      <c r="L10" s="2878" t="s">
        <v>7485</v>
      </c>
      <c r="M10" s="3217">
        <v>50</v>
      </c>
      <c r="N10" s="3017" t="s">
        <v>7479</v>
      </c>
      <c r="O10" s="1493"/>
      <c r="P10" s="1859"/>
      <c r="Q10" s="3306" t="s">
        <v>7252</v>
      </c>
    </row>
    <row r="11" spans="1:35" s="1467" customFormat="1" ht="45" hidden="1" customHeight="1">
      <c r="A11" s="3845"/>
      <c r="B11" s="3290" t="str">
        <f t="shared" si="0"/>
        <v>2400001323</v>
      </c>
      <c r="C11" s="3009" t="s">
        <v>7474</v>
      </c>
      <c r="D11" s="3479"/>
      <c r="E11" s="3007"/>
      <c r="F11" s="3009" t="s">
        <v>38</v>
      </c>
      <c r="G11" s="3007"/>
      <c r="H11" s="3007"/>
      <c r="I11" s="3007"/>
      <c r="J11" s="3007" t="s">
        <v>7477</v>
      </c>
      <c r="K11" s="3007" t="s">
        <v>308</v>
      </c>
      <c r="L11" s="2878" t="s">
        <v>7486</v>
      </c>
      <c r="M11" s="3217">
        <v>75</v>
      </c>
      <c r="N11" s="3017" t="s">
        <v>7479</v>
      </c>
      <c r="O11" s="1493"/>
      <c r="P11" s="1859"/>
      <c r="Q11" s="3306" t="s">
        <v>7252</v>
      </c>
      <c r="R11" s="1548"/>
      <c r="S11" s="1548"/>
      <c r="T11" s="1548"/>
      <c r="U11" s="1548"/>
      <c r="V11" s="1548"/>
      <c r="W11" s="1548"/>
      <c r="X11" s="1548"/>
      <c r="Y11" s="1548"/>
      <c r="Z11" s="1548"/>
      <c r="AA11" s="1548"/>
    </row>
    <row r="12" spans="1:35" s="1467" customFormat="1" ht="45" hidden="1" customHeight="1">
      <c r="A12" s="3845"/>
      <c r="B12" s="3290" t="str">
        <f t="shared" si="0"/>
        <v>2400001324</v>
      </c>
      <c r="C12" s="3009" t="s">
        <v>7474</v>
      </c>
      <c r="D12" s="3479"/>
      <c r="E12" s="3007"/>
      <c r="F12" s="3009" t="s">
        <v>38</v>
      </c>
      <c r="G12" s="3007"/>
      <c r="H12" s="3007"/>
      <c r="I12" s="3007"/>
      <c r="J12" s="3007" t="s">
        <v>7477</v>
      </c>
      <c r="K12" s="3007" t="s">
        <v>308</v>
      </c>
      <c r="L12" s="2878" t="s">
        <v>7487</v>
      </c>
      <c r="M12" s="3217">
        <v>225</v>
      </c>
      <c r="N12" s="3017" t="s">
        <v>7479</v>
      </c>
      <c r="O12" s="1493"/>
      <c r="P12" s="1859"/>
      <c r="Q12" s="3306" t="s">
        <v>7252</v>
      </c>
      <c r="R12" s="1548"/>
      <c r="S12" s="1548"/>
      <c r="T12" s="1548"/>
      <c r="U12" s="1548"/>
      <c r="V12" s="1548"/>
      <c r="W12" s="1548"/>
      <c r="X12" s="1548"/>
      <c r="Y12" s="1548"/>
      <c r="Z12" s="1548"/>
      <c r="AA12" s="1548"/>
    </row>
    <row r="13" spans="1:35" s="1467" customFormat="1" ht="45" hidden="1" customHeight="1">
      <c r="A13" s="3845"/>
      <c r="B13" s="3290" t="str">
        <f t="shared" si="0"/>
        <v>2400001325</v>
      </c>
      <c r="C13" s="3009" t="s">
        <v>7474</v>
      </c>
      <c r="D13" s="3479"/>
      <c r="E13" s="3007"/>
      <c r="F13" s="3009" t="s">
        <v>38</v>
      </c>
      <c r="G13" s="3007"/>
      <c r="H13" s="3007"/>
      <c r="I13" s="3007"/>
      <c r="J13" s="3007" t="s">
        <v>7477</v>
      </c>
      <c r="K13" s="3007" t="s">
        <v>308</v>
      </c>
      <c r="L13" s="2878" t="s">
        <v>7488</v>
      </c>
      <c r="M13" s="3217">
        <v>50</v>
      </c>
      <c r="N13" s="3017" t="s">
        <v>7479</v>
      </c>
      <c r="O13" s="1493"/>
      <c r="P13" s="1859"/>
      <c r="Q13" s="3306" t="s">
        <v>7252</v>
      </c>
      <c r="R13" s="1548"/>
      <c r="S13" s="1548"/>
      <c r="T13" s="1548"/>
      <c r="U13" s="1548"/>
      <c r="V13" s="1548"/>
      <c r="W13" s="1548"/>
      <c r="X13" s="1548"/>
      <c r="Y13" s="1548"/>
      <c r="Z13" s="1548"/>
      <c r="AA13" s="1548"/>
    </row>
    <row r="14" spans="1:35" s="1467" customFormat="1" ht="45" hidden="1" customHeight="1">
      <c r="A14" s="3846"/>
      <c r="B14" s="3290" t="str">
        <f t="shared" si="0"/>
        <v>2400001326</v>
      </c>
      <c r="C14" s="3009" t="s">
        <v>7474</v>
      </c>
      <c r="D14" s="3479"/>
      <c r="E14" s="3007" t="s">
        <v>68</v>
      </c>
      <c r="F14" s="3009" t="s">
        <v>38</v>
      </c>
      <c r="G14" s="3007"/>
      <c r="H14" s="3007"/>
      <c r="I14" s="3007"/>
      <c r="J14" s="3007" t="s">
        <v>7477</v>
      </c>
      <c r="K14" s="3007" t="s">
        <v>308</v>
      </c>
      <c r="L14" s="3241" t="s">
        <v>7489</v>
      </c>
      <c r="M14" s="3217">
        <v>500</v>
      </c>
      <c r="N14" s="3017" t="s">
        <v>7479</v>
      </c>
      <c r="O14" s="1493"/>
      <c r="P14" s="1859"/>
      <c r="Q14" s="3306" t="s">
        <v>7252</v>
      </c>
      <c r="R14" s="1548"/>
      <c r="S14" s="1548"/>
      <c r="T14" s="1548"/>
      <c r="U14" s="1548"/>
      <c r="V14" s="1548"/>
      <c r="W14" s="1548"/>
      <c r="X14" s="1548"/>
      <c r="Y14" s="1548"/>
      <c r="Z14" s="1548"/>
      <c r="AA14" s="1548"/>
    </row>
    <row r="15" spans="1:35" s="2150" customFormat="1" ht="58.6" hidden="1" customHeight="1">
      <c r="A15" s="3847">
        <v>2</v>
      </c>
      <c r="B15" s="3021" t="str">
        <f t="shared" si="0"/>
        <v>2400001332</v>
      </c>
      <c r="C15" s="3019" t="s">
        <v>7490</v>
      </c>
      <c r="D15" s="3478">
        <v>12050</v>
      </c>
      <c r="E15" s="3065">
        <v>45849</v>
      </c>
      <c r="F15" s="3019" t="s">
        <v>38</v>
      </c>
      <c r="G15" s="3021" t="s">
        <v>7491</v>
      </c>
      <c r="H15" s="3021" t="s">
        <v>7492</v>
      </c>
      <c r="I15" s="3021"/>
      <c r="J15" s="3021" t="s">
        <v>3462</v>
      </c>
      <c r="K15" s="3021" t="s">
        <v>7493</v>
      </c>
      <c r="L15" s="3270" t="s">
        <v>7494</v>
      </c>
      <c r="M15" s="3272">
        <v>2150</v>
      </c>
      <c r="N15" s="2907" t="s">
        <v>7495</v>
      </c>
      <c r="O15" s="1902"/>
      <c r="P15" s="1775"/>
      <c r="Q15" s="3342" t="s">
        <v>7252</v>
      </c>
    </row>
    <row r="16" spans="1:35" s="1548" customFormat="1" ht="58.6" hidden="1" customHeight="1">
      <c r="A16" s="3848"/>
      <c r="B16" s="3007" t="str">
        <f t="shared" si="0"/>
        <v>2400001333</v>
      </c>
      <c r="C16" s="3009" t="s">
        <v>7490</v>
      </c>
      <c r="D16" s="3479"/>
      <c r="E16" s="3007"/>
      <c r="F16" s="3009" t="s">
        <v>38</v>
      </c>
      <c r="G16" s="3007"/>
      <c r="H16" s="3007"/>
      <c r="I16" s="3007"/>
      <c r="J16" s="3007" t="s">
        <v>3462</v>
      </c>
      <c r="K16" s="3007" t="s">
        <v>7493</v>
      </c>
      <c r="L16" s="3241" t="s">
        <v>7496</v>
      </c>
      <c r="M16" s="3217">
        <v>1025</v>
      </c>
      <c r="N16" s="3016" t="s">
        <v>7497</v>
      </c>
      <c r="O16" s="1493"/>
      <c r="P16" s="1859"/>
      <c r="Q16" s="3306" t="s">
        <v>7252</v>
      </c>
    </row>
    <row r="17" spans="1:17" s="1548" customFormat="1" ht="58.6" hidden="1" customHeight="1">
      <c r="A17" s="3848"/>
      <c r="B17" s="3007" t="str">
        <f t="shared" si="0"/>
        <v>2400001334</v>
      </c>
      <c r="C17" s="3009" t="s">
        <v>7490</v>
      </c>
      <c r="D17" s="3479"/>
      <c r="E17" s="3007"/>
      <c r="F17" s="3009" t="s">
        <v>38</v>
      </c>
      <c r="G17" s="3007"/>
      <c r="H17" s="3007"/>
      <c r="I17" s="3007"/>
      <c r="J17" s="3007" t="s">
        <v>3462</v>
      </c>
      <c r="K17" s="3007" t="s">
        <v>7493</v>
      </c>
      <c r="L17" s="3241" t="s">
        <v>7498</v>
      </c>
      <c r="M17" s="3217">
        <v>1025</v>
      </c>
      <c r="N17" s="3016" t="s">
        <v>7499</v>
      </c>
      <c r="O17" s="1493"/>
      <c r="P17" s="1859"/>
      <c r="Q17" s="3306" t="s">
        <v>7252</v>
      </c>
    </row>
    <row r="18" spans="1:17" s="1548" customFormat="1" ht="58.6" hidden="1" customHeight="1">
      <c r="A18" s="3848"/>
      <c r="B18" s="3007" t="str">
        <f t="shared" si="0"/>
        <v>2400001335</v>
      </c>
      <c r="C18" s="3009" t="s">
        <v>7490</v>
      </c>
      <c r="D18" s="3479"/>
      <c r="E18" s="3007"/>
      <c r="F18" s="3009" t="s">
        <v>38</v>
      </c>
      <c r="G18" s="3007"/>
      <c r="H18" s="3007"/>
      <c r="I18" s="3007"/>
      <c r="J18" s="3007" t="s">
        <v>3462</v>
      </c>
      <c r="K18" s="3007" t="s">
        <v>7493</v>
      </c>
      <c r="L18" s="3241" t="s">
        <v>7500</v>
      </c>
      <c r="M18" s="3217">
        <v>100</v>
      </c>
      <c r="N18" s="3016" t="s">
        <v>7499</v>
      </c>
      <c r="O18" s="1493"/>
      <c r="P18" s="1859"/>
      <c r="Q18" s="3306" t="s">
        <v>7252</v>
      </c>
    </row>
    <row r="19" spans="1:17" s="1548" customFormat="1" ht="58.6" hidden="1" customHeight="1">
      <c r="A19" s="3848"/>
      <c r="B19" s="3007" t="str">
        <f t="shared" si="0"/>
        <v>2400001349</v>
      </c>
      <c r="C19" s="3009" t="s">
        <v>7490</v>
      </c>
      <c r="D19" s="3479"/>
      <c r="E19" s="3007"/>
      <c r="F19" s="3009" t="s">
        <v>38</v>
      </c>
      <c r="G19" s="3007"/>
      <c r="H19" s="3007"/>
      <c r="I19" s="3007"/>
      <c r="J19" s="3007" t="s">
        <v>3462</v>
      </c>
      <c r="K19" s="3007" t="s">
        <v>7493</v>
      </c>
      <c r="L19" s="3241" t="s">
        <v>7501</v>
      </c>
      <c r="M19" s="3217">
        <v>1300</v>
      </c>
      <c r="N19" s="3016" t="s">
        <v>7499</v>
      </c>
      <c r="O19" s="1493"/>
      <c r="P19" s="1859"/>
      <c r="Q19" s="3306" t="s">
        <v>7252</v>
      </c>
    </row>
    <row r="20" spans="1:17" s="1548" customFormat="1" ht="58.6" hidden="1" customHeight="1">
      <c r="A20" s="3848"/>
      <c r="B20" s="3007" t="str">
        <f t="shared" si="0"/>
        <v>2400001351</v>
      </c>
      <c r="C20" s="3009" t="s">
        <v>7490</v>
      </c>
      <c r="D20" s="3479"/>
      <c r="E20" s="3007"/>
      <c r="F20" s="3009" t="s">
        <v>38</v>
      </c>
      <c r="G20" s="3007"/>
      <c r="H20" s="3007"/>
      <c r="I20" s="3007"/>
      <c r="J20" s="3007" t="s">
        <v>3462</v>
      </c>
      <c r="K20" s="3007" t="s">
        <v>7493</v>
      </c>
      <c r="L20" s="3241" t="s">
        <v>7502</v>
      </c>
      <c r="M20" s="3217">
        <v>1300</v>
      </c>
      <c r="N20" s="3016" t="s">
        <v>7499</v>
      </c>
      <c r="O20" s="1493"/>
      <c r="P20" s="1859"/>
      <c r="Q20" s="3306" t="s">
        <v>7252</v>
      </c>
    </row>
    <row r="21" spans="1:17" s="1548" customFormat="1" ht="58.6" hidden="1" customHeight="1">
      <c r="A21" s="3848"/>
      <c r="B21" s="3007" t="str">
        <f t="shared" si="0"/>
        <v>2400001352</v>
      </c>
      <c r="C21" s="3009" t="s">
        <v>7490</v>
      </c>
      <c r="D21" s="3479"/>
      <c r="E21" s="3007"/>
      <c r="F21" s="3009" t="s">
        <v>38</v>
      </c>
      <c r="G21" s="3007"/>
      <c r="H21" s="3007"/>
      <c r="I21" s="3007"/>
      <c r="J21" s="3007" t="s">
        <v>3462</v>
      </c>
      <c r="K21" s="3007" t="s">
        <v>7493</v>
      </c>
      <c r="L21" s="3241" t="s">
        <v>7503</v>
      </c>
      <c r="M21" s="3217">
        <v>600</v>
      </c>
      <c r="N21" s="3016" t="s">
        <v>7499</v>
      </c>
      <c r="O21" s="1493"/>
      <c r="P21" s="1859"/>
      <c r="Q21" s="3306" t="s">
        <v>7252</v>
      </c>
    </row>
    <row r="22" spans="1:17" s="1548" customFormat="1" ht="58.6" hidden="1" customHeight="1">
      <c r="A22" s="3848"/>
      <c r="B22" s="3007" t="str">
        <f t="shared" si="0"/>
        <v>2400001347</v>
      </c>
      <c r="C22" s="3009" t="s">
        <v>7490</v>
      </c>
      <c r="D22" s="3479"/>
      <c r="E22" s="3007"/>
      <c r="F22" s="3009" t="s">
        <v>38</v>
      </c>
      <c r="G22" s="3007"/>
      <c r="H22" s="3007"/>
      <c r="I22" s="3007"/>
      <c r="J22" s="3007" t="s">
        <v>3462</v>
      </c>
      <c r="K22" s="3007" t="s">
        <v>7493</v>
      </c>
      <c r="L22" s="3241" t="s">
        <v>7504</v>
      </c>
      <c r="M22" s="3217">
        <v>500</v>
      </c>
      <c r="N22" s="3016" t="s">
        <v>7499</v>
      </c>
      <c r="O22" s="1493"/>
      <c r="P22" s="1859"/>
      <c r="Q22" s="3306" t="s">
        <v>7252</v>
      </c>
    </row>
    <row r="23" spans="1:17" s="1548" customFormat="1" ht="58.6" hidden="1" customHeight="1">
      <c r="A23" s="3848"/>
      <c r="B23" s="3007" t="str">
        <f t="shared" si="0"/>
        <v>2400001348</v>
      </c>
      <c r="C23" s="3009" t="s">
        <v>7490</v>
      </c>
      <c r="D23" s="3479"/>
      <c r="E23" s="3007"/>
      <c r="F23" s="3009" t="s">
        <v>38</v>
      </c>
      <c r="G23" s="3007"/>
      <c r="H23" s="3007"/>
      <c r="I23" s="3007"/>
      <c r="J23" s="3007" t="s">
        <v>3462</v>
      </c>
      <c r="K23" s="3007" t="s">
        <v>7493</v>
      </c>
      <c r="L23" s="2878" t="s">
        <v>7505</v>
      </c>
      <c r="M23" s="3217">
        <v>350</v>
      </c>
      <c r="N23" s="3016" t="s">
        <v>7499</v>
      </c>
      <c r="O23" s="1493"/>
      <c r="P23" s="1859"/>
      <c r="Q23" s="3306" t="s">
        <v>7252</v>
      </c>
    </row>
    <row r="24" spans="1:17" s="1548" customFormat="1" ht="58.6" hidden="1" customHeight="1">
      <c r="A24" s="3848"/>
      <c r="B24" s="3007" t="str">
        <f t="shared" si="0"/>
        <v>2400001327</v>
      </c>
      <c r="C24" s="3009" t="s">
        <v>7490</v>
      </c>
      <c r="D24" s="3479"/>
      <c r="E24" s="3007"/>
      <c r="F24" s="3009" t="s">
        <v>38</v>
      </c>
      <c r="G24" s="3007"/>
      <c r="H24" s="3007"/>
      <c r="I24" s="3007"/>
      <c r="J24" s="3007" t="s">
        <v>3462</v>
      </c>
      <c r="K24" s="3007" t="s">
        <v>7506</v>
      </c>
      <c r="L24" s="3241" t="s">
        <v>7507</v>
      </c>
      <c r="M24" s="3217">
        <v>600</v>
      </c>
      <c r="N24" s="3016" t="s">
        <v>7499</v>
      </c>
      <c r="O24" s="1493"/>
      <c r="P24" s="1859"/>
      <c r="Q24" s="3306" t="s">
        <v>7252</v>
      </c>
    </row>
    <row r="25" spans="1:17" s="1548" customFormat="1" ht="58.6" hidden="1" customHeight="1">
      <c r="A25" s="3848"/>
      <c r="B25" s="3007" t="str">
        <f t="shared" si="0"/>
        <v>2400001328</v>
      </c>
      <c r="C25" s="3009" t="s">
        <v>7490</v>
      </c>
      <c r="D25" s="3479"/>
      <c r="E25" s="3007"/>
      <c r="F25" s="3009" t="s">
        <v>38</v>
      </c>
      <c r="G25" s="3007"/>
      <c r="H25" s="3007"/>
      <c r="I25" s="3007"/>
      <c r="J25" s="3007" t="s">
        <v>3462</v>
      </c>
      <c r="K25" s="3007" t="s">
        <v>7506</v>
      </c>
      <c r="L25" s="2878" t="s">
        <v>7508</v>
      </c>
      <c r="M25" s="3217">
        <v>50</v>
      </c>
      <c r="N25" s="3016" t="s">
        <v>7499</v>
      </c>
      <c r="O25" s="1493"/>
      <c r="P25" s="1859"/>
      <c r="Q25" s="3306" t="s">
        <v>7252</v>
      </c>
    </row>
    <row r="26" spans="1:17" s="1548" customFormat="1" ht="58.6" hidden="1" customHeight="1">
      <c r="A26" s="3848"/>
      <c r="B26" s="3007" t="str">
        <f t="shared" si="0"/>
        <v>2400001329</v>
      </c>
      <c r="C26" s="3009" t="s">
        <v>7490</v>
      </c>
      <c r="D26" s="3479"/>
      <c r="E26" s="3007"/>
      <c r="F26" s="3009" t="s">
        <v>38</v>
      </c>
      <c r="G26" s="3007"/>
      <c r="H26" s="3007"/>
      <c r="I26" s="3007"/>
      <c r="J26" s="3007" t="s">
        <v>3462</v>
      </c>
      <c r="K26" s="3007" t="s">
        <v>7506</v>
      </c>
      <c r="L26" s="3241" t="s">
        <v>7509</v>
      </c>
      <c r="M26" s="3217">
        <v>700</v>
      </c>
      <c r="N26" s="3016" t="s">
        <v>7499</v>
      </c>
      <c r="O26" s="1493"/>
      <c r="P26" s="1859"/>
      <c r="Q26" s="3306" t="s">
        <v>7252</v>
      </c>
    </row>
    <row r="27" spans="1:17" s="1548" customFormat="1" ht="58.6" hidden="1" customHeight="1">
      <c r="A27" s="3848"/>
      <c r="B27" s="3007" t="str">
        <f t="shared" si="0"/>
        <v>2400001330</v>
      </c>
      <c r="C27" s="3009" t="s">
        <v>7490</v>
      </c>
      <c r="D27" s="3481"/>
      <c r="F27" s="3009" t="s">
        <v>38</v>
      </c>
      <c r="G27" s="1495"/>
      <c r="H27" s="1495"/>
      <c r="I27" s="1495"/>
      <c r="J27" s="3007" t="s">
        <v>3462</v>
      </c>
      <c r="K27" s="3007" t="s">
        <v>7506</v>
      </c>
      <c r="L27" s="1600" t="s">
        <v>7510</v>
      </c>
      <c r="M27" s="3217">
        <v>1650</v>
      </c>
      <c r="N27" s="3016" t="s">
        <v>7499</v>
      </c>
      <c r="O27" s="1493"/>
      <c r="P27" s="1859"/>
      <c r="Q27" s="3306" t="s">
        <v>7252</v>
      </c>
    </row>
    <row r="28" spans="1:17" s="1548" customFormat="1" ht="58.6" hidden="1" customHeight="1">
      <c r="A28" s="3848"/>
      <c r="B28" s="3007" t="str">
        <f t="shared" si="0"/>
        <v>2400001336</v>
      </c>
      <c r="C28" s="3009" t="s">
        <v>7490</v>
      </c>
      <c r="D28" s="2325"/>
      <c r="E28" s="1495"/>
      <c r="F28" s="3009" t="s">
        <v>38</v>
      </c>
      <c r="G28" s="1495"/>
      <c r="H28" s="1495"/>
      <c r="I28" s="1495"/>
      <c r="J28" s="3007" t="s">
        <v>3462</v>
      </c>
      <c r="K28" s="3007" t="s">
        <v>7506</v>
      </c>
      <c r="L28" s="1600" t="s">
        <v>7511</v>
      </c>
      <c r="M28" s="3217">
        <v>500</v>
      </c>
      <c r="N28" s="3016" t="s">
        <v>7499</v>
      </c>
      <c r="O28" s="1493"/>
      <c r="P28" s="1859"/>
      <c r="Q28" s="3306" t="s">
        <v>7252</v>
      </c>
    </row>
    <row r="29" spans="1:17" s="1548" customFormat="1" ht="58.6" hidden="1" customHeight="1">
      <c r="A29" s="3849"/>
      <c r="B29" s="3007" t="str">
        <f t="shared" si="0"/>
        <v>2400001331</v>
      </c>
      <c r="C29" s="3009" t="s">
        <v>7490</v>
      </c>
      <c r="D29" s="2325"/>
      <c r="E29" s="1495"/>
      <c r="F29" s="3009" t="s">
        <v>38</v>
      </c>
      <c r="G29" s="1495"/>
      <c r="H29" s="1495"/>
      <c r="I29" s="1495"/>
      <c r="J29" s="3007" t="s">
        <v>3462</v>
      </c>
      <c r="K29" s="3007" t="s">
        <v>7506</v>
      </c>
      <c r="L29" s="1600" t="s">
        <v>7512</v>
      </c>
      <c r="M29" s="3217">
        <v>200</v>
      </c>
      <c r="N29" s="3016" t="s">
        <v>7499</v>
      </c>
      <c r="O29" s="1493"/>
      <c r="P29" s="1859"/>
      <c r="Q29" s="3319" t="s">
        <v>7252</v>
      </c>
    </row>
    <row r="30" spans="1:17" s="2150" customFormat="1" ht="58.6" hidden="1" customHeight="1">
      <c r="A30" s="3768">
        <v>3</v>
      </c>
      <c r="B30" s="3021" t="str">
        <f t="shared" si="0"/>
        <v>2400001321</v>
      </c>
      <c r="C30" s="3019" t="s">
        <v>7513</v>
      </c>
      <c r="D30" s="2488">
        <v>4900</v>
      </c>
      <c r="E30" s="1921">
        <v>45668</v>
      </c>
      <c r="F30" s="3019" t="s">
        <v>38</v>
      </c>
      <c r="G30" s="1921" t="s">
        <v>7514</v>
      </c>
      <c r="H30" s="1921"/>
      <c r="I30" s="1921"/>
      <c r="J30" s="3021" t="s">
        <v>3462</v>
      </c>
      <c r="K30" s="1921" t="s">
        <v>7515</v>
      </c>
      <c r="L30" s="1845" t="s">
        <v>7516</v>
      </c>
      <c r="M30" s="3272">
        <v>500</v>
      </c>
      <c r="N30" s="2907" t="s">
        <v>7499</v>
      </c>
      <c r="O30" s="1902"/>
      <c r="P30" s="1775"/>
      <c r="Q30" s="3413" t="s">
        <v>7252</v>
      </c>
    </row>
    <row r="31" spans="1:17" s="1548" customFormat="1" ht="58.6" hidden="1" customHeight="1">
      <c r="A31" s="3770"/>
      <c r="B31" s="3007" t="str">
        <f t="shared" si="0"/>
        <v>2400001322</v>
      </c>
      <c r="C31" s="3009" t="s">
        <v>7513</v>
      </c>
      <c r="D31" s="2325"/>
      <c r="E31" s="1495"/>
      <c r="F31" s="3009" t="s">
        <v>38</v>
      </c>
      <c r="G31" s="1495"/>
      <c r="H31" s="1495"/>
      <c r="I31" s="1495"/>
      <c r="J31" s="3007" t="s">
        <v>3462</v>
      </c>
      <c r="K31" s="1495" t="s">
        <v>7515</v>
      </c>
      <c r="L31" s="1600" t="s">
        <v>7517</v>
      </c>
      <c r="M31" s="3217">
        <v>300</v>
      </c>
      <c r="N31" s="3016" t="s">
        <v>7499</v>
      </c>
      <c r="O31" s="1493"/>
      <c r="P31" s="1859"/>
      <c r="Q31" s="3319" t="s">
        <v>7252</v>
      </c>
    </row>
    <row r="32" spans="1:17" s="1548" customFormat="1" ht="58.6" hidden="1" customHeight="1">
      <c r="A32" s="3770"/>
      <c r="B32" s="3007" t="str">
        <f t="shared" si="0"/>
        <v>2400001343</v>
      </c>
      <c r="C32" s="3009" t="s">
        <v>7513</v>
      </c>
      <c r="D32" s="2325"/>
      <c r="E32" s="1495"/>
      <c r="F32" s="3009" t="s">
        <v>38</v>
      </c>
      <c r="G32" s="1495"/>
      <c r="H32" s="1495"/>
      <c r="I32" s="1495"/>
      <c r="J32" s="3007" t="s">
        <v>3462</v>
      </c>
      <c r="K32" s="1495" t="s">
        <v>7515</v>
      </c>
      <c r="L32" s="1600" t="s">
        <v>7518</v>
      </c>
      <c r="M32" s="3217">
        <v>50</v>
      </c>
      <c r="N32" s="3016" t="s">
        <v>7499</v>
      </c>
      <c r="O32" s="1493"/>
      <c r="P32" s="1859"/>
      <c r="Q32" s="3319" t="s">
        <v>7252</v>
      </c>
    </row>
    <row r="33" spans="1:35" s="1548" customFormat="1" ht="58.6" hidden="1" customHeight="1">
      <c r="A33" s="3770"/>
      <c r="B33" s="3007" t="str">
        <f t="shared" si="0"/>
        <v>2400001338</v>
      </c>
      <c r="C33" s="3009" t="s">
        <v>7513</v>
      </c>
      <c r="D33" s="2325"/>
      <c r="E33" s="1495"/>
      <c r="F33" s="3009" t="s">
        <v>38</v>
      </c>
      <c r="G33" s="1495"/>
      <c r="H33" s="1495"/>
      <c r="I33" s="1495"/>
      <c r="J33" s="3007" t="s">
        <v>3462</v>
      </c>
      <c r="K33" s="1495" t="s">
        <v>7515</v>
      </c>
      <c r="L33" s="1600" t="s">
        <v>7519</v>
      </c>
      <c r="M33" s="3217">
        <v>175</v>
      </c>
      <c r="N33" s="3016" t="s">
        <v>7499</v>
      </c>
      <c r="O33" s="1493"/>
      <c r="P33" s="1859"/>
      <c r="Q33" s="3319" t="s">
        <v>7252</v>
      </c>
    </row>
    <row r="34" spans="1:35" s="1548" customFormat="1" ht="58.6" hidden="1" customHeight="1">
      <c r="A34" s="3770"/>
      <c r="B34" s="3007" t="str">
        <f t="shared" si="0"/>
        <v>2400001339</v>
      </c>
      <c r="C34" s="3009" t="s">
        <v>7513</v>
      </c>
      <c r="D34" s="2325"/>
      <c r="E34" s="1495"/>
      <c r="F34" s="3009" t="s">
        <v>38</v>
      </c>
      <c r="G34" s="1495"/>
      <c r="H34" s="1495"/>
      <c r="I34" s="1495"/>
      <c r="J34" s="3007" t="s">
        <v>3462</v>
      </c>
      <c r="K34" s="1495" t="s">
        <v>7515</v>
      </c>
      <c r="L34" s="1600" t="s">
        <v>7520</v>
      </c>
      <c r="M34" s="3217">
        <v>525</v>
      </c>
      <c r="N34" s="3016" t="s">
        <v>7499</v>
      </c>
      <c r="O34" s="1493"/>
      <c r="P34" s="1859"/>
      <c r="Q34" s="3319" t="s">
        <v>7252</v>
      </c>
    </row>
    <row r="35" spans="1:35" s="1548" customFormat="1" ht="58.6" hidden="1" customHeight="1">
      <c r="A35" s="3770"/>
      <c r="B35" s="3007" t="str">
        <f t="shared" si="0"/>
        <v>2400001340</v>
      </c>
      <c r="C35" s="3009" t="s">
        <v>7513</v>
      </c>
      <c r="D35" s="2325"/>
      <c r="E35" s="1495"/>
      <c r="F35" s="3009" t="s">
        <v>38</v>
      </c>
      <c r="G35" s="1495"/>
      <c r="H35" s="1495"/>
      <c r="I35" s="1495"/>
      <c r="J35" s="3007" t="s">
        <v>3462</v>
      </c>
      <c r="K35" s="1495" t="s">
        <v>7515</v>
      </c>
      <c r="L35" s="1600" t="s">
        <v>7521</v>
      </c>
      <c r="M35" s="3217">
        <v>150</v>
      </c>
      <c r="N35" s="3016" t="s">
        <v>7499</v>
      </c>
      <c r="O35" s="1493"/>
      <c r="P35" s="1859"/>
      <c r="Q35" s="3319" t="s">
        <v>7252</v>
      </c>
    </row>
    <row r="36" spans="1:35" s="1548" customFormat="1" ht="58.6" hidden="1" customHeight="1">
      <c r="A36" s="3770"/>
      <c r="B36" s="3007" t="str">
        <f t="shared" ref="B36:B56" si="1">TEXT(LEFT(L36,10),"0000000000")</f>
        <v>2400001341</v>
      </c>
      <c r="C36" s="3009" t="s">
        <v>7513</v>
      </c>
      <c r="D36" s="2325"/>
      <c r="E36" s="1495"/>
      <c r="F36" s="3009" t="s">
        <v>38</v>
      </c>
      <c r="G36" s="1495"/>
      <c r="H36" s="1495"/>
      <c r="I36" s="1495"/>
      <c r="J36" s="3007" t="s">
        <v>3462</v>
      </c>
      <c r="K36" s="1495" t="s">
        <v>7515</v>
      </c>
      <c r="L36" s="1600" t="s">
        <v>7522</v>
      </c>
      <c r="M36" s="3217">
        <v>575</v>
      </c>
      <c r="N36" s="3016" t="s">
        <v>7499</v>
      </c>
      <c r="O36" s="1493"/>
      <c r="P36" s="1859"/>
      <c r="Q36" s="3319" t="s">
        <v>7252</v>
      </c>
    </row>
    <row r="37" spans="1:35" s="1548" customFormat="1" ht="58.6" hidden="1" customHeight="1">
      <c r="A37" s="3770"/>
      <c r="B37" s="3007" t="str">
        <f t="shared" si="1"/>
        <v>2400001342</v>
      </c>
      <c r="C37" s="3009" t="s">
        <v>7513</v>
      </c>
      <c r="D37" s="2325"/>
      <c r="E37" s="1495"/>
      <c r="F37" s="3009" t="s">
        <v>38</v>
      </c>
      <c r="G37" s="1495"/>
      <c r="H37" s="1495"/>
      <c r="I37" s="1495"/>
      <c r="J37" s="3007" t="s">
        <v>3462</v>
      </c>
      <c r="K37" s="1495" t="s">
        <v>7515</v>
      </c>
      <c r="L37" s="1600" t="s">
        <v>7523</v>
      </c>
      <c r="M37" s="3217">
        <v>150</v>
      </c>
      <c r="N37" s="3016" t="s">
        <v>7499</v>
      </c>
      <c r="O37" s="1493"/>
      <c r="P37" s="1859"/>
      <c r="Q37" s="3319" t="s">
        <v>7252</v>
      </c>
    </row>
    <row r="38" spans="1:35" s="1548" customFormat="1" ht="58.6" hidden="1" customHeight="1">
      <c r="A38" s="3770"/>
      <c r="B38" s="3007" t="str">
        <f t="shared" si="1"/>
        <v>2400001345</v>
      </c>
      <c r="C38" s="3009" t="s">
        <v>7513</v>
      </c>
      <c r="D38" s="2325"/>
      <c r="E38" s="1495"/>
      <c r="F38" s="3009" t="s">
        <v>38</v>
      </c>
      <c r="G38" s="1495"/>
      <c r="H38" s="1495"/>
      <c r="I38" s="1495"/>
      <c r="J38" s="3007" t="s">
        <v>3462</v>
      </c>
      <c r="K38" s="1495" t="s">
        <v>7515</v>
      </c>
      <c r="L38" s="1600" t="s">
        <v>7524</v>
      </c>
      <c r="M38" s="3217">
        <v>1350</v>
      </c>
      <c r="N38" s="3016" t="s">
        <v>7499</v>
      </c>
      <c r="O38" s="1493"/>
      <c r="P38" s="1859"/>
      <c r="Q38" s="3319" t="s">
        <v>7252</v>
      </c>
    </row>
    <row r="39" spans="1:35" s="1548" customFormat="1" ht="58.6" hidden="1" customHeight="1">
      <c r="A39" s="3770"/>
      <c r="B39" s="3007" t="str">
        <f t="shared" si="1"/>
        <v>2400001346</v>
      </c>
      <c r="C39" s="3009" t="s">
        <v>7513</v>
      </c>
      <c r="D39" s="2325"/>
      <c r="E39" s="1495"/>
      <c r="F39" s="3009" t="s">
        <v>38</v>
      </c>
      <c r="G39" s="1495"/>
      <c r="H39" s="1495"/>
      <c r="I39" s="1495"/>
      <c r="J39" s="3007" t="s">
        <v>3462</v>
      </c>
      <c r="K39" s="1495" t="s">
        <v>7515</v>
      </c>
      <c r="L39" s="1600" t="s">
        <v>7525</v>
      </c>
      <c r="M39" s="3217">
        <v>650</v>
      </c>
      <c r="N39" s="3016" t="s">
        <v>7499</v>
      </c>
      <c r="O39" s="1493"/>
      <c r="P39" s="1859"/>
      <c r="Q39" s="3319" t="s">
        <v>7252</v>
      </c>
    </row>
    <row r="40" spans="1:35" s="1548" customFormat="1" ht="58.6" hidden="1" customHeight="1">
      <c r="A40" s="3770"/>
      <c r="B40" s="3007" t="str">
        <f t="shared" si="1"/>
        <v>2400001344</v>
      </c>
      <c r="C40" s="3009" t="s">
        <v>7513</v>
      </c>
      <c r="D40" s="2325"/>
      <c r="E40" s="1495"/>
      <c r="F40" s="3009" t="s">
        <v>38</v>
      </c>
      <c r="G40" s="1495"/>
      <c r="H40" s="1495"/>
      <c r="I40" s="1495"/>
      <c r="J40" s="3007" t="s">
        <v>3462</v>
      </c>
      <c r="K40" s="1495" t="s">
        <v>7515</v>
      </c>
      <c r="L40" s="1600" t="s">
        <v>7526</v>
      </c>
      <c r="M40" s="3217">
        <v>500</v>
      </c>
      <c r="N40" s="3016" t="s">
        <v>7499</v>
      </c>
      <c r="O40" s="1493"/>
      <c r="P40" s="1859"/>
      <c r="Q40" s="3319" t="s">
        <v>7252</v>
      </c>
    </row>
    <row r="41" spans="1:35" s="1548" customFormat="1" ht="58.6" hidden="1" customHeight="1">
      <c r="A41" s="3769"/>
      <c r="B41" s="3007" t="str">
        <f t="shared" si="1"/>
        <v>2400001355</v>
      </c>
      <c r="C41" s="3009" t="s">
        <v>7513</v>
      </c>
      <c r="D41" s="2325"/>
      <c r="E41" s="1495"/>
      <c r="F41" s="3009" t="s">
        <v>38</v>
      </c>
      <c r="G41" s="1495"/>
      <c r="H41" s="1495"/>
      <c r="I41" s="1495"/>
      <c r="J41" s="3007" t="s">
        <v>3462</v>
      </c>
      <c r="K41" s="1495" t="s">
        <v>7515</v>
      </c>
      <c r="L41" s="1600" t="s">
        <v>7527</v>
      </c>
      <c r="M41" s="3217">
        <v>25</v>
      </c>
      <c r="N41" s="3016" t="s">
        <v>7499</v>
      </c>
      <c r="O41" s="1493"/>
      <c r="P41" s="1859"/>
      <c r="Q41" s="3319" t="s">
        <v>7252</v>
      </c>
    </row>
    <row r="42" spans="1:35" s="2676" customFormat="1" ht="58.6" customHeight="1">
      <c r="A42" s="3850">
        <v>4</v>
      </c>
      <c r="B42" s="3189" t="str">
        <f t="shared" si="1"/>
        <v>2000003482</v>
      </c>
      <c r="C42" s="2667" t="s">
        <v>3772</v>
      </c>
      <c r="D42" s="2488">
        <v>8800</v>
      </c>
      <c r="E42" s="2180" t="s">
        <v>7528</v>
      </c>
      <c r="F42" s="2663" t="s">
        <v>16</v>
      </c>
      <c r="G42" s="2180" t="s">
        <v>7529</v>
      </c>
      <c r="H42" s="1909"/>
      <c r="I42" s="1921" t="s">
        <v>7530</v>
      </c>
      <c r="J42" s="3280" t="s">
        <v>65</v>
      </c>
      <c r="K42" s="1921" t="s">
        <v>1179</v>
      </c>
      <c r="L42" s="1862" t="s">
        <v>7531</v>
      </c>
      <c r="M42" s="2583">
        <v>2850</v>
      </c>
      <c r="N42" s="2196" t="s">
        <v>7532</v>
      </c>
      <c r="O42" s="2667"/>
      <c r="P42" s="2666"/>
      <c r="Q42" s="3413" t="s">
        <v>7252</v>
      </c>
      <c r="R42" s="3353"/>
      <c r="S42" s="2677"/>
      <c r="T42" s="2677"/>
      <c r="U42" s="3354"/>
      <c r="V42" s="3355"/>
      <c r="W42" s="2677"/>
      <c r="X42" s="3356"/>
      <c r="Y42" s="3356"/>
      <c r="Z42" s="2677"/>
      <c r="AA42" s="3356"/>
      <c r="AB42" s="3357"/>
      <c r="AC42" s="3358"/>
    </row>
    <row r="43" spans="1:35" s="1821" customFormat="1" ht="58.6" customHeight="1">
      <c r="A43" s="3851"/>
      <c r="B43" s="3007" t="str">
        <f t="shared" si="1"/>
        <v>2000003404</v>
      </c>
      <c r="C43" s="1782" t="s">
        <v>3772</v>
      </c>
      <c r="D43" s="2578"/>
      <c r="E43" s="1780"/>
      <c r="F43" s="1782" t="s">
        <v>16</v>
      </c>
      <c r="G43" s="1780"/>
      <c r="H43" s="1780"/>
      <c r="I43" s="1495" t="s">
        <v>7249</v>
      </c>
      <c r="J43" s="3282" t="s">
        <v>65</v>
      </c>
      <c r="K43" s="1495" t="s">
        <v>1179</v>
      </c>
      <c r="L43" s="1496" t="s">
        <v>7533</v>
      </c>
      <c r="M43" s="3283">
        <v>600</v>
      </c>
      <c r="N43" s="3016" t="s">
        <v>7407</v>
      </c>
      <c r="O43" s="1782"/>
      <c r="P43" s="1784"/>
      <c r="Q43" s="3319" t="s">
        <v>7252</v>
      </c>
    </row>
    <row r="44" spans="1:35" s="1548" customFormat="1" ht="58.6" hidden="1" customHeight="1">
      <c r="A44" s="3851"/>
      <c r="B44" s="3007" t="str">
        <f t="shared" si="1"/>
        <v>2000003409</v>
      </c>
      <c r="C44" s="1782" t="s">
        <v>3772</v>
      </c>
      <c r="D44" s="3438"/>
      <c r="E44" s="1748"/>
      <c r="F44" s="1782" t="s">
        <v>16</v>
      </c>
      <c r="G44" s="1748"/>
      <c r="H44" s="1748"/>
      <c r="I44" s="1495" t="s">
        <v>7249</v>
      </c>
      <c r="J44" s="3282" t="s">
        <v>65</v>
      </c>
      <c r="K44" s="1495" t="s">
        <v>1179</v>
      </c>
      <c r="L44" s="1600" t="s">
        <v>7534</v>
      </c>
      <c r="M44" s="2357">
        <v>1000</v>
      </c>
      <c r="N44" s="3016" t="s">
        <v>7499</v>
      </c>
      <c r="O44" s="1790"/>
      <c r="P44" s="3439"/>
      <c r="Q44" s="3319" t="s">
        <v>7252</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6" hidden="1" customHeight="1">
      <c r="A45" s="3851"/>
      <c r="B45" s="3007" t="str">
        <f t="shared" si="1"/>
        <v>2200002287</v>
      </c>
      <c r="C45" s="1782" t="s">
        <v>3772</v>
      </c>
      <c r="D45" s="2325"/>
      <c r="E45" s="1495"/>
      <c r="F45" s="1782" t="s">
        <v>16</v>
      </c>
      <c r="G45" s="1495"/>
      <c r="H45" s="1495"/>
      <c r="I45" s="1495" t="s">
        <v>7387</v>
      </c>
      <c r="J45" s="1493" t="s">
        <v>65</v>
      </c>
      <c r="K45" s="1495" t="s">
        <v>1179</v>
      </c>
      <c r="L45" s="1600" t="s">
        <v>7535</v>
      </c>
      <c r="M45" s="2357">
        <v>2000</v>
      </c>
      <c r="N45" s="2385" t="s">
        <v>7536</v>
      </c>
      <c r="O45" s="1493"/>
      <c r="P45" s="1859"/>
      <c r="Q45" s="3319" t="s">
        <v>7252</v>
      </c>
    </row>
    <row r="46" spans="1:35" s="1548" customFormat="1" ht="58.6" hidden="1" customHeight="1">
      <c r="A46" s="3851"/>
      <c r="B46" s="3007" t="str">
        <f t="shared" si="1"/>
        <v>2200002299</v>
      </c>
      <c r="C46" s="1782" t="s">
        <v>3772</v>
      </c>
      <c r="D46" s="2325"/>
      <c r="E46" s="1495"/>
      <c r="F46" s="1782" t="s">
        <v>16</v>
      </c>
      <c r="G46" s="1495"/>
      <c r="H46" s="1495"/>
      <c r="I46" s="1495" t="s">
        <v>7387</v>
      </c>
      <c r="J46" s="1493" t="s">
        <v>65</v>
      </c>
      <c r="K46" s="1495" t="s">
        <v>1179</v>
      </c>
      <c r="L46" s="1600" t="s">
        <v>7537</v>
      </c>
      <c r="M46" s="3283">
        <v>320</v>
      </c>
      <c r="N46" s="2385" t="s">
        <v>7538</v>
      </c>
      <c r="O46" s="1493"/>
      <c r="P46" s="1859"/>
      <c r="Q46" s="3319" t="s">
        <v>7252</v>
      </c>
    </row>
    <row r="47" spans="1:35" s="1548" customFormat="1" ht="58.6" hidden="1" customHeight="1">
      <c r="A47" s="3851"/>
      <c r="B47" s="3007" t="str">
        <f t="shared" si="1"/>
        <v>2000003408</v>
      </c>
      <c r="C47" s="1782" t="s">
        <v>3772</v>
      </c>
      <c r="D47" s="2325"/>
      <c r="E47" s="1495"/>
      <c r="F47" s="1782" t="s">
        <v>16</v>
      </c>
      <c r="G47" s="1495"/>
      <c r="H47" s="1495"/>
      <c r="I47" s="1495" t="s">
        <v>7249</v>
      </c>
      <c r="J47" s="3282" t="s">
        <v>65</v>
      </c>
      <c r="K47" s="1495" t="s">
        <v>1179</v>
      </c>
      <c r="L47" s="1600" t="s">
        <v>7539</v>
      </c>
      <c r="M47" s="2357">
        <v>1000</v>
      </c>
      <c r="N47" s="2385" t="s">
        <v>7536</v>
      </c>
      <c r="O47" s="1493"/>
      <c r="P47" s="1859"/>
      <c r="Q47" s="3319" t="s">
        <v>7252</v>
      </c>
    </row>
    <row r="48" spans="1:35" s="1548" customFormat="1" ht="58.6" hidden="1" customHeight="1">
      <c r="A48" s="3851"/>
      <c r="B48" s="3007" t="str">
        <f t="shared" si="1"/>
        <v>2200002307</v>
      </c>
      <c r="C48" s="1782" t="s">
        <v>3772</v>
      </c>
      <c r="D48" s="2325"/>
      <c r="E48" s="1495"/>
      <c r="F48" s="1782" t="s">
        <v>16</v>
      </c>
      <c r="G48" s="1495"/>
      <c r="H48" s="1495"/>
      <c r="I48" s="1495" t="s">
        <v>7249</v>
      </c>
      <c r="J48" s="3009" t="s">
        <v>65</v>
      </c>
      <c r="K48" s="1495" t="s">
        <v>1179</v>
      </c>
      <c r="L48" s="1600" t="s">
        <v>7540</v>
      </c>
      <c r="M48" s="2357">
        <v>480</v>
      </c>
      <c r="N48" s="3016" t="s">
        <v>7541</v>
      </c>
      <c r="O48" s="1493"/>
      <c r="P48" s="1859"/>
      <c r="Q48" s="3319" t="s">
        <v>7252</v>
      </c>
    </row>
    <row r="49" spans="1:35" s="1548" customFormat="1" ht="58.6" hidden="1" customHeight="1">
      <c r="A49" s="3852"/>
      <c r="B49" s="3290" t="str">
        <f t="shared" si="1"/>
        <v>2200002304</v>
      </c>
      <c r="C49" s="1782" t="s">
        <v>3772</v>
      </c>
      <c r="D49" s="2578"/>
      <c r="E49" s="1780"/>
      <c r="F49" s="1782" t="s">
        <v>16</v>
      </c>
      <c r="G49" s="2051"/>
      <c r="H49" s="2051"/>
      <c r="I49" s="1495" t="s">
        <v>7249</v>
      </c>
      <c r="J49" s="1493" t="s">
        <v>65</v>
      </c>
      <c r="K49" s="1495" t="s">
        <v>1179</v>
      </c>
      <c r="L49" s="3440" t="s">
        <v>7542</v>
      </c>
      <c r="M49" s="3441">
        <v>516</v>
      </c>
      <c r="N49" s="2385" t="s">
        <v>7543</v>
      </c>
      <c r="O49" s="2749"/>
      <c r="P49" s="3439"/>
      <c r="Q49" s="3319" t="s">
        <v>7252</v>
      </c>
      <c r="R49" s="3053"/>
      <c r="S49" s="3403"/>
      <c r="T49" s="3403"/>
      <c r="U49" s="3403"/>
      <c r="V49" s="3403"/>
      <c r="W49" s="3103"/>
      <c r="X49" s="3103"/>
      <c r="Y49" s="3103"/>
      <c r="Z49" s="3103"/>
      <c r="AA49" s="3103"/>
      <c r="AB49" s="3103"/>
      <c r="AC49" s="3103"/>
      <c r="AD49" s="3103"/>
      <c r="AE49" s="3103"/>
      <c r="AF49" s="3103"/>
      <c r="AG49" s="3103"/>
      <c r="AH49" s="3103"/>
      <c r="AI49" s="3103"/>
    </row>
    <row r="50" spans="1:35" s="2676" customFormat="1" ht="58.6" customHeight="1">
      <c r="A50" s="3412">
        <v>5</v>
      </c>
      <c r="B50" s="3189" t="str">
        <f t="shared" si="1"/>
        <v>2000003482</v>
      </c>
      <c r="C50" s="2667" t="s">
        <v>3747</v>
      </c>
      <c r="D50" s="2488">
        <v>5900</v>
      </c>
      <c r="E50" s="2180" t="s">
        <v>7544</v>
      </c>
      <c r="F50" s="1902" t="s">
        <v>14</v>
      </c>
      <c r="G50" s="2180"/>
      <c r="H50" s="1909"/>
      <c r="I50" s="1921" t="s">
        <v>33</v>
      </c>
      <c r="J50" s="3280" t="s">
        <v>65</v>
      </c>
      <c r="K50" s="1921" t="s">
        <v>1179</v>
      </c>
      <c r="L50" s="1845" t="s">
        <v>7545</v>
      </c>
      <c r="M50" s="2583">
        <v>5900</v>
      </c>
      <c r="N50" s="2196" t="s">
        <v>7546</v>
      </c>
      <c r="O50" s="2667"/>
      <c r="P50" s="2666"/>
      <c r="Q50" s="3413" t="s">
        <v>7252</v>
      </c>
      <c r="R50" s="3353"/>
      <c r="S50" s="2677"/>
      <c r="T50" s="2677"/>
      <c r="U50" s="3354"/>
      <c r="V50" s="3355"/>
      <c r="W50" s="2677"/>
      <c r="X50" s="3356"/>
      <c r="Y50" s="3356"/>
      <c r="Z50" s="2677"/>
      <c r="AA50" s="3356"/>
      <c r="AB50" s="3357"/>
      <c r="AC50" s="3358"/>
    </row>
    <row r="51" spans="1:35" s="2150" customFormat="1" ht="58.6" hidden="1" customHeight="1">
      <c r="A51" s="3847">
        <v>6</v>
      </c>
      <c r="B51" s="3021" t="str">
        <f t="shared" si="1"/>
        <v>2200002290</v>
      </c>
      <c r="C51" s="2667" t="s">
        <v>114</v>
      </c>
      <c r="D51" s="2488">
        <v>3720</v>
      </c>
      <c r="E51" s="1921" t="s">
        <v>7475</v>
      </c>
      <c r="F51" s="1902" t="s">
        <v>22</v>
      </c>
      <c r="G51" s="1921"/>
      <c r="H51" s="1921"/>
      <c r="I51" s="1921" t="s">
        <v>33</v>
      </c>
      <c r="J51" s="3280" t="s">
        <v>65</v>
      </c>
      <c r="K51" s="1921" t="s">
        <v>1179</v>
      </c>
      <c r="L51" s="1862" t="s">
        <v>7547</v>
      </c>
      <c r="M51" s="2583">
        <v>535</v>
      </c>
      <c r="N51" s="2196" t="s">
        <v>7548</v>
      </c>
      <c r="O51" s="1902"/>
      <c r="P51" s="1775"/>
      <c r="Q51" s="3413" t="s">
        <v>7252</v>
      </c>
    </row>
    <row r="52" spans="1:35" s="1467" customFormat="1" ht="58.6" customHeight="1">
      <c r="A52" s="3848"/>
      <c r="B52" s="3007" t="str">
        <f t="shared" si="1"/>
        <v>2000003482</v>
      </c>
      <c r="C52" s="1782" t="s">
        <v>114</v>
      </c>
      <c r="D52" s="2325"/>
      <c r="E52" s="1495"/>
      <c r="F52" s="1493" t="s">
        <v>22</v>
      </c>
      <c r="G52" s="1495"/>
      <c r="H52" s="1495"/>
      <c r="I52" s="1495" t="s">
        <v>6558</v>
      </c>
      <c r="J52" s="3009" t="s">
        <v>65</v>
      </c>
      <c r="K52" s="1495" t="s">
        <v>1179</v>
      </c>
      <c r="L52" s="1600" t="s">
        <v>7549</v>
      </c>
      <c r="M52" s="2357">
        <v>1250</v>
      </c>
      <c r="N52" s="3016" t="s">
        <v>7407</v>
      </c>
      <c r="O52" s="1493"/>
      <c r="P52" s="1859"/>
      <c r="Q52" s="3319" t="s">
        <v>7252</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6" hidden="1" customHeight="1">
      <c r="A53" s="3849"/>
      <c r="B53" s="3007" t="str">
        <f t="shared" si="1"/>
        <v>2200002308</v>
      </c>
      <c r="C53" s="1782" t="s">
        <v>114</v>
      </c>
      <c r="D53" s="2325"/>
      <c r="E53" s="1495"/>
      <c r="F53" s="1493" t="s">
        <v>22</v>
      </c>
      <c r="G53" s="1495"/>
      <c r="H53" s="1495"/>
      <c r="I53" s="1495" t="s">
        <v>7387</v>
      </c>
      <c r="J53" s="1493" t="s">
        <v>65</v>
      </c>
      <c r="K53" s="1495" t="s">
        <v>1179</v>
      </c>
      <c r="L53" s="1600" t="s">
        <v>7550</v>
      </c>
      <c r="M53" s="2357">
        <v>1935</v>
      </c>
      <c r="N53" s="2385" t="s">
        <v>5392</v>
      </c>
      <c r="O53" s="1493"/>
      <c r="P53" s="1859"/>
      <c r="Q53" s="3319" t="s">
        <v>7252</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6" customHeight="1">
      <c r="A54" s="3216">
        <v>7</v>
      </c>
      <c r="B54" s="3021" t="str">
        <f t="shared" si="1"/>
        <v>2000003412</v>
      </c>
      <c r="C54" s="1902" t="s">
        <v>6580</v>
      </c>
      <c r="D54" s="2488">
        <v>4350</v>
      </c>
      <c r="E54" s="1921" t="s">
        <v>7551</v>
      </c>
      <c r="F54" s="1902" t="s">
        <v>22</v>
      </c>
      <c r="G54" s="1921"/>
      <c r="H54" s="1921"/>
      <c r="I54" s="1921" t="s">
        <v>7249</v>
      </c>
      <c r="J54" s="3019" t="s">
        <v>65</v>
      </c>
      <c r="K54" s="1921" t="s">
        <v>117</v>
      </c>
      <c r="L54" s="1845" t="s">
        <v>7552</v>
      </c>
      <c r="M54" s="2583">
        <v>4350</v>
      </c>
      <c r="N54" s="2907" t="s">
        <v>7407</v>
      </c>
      <c r="O54" s="1902"/>
      <c r="P54" s="1775"/>
      <c r="Q54" s="3413" t="s">
        <v>7252</v>
      </c>
    </row>
    <row r="55" spans="1:35" s="3103" customFormat="1" ht="58.6" customHeight="1">
      <c r="A55" s="3482">
        <v>8</v>
      </c>
      <c r="B55" s="3021" t="str">
        <f t="shared" si="1"/>
        <v>2000003524</v>
      </c>
      <c r="C55" s="1902" t="s">
        <v>125</v>
      </c>
      <c r="D55" s="2488">
        <v>4250</v>
      </c>
      <c r="E55" s="1921" t="s">
        <v>7553</v>
      </c>
      <c r="F55" s="2263" t="s">
        <v>22</v>
      </c>
      <c r="G55" s="1921" t="s">
        <v>7554</v>
      </c>
      <c r="H55" s="1921"/>
      <c r="I55" s="2279" t="s">
        <v>7249</v>
      </c>
      <c r="J55" s="3019" t="s">
        <v>65</v>
      </c>
      <c r="K55" s="1921" t="s">
        <v>240</v>
      </c>
      <c r="L55" s="1911" t="s">
        <v>7555</v>
      </c>
      <c r="M55" s="3041">
        <v>4250</v>
      </c>
      <c r="N55" s="3188" t="s">
        <v>7407</v>
      </c>
      <c r="O55" s="2429"/>
      <c r="P55" s="1775"/>
      <c r="Q55" s="3342" t="s">
        <v>7252</v>
      </c>
      <c r="R55" s="3373"/>
      <c r="S55" s="3299"/>
      <c r="T55" s="3299"/>
      <c r="U55" s="3374"/>
      <c r="V55" s="3375"/>
      <c r="W55" s="3299"/>
      <c r="X55" s="2689"/>
      <c r="Y55" s="2689"/>
      <c r="Z55" s="3299"/>
      <c r="AA55" s="2689"/>
      <c r="AB55" s="3376"/>
      <c r="AC55" s="3377"/>
    </row>
    <row r="56" spans="1:35" s="2643" customFormat="1" ht="58.6" hidden="1" customHeight="1">
      <c r="A56" s="3216">
        <v>9</v>
      </c>
      <c r="B56" s="3189" t="str">
        <f t="shared" si="1"/>
        <v>2000003437</v>
      </c>
      <c r="C56" s="2667" t="s">
        <v>7556</v>
      </c>
      <c r="D56" s="2488">
        <v>3750</v>
      </c>
      <c r="E56" s="1921" t="s">
        <v>7475</v>
      </c>
      <c r="F56" s="2663" t="s">
        <v>20</v>
      </c>
      <c r="G56" s="1909"/>
      <c r="I56" s="1921" t="s">
        <v>7249</v>
      </c>
      <c r="J56" s="3019" t="s">
        <v>65</v>
      </c>
      <c r="K56" s="1921" t="s">
        <v>66</v>
      </c>
      <c r="L56" s="2904" t="s">
        <v>7557</v>
      </c>
      <c r="M56" s="2583">
        <v>3750</v>
      </c>
      <c r="N56" s="2625" t="s">
        <v>5392</v>
      </c>
      <c r="O56" s="3466"/>
      <c r="P56" s="3421"/>
      <c r="Q56" s="3413" t="s">
        <v>7252</v>
      </c>
      <c r="R56" s="3467"/>
      <c r="S56" s="1745"/>
      <c r="T56" s="1745"/>
      <c r="U56" s="1745"/>
      <c r="V56" s="1745"/>
      <c r="W56" s="1745"/>
      <c r="X56" s="1745"/>
      <c r="Y56" s="1745"/>
      <c r="Z56" s="1745"/>
      <c r="AA56" s="1745"/>
      <c r="AB56" s="3103"/>
      <c r="AC56" s="3103"/>
      <c r="AD56" s="3103"/>
      <c r="AE56" s="3103"/>
      <c r="AF56" s="3103"/>
      <c r="AG56" s="3103"/>
      <c r="AH56" s="3103"/>
      <c r="AI56" s="3103"/>
    </row>
    <row r="57" spans="1:35" s="2643" customFormat="1" ht="54" hidden="1" customHeight="1">
      <c r="A57" s="3847">
        <v>10</v>
      </c>
      <c r="B57" s="3258">
        <v>2000003472</v>
      </c>
      <c r="C57" s="2391" t="s">
        <v>3440</v>
      </c>
      <c r="D57" s="2488">
        <v>8800</v>
      </c>
      <c r="E57" s="1921" t="s">
        <v>7558</v>
      </c>
      <c r="F57" s="1902" t="s">
        <v>16</v>
      </c>
      <c r="G57" s="1921" t="s">
        <v>7559</v>
      </c>
      <c r="H57" s="1921" t="s">
        <v>7560</v>
      </c>
      <c r="I57" s="3483" t="s">
        <v>7249</v>
      </c>
      <c r="J57" s="3019" t="s">
        <v>1653</v>
      </c>
      <c r="K57" s="1921" t="s">
        <v>106</v>
      </c>
      <c r="L57" s="2904" t="s">
        <v>7561</v>
      </c>
      <c r="M57" s="2583">
        <v>3295</v>
      </c>
      <c r="N57" s="2196" t="s">
        <v>5392</v>
      </c>
      <c r="O57" s="3019"/>
      <c r="P57" s="3206" t="s">
        <v>7562</v>
      </c>
      <c r="Q57" s="3413" t="s">
        <v>7252</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hidden="1" customHeight="1">
      <c r="A58" s="3848"/>
      <c r="B58" s="3437" t="str">
        <f t="shared" ref="B58:B89" si="2">TEXT(LEFT(L58,10),"0000000000")</f>
        <v>2000003471</v>
      </c>
      <c r="C58" s="1630" t="s">
        <v>3440</v>
      </c>
      <c r="D58" s="2325"/>
      <c r="E58" s="1495"/>
      <c r="F58" s="1493" t="s">
        <v>16</v>
      </c>
      <c r="G58" s="1495"/>
      <c r="H58" s="1495"/>
      <c r="I58" s="3435" t="s">
        <v>7249</v>
      </c>
      <c r="J58" s="3009" t="s">
        <v>1653</v>
      </c>
      <c r="K58" s="1495" t="s">
        <v>106</v>
      </c>
      <c r="L58" s="2878" t="s">
        <v>7563</v>
      </c>
      <c r="M58" s="2357">
        <v>985</v>
      </c>
      <c r="N58" s="3016" t="s">
        <v>7499</v>
      </c>
      <c r="O58" s="1493"/>
      <c r="P58" s="1859"/>
      <c r="Q58" s="3319" t="s">
        <v>7252</v>
      </c>
      <c r="R58" s="1548"/>
      <c r="S58" s="1548"/>
      <c r="T58" s="1548"/>
      <c r="U58" s="1548"/>
      <c r="V58" s="1548"/>
      <c r="W58" s="1548"/>
      <c r="X58" s="1548"/>
      <c r="Y58" s="1548"/>
      <c r="Z58" s="1548"/>
      <c r="AA58" s="1548"/>
    </row>
    <row r="59" spans="1:35" s="1467" customFormat="1" ht="51.8" customHeight="1">
      <c r="A59" s="3848"/>
      <c r="B59" s="3290" t="str">
        <f t="shared" si="2"/>
        <v>2000003479</v>
      </c>
      <c r="C59" s="1630" t="s">
        <v>3440</v>
      </c>
      <c r="D59" s="2325"/>
      <c r="E59" s="1493"/>
      <c r="F59" s="1630" t="s">
        <v>16</v>
      </c>
      <c r="G59" s="1495"/>
      <c r="H59" s="1495"/>
      <c r="I59" s="1495" t="s">
        <v>7249</v>
      </c>
      <c r="J59" s="3009" t="s">
        <v>1653</v>
      </c>
      <c r="K59" s="1495" t="s">
        <v>164</v>
      </c>
      <c r="L59" s="1600" t="s">
        <v>7564</v>
      </c>
      <c r="M59" s="2357">
        <v>4420</v>
      </c>
      <c r="N59" s="3016" t="s">
        <v>7407</v>
      </c>
      <c r="O59" s="1493"/>
      <c r="P59" s="1859"/>
      <c r="Q59" s="3319" t="s">
        <v>7252</v>
      </c>
      <c r="R59" s="1548"/>
      <c r="S59" s="1548"/>
      <c r="T59" s="1548"/>
      <c r="U59" s="1548"/>
      <c r="V59" s="1548"/>
      <c r="W59" s="1548"/>
      <c r="X59" s="1548"/>
      <c r="Y59" s="1548"/>
      <c r="Z59" s="1548"/>
      <c r="AA59" s="1548"/>
    </row>
    <row r="60" spans="1:35" s="1467" customFormat="1" ht="58.6" hidden="1" customHeight="1">
      <c r="A60" s="3849"/>
      <c r="B60" s="3290" t="str">
        <f t="shared" si="2"/>
        <v>2000003430</v>
      </c>
      <c r="C60" s="1630" t="s">
        <v>3440</v>
      </c>
      <c r="D60" s="2325"/>
      <c r="E60" s="1495"/>
      <c r="F60" s="1493" t="s">
        <v>16</v>
      </c>
      <c r="G60" s="1495"/>
      <c r="H60" s="1495"/>
      <c r="I60" s="3435" t="s">
        <v>7249</v>
      </c>
      <c r="J60" s="3009" t="s">
        <v>1653</v>
      </c>
      <c r="K60" s="1495" t="s">
        <v>106</v>
      </c>
      <c r="L60" s="1600" t="s">
        <v>7565</v>
      </c>
      <c r="M60" s="2357">
        <v>100</v>
      </c>
      <c r="N60" s="2385" t="s">
        <v>5392</v>
      </c>
      <c r="O60" s="1493"/>
      <c r="P60" s="1859"/>
      <c r="Q60" s="3319" t="s">
        <v>7252</v>
      </c>
      <c r="R60" s="1548"/>
      <c r="S60" s="1548"/>
      <c r="T60" s="1548"/>
      <c r="U60" s="1548"/>
      <c r="V60" s="1548"/>
      <c r="W60" s="1548"/>
      <c r="X60" s="1548"/>
      <c r="Y60" s="1548"/>
      <c r="Z60" s="1548"/>
      <c r="AA60" s="1548"/>
    </row>
    <row r="61" spans="1:35" s="3103" customFormat="1" ht="58.6" customHeight="1">
      <c r="A61" s="3841">
        <v>11</v>
      </c>
      <c r="B61" s="3021" t="str">
        <f t="shared" si="2"/>
        <v>2000003524</v>
      </c>
      <c r="C61" s="1902" t="s">
        <v>7566</v>
      </c>
      <c r="D61" s="2488">
        <v>4280</v>
      </c>
      <c r="E61" s="1561" t="s">
        <v>7567</v>
      </c>
      <c r="F61" s="1902" t="s">
        <v>24</v>
      </c>
      <c r="G61" s="2279" t="s">
        <v>7568</v>
      </c>
      <c r="H61" s="1909" t="s">
        <v>7569</v>
      </c>
      <c r="I61" s="2279" t="s">
        <v>7249</v>
      </c>
      <c r="J61" s="3019" t="s">
        <v>65</v>
      </c>
      <c r="K61" s="1921" t="s">
        <v>240</v>
      </c>
      <c r="L61" s="2904" t="s">
        <v>7570</v>
      </c>
      <c r="M61" s="3041">
        <v>750</v>
      </c>
      <c r="N61" s="3188" t="s">
        <v>7407</v>
      </c>
      <c r="O61" s="2429"/>
      <c r="P61" s="1775"/>
      <c r="Q61" s="3342" t="s">
        <v>7252</v>
      </c>
      <c r="R61" s="3373"/>
      <c r="S61" s="3299"/>
      <c r="T61" s="3299"/>
      <c r="U61" s="3374"/>
      <c r="V61" s="3375"/>
      <c r="W61" s="3299"/>
      <c r="X61" s="2689"/>
      <c r="Y61" s="2689"/>
      <c r="Z61" s="3299"/>
      <c r="AA61" s="2689"/>
      <c r="AB61" s="3376"/>
      <c r="AC61" s="3377"/>
    </row>
    <row r="62" spans="1:35" s="2150" customFormat="1" ht="58.6" hidden="1" customHeight="1">
      <c r="A62" s="3842"/>
      <c r="B62" s="3007" t="str">
        <f t="shared" si="2"/>
        <v>2000003473</v>
      </c>
      <c r="C62" s="1493" t="s">
        <v>7566</v>
      </c>
      <c r="D62" s="1548"/>
      <c r="E62" s="1773"/>
      <c r="F62" s="1474" t="s">
        <v>24</v>
      </c>
      <c r="G62" s="1495"/>
      <c r="H62" s="1495"/>
      <c r="I62" s="1766" t="s">
        <v>7249</v>
      </c>
      <c r="J62" s="3009" t="s">
        <v>65</v>
      </c>
      <c r="K62" s="1495" t="s">
        <v>117</v>
      </c>
      <c r="L62" s="3090" t="s">
        <v>7571</v>
      </c>
      <c r="M62" s="2357">
        <v>3500</v>
      </c>
      <c r="N62" s="2385" t="s">
        <v>7572</v>
      </c>
      <c r="O62" s="1493"/>
      <c r="P62" s="1859" t="s">
        <v>7573</v>
      </c>
      <c r="Q62" s="3319" t="s">
        <v>7252</v>
      </c>
      <c r="R62" s="1548"/>
      <c r="S62" s="1548"/>
      <c r="T62" s="1548"/>
      <c r="U62" s="1548"/>
      <c r="V62" s="1548"/>
    </row>
    <row r="63" spans="1:35" s="2150" customFormat="1" ht="58.6" customHeight="1">
      <c r="A63" s="3768">
        <v>12</v>
      </c>
      <c r="B63" s="3021" t="str">
        <f t="shared" si="2"/>
        <v>2000003502</v>
      </c>
      <c r="C63" s="1902" t="s">
        <v>3499</v>
      </c>
      <c r="D63" s="2488">
        <v>4000</v>
      </c>
      <c r="E63" s="1921" t="s">
        <v>7475</v>
      </c>
      <c r="F63" s="1902" t="s">
        <v>20</v>
      </c>
      <c r="G63" s="1921" t="s">
        <v>7574</v>
      </c>
      <c r="H63" s="1909" t="s">
        <v>7569</v>
      </c>
      <c r="I63" s="1921" t="s">
        <v>7249</v>
      </c>
      <c r="J63" s="3019" t="s">
        <v>65</v>
      </c>
      <c r="K63" s="1921" t="s">
        <v>117</v>
      </c>
      <c r="L63" s="1845" t="s">
        <v>7575</v>
      </c>
      <c r="M63" s="2583">
        <v>870</v>
      </c>
      <c r="N63" s="3188" t="s">
        <v>7407</v>
      </c>
      <c r="O63" s="1902"/>
      <c r="P63" s="1775"/>
      <c r="Q63" s="3413" t="s">
        <v>7252</v>
      </c>
    </row>
    <row r="64" spans="1:35" s="2150" customFormat="1" ht="58.6" hidden="1" customHeight="1">
      <c r="A64" s="3769"/>
      <c r="B64" s="3007" t="str">
        <f t="shared" si="2"/>
        <v>2000003505</v>
      </c>
      <c r="C64" s="1493" t="s">
        <v>3499</v>
      </c>
      <c r="D64" s="2325"/>
      <c r="E64" s="1495" t="s">
        <v>7475</v>
      </c>
      <c r="F64" s="1493" t="s">
        <v>20</v>
      </c>
      <c r="G64" s="1787"/>
      <c r="H64" s="1495"/>
      <c r="I64" s="1495" t="s">
        <v>7249</v>
      </c>
      <c r="J64" s="3009" t="s">
        <v>65</v>
      </c>
      <c r="K64" s="1495" t="s">
        <v>117</v>
      </c>
      <c r="L64" s="1600" t="s">
        <v>7576</v>
      </c>
      <c r="M64" s="2357">
        <v>3110</v>
      </c>
      <c r="N64" s="3016" t="s">
        <v>7577</v>
      </c>
      <c r="O64" s="1493"/>
      <c r="P64" s="1843"/>
      <c r="Q64" s="3319" t="s">
        <v>7252</v>
      </c>
      <c r="R64" s="1790"/>
      <c r="S64" s="1548"/>
      <c r="T64" s="1548"/>
      <c r="U64" s="1548"/>
      <c r="V64" s="1548"/>
    </row>
    <row r="65" spans="1:35" s="2150" customFormat="1" ht="58.6" customHeight="1">
      <c r="A65" s="3768">
        <v>13</v>
      </c>
      <c r="B65" s="3021" t="str">
        <f t="shared" si="2"/>
        <v>2200002153</v>
      </c>
      <c r="C65" s="1902" t="s">
        <v>7578</v>
      </c>
      <c r="D65" s="2488">
        <v>4700</v>
      </c>
      <c r="E65" s="1921" t="s">
        <v>7553</v>
      </c>
      <c r="F65" s="1902" t="s">
        <v>16</v>
      </c>
      <c r="G65" s="1921" t="s">
        <v>7579</v>
      </c>
      <c r="H65" s="1909" t="s">
        <v>7569</v>
      </c>
      <c r="I65" s="2789" t="s">
        <v>7249</v>
      </c>
      <c r="J65" s="3019" t="s">
        <v>65</v>
      </c>
      <c r="K65" s="1921" t="s">
        <v>142</v>
      </c>
      <c r="L65" s="1845" t="s">
        <v>7580</v>
      </c>
      <c r="M65" s="2583">
        <v>4038</v>
      </c>
      <c r="N65" s="2907" t="s">
        <v>7407</v>
      </c>
      <c r="O65" s="1902"/>
      <c r="P65" s="1775"/>
      <c r="Q65" s="3413" t="s">
        <v>7252</v>
      </c>
    </row>
    <row r="66" spans="1:35" s="2150" customFormat="1" ht="58.6" customHeight="1">
      <c r="A66" s="3769"/>
      <c r="B66" s="3007" t="str">
        <f t="shared" si="2"/>
        <v>2200002289</v>
      </c>
      <c r="C66" s="1493" t="s">
        <v>7578</v>
      </c>
      <c r="D66" s="2325"/>
      <c r="E66" s="1495"/>
      <c r="F66" s="1493" t="s">
        <v>16</v>
      </c>
      <c r="G66" s="1495"/>
      <c r="H66" s="1495"/>
      <c r="I66" s="1766" t="s">
        <v>7249</v>
      </c>
      <c r="J66" s="3009" t="s">
        <v>65</v>
      </c>
      <c r="K66" s="1495" t="s">
        <v>142</v>
      </c>
      <c r="L66" s="1843" t="s">
        <v>7581</v>
      </c>
      <c r="M66" s="2357">
        <v>650</v>
      </c>
      <c r="N66" s="2907" t="s">
        <v>7582</v>
      </c>
      <c r="O66" s="1493"/>
      <c r="P66" s="1859"/>
      <c r="Q66" s="3319" t="s">
        <v>7252</v>
      </c>
      <c r="R66" s="1548"/>
      <c r="S66" s="1548"/>
      <c r="T66" s="1548"/>
      <c r="U66" s="1548"/>
      <c r="V66" s="1548"/>
    </row>
    <row r="67" spans="1:35" s="2150" customFormat="1" ht="58.6" customHeight="1">
      <c r="A67" s="2436">
        <v>14</v>
      </c>
      <c r="B67" s="3021" t="str">
        <f t="shared" si="2"/>
        <v>2000003509</v>
      </c>
      <c r="C67" s="1902" t="s">
        <v>5654</v>
      </c>
      <c r="D67" s="2488">
        <v>4300</v>
      </c>
      <c r="E67" s="1921" t="s">
        <v>7553</v>
      </c>
      <c r="F67" s="1902" t="s">
        <v>18</v>
      </c>
      <c r="G67" s="1921" t="s">
        <v>7583</v>
      </c>
      <c r="H67" s="1921"/>
      <c r="I67" s="1921" t="s">
        <v>7249</v>
      </c>
      <c r="J67" s="3019" t="s">
        <v>65</v>
      </c>
      <c r="K67" s="1921" t="s">
        <v>66</v>
      </c>
      <c r="L67" s="1911" t="s">
        <v>7584</v>
      </c>
      <c r="M67" s="2583">
        <v>4200</v>
      </c>
      <c r="N67" s="2907" t="s">
        <v>7585</v>
      </c>
      <c r="O67" s="1902"/>
      <c r="P67" s="1775"/>
      <c r="Q67" s="3413" t="s">
        <v>7252</v>
      </c>
    </row>
    <row r="68" spans="1:35" s="2150" customFormat="1" ht="58.6" customHeight="1">
      <c r="A68" s="3847">
        <v>15</v>
      </c>
      <c r="B68" s="3021" t="str">
        <f t="shared" si="2"/>
        <v>2000003412</v>
      </c>
      <c r="C68" s="1902" t="s">
        <v>3464</v>
      </c>
      <c r="D68" s="2488">
        <v>3700</v>
      </c>
      <c r="E68" s="1921" t="s">
        <v>7567</v>
      </c>
      <c r="F68" s="1902" t="s">
        <v>24</v>
      </c>
      <c r="G68" s="1921"/>
      <c r="H68" s="1921"/>
      <c r="I68" s="1921" t="s">
        <v>7249</v>
      </c>
      <c r="J68" s="3019" t="s">
        <v>65</v>
      </c>
      <c r="K68" s="1921" t="s">
        <v>117</v>
      </c>
      <c r="L68" s="1845" t="s">
        <v>7586</v>
      </c>
      <c r="M68" s="2583">
        <v>847</v>
      </c>
      <c r="N68" s="2907" t="s">
        <v>7587</v>
      </c>
      <c r="O68" s="1902"/>
      <c r="P68" s="1775"/>
      <c r="Q68" s="3413" t="s">
        <v>7252</v>
      </c>
    </row>
    <row r="69" spans="1:35" s="2150" customFormat="1" ht="58.6" hidden="1" customHeight="1">
      <c r="A69" s="3848"/>
      <c r="B69" s="3007" t="str">
        <f t="shared" si="2"/>
        <v>2000003411</v>
      </c>
      <c r="C69" s="1493" t="s">
        <v>3464</v>
      </c>
      <c r="D69" s="2325"/>
      <c r="E69" s="1495" t="s">
        <v>7553</v>
      </c>
      <c r="F69" s="1493" t="s">
        <v>24</v>
      </c>
      <c r="G69" s="1495"/>
      <c r="H69" s="1495"/>
      <c r="I69" s="1495" t="s">
        <v>7249</v>
      </c>
      <c r="J69" s="3009" t="s">
        <v>65</v>
      </c>
      <c r="K69" s="1495" t="s">
        <v>117</v>
      </c>
      <c r="L69" s="1600" t="s">
        <v>7588</v>
      </c>
      <c r="M69" s="2357">
        <v>1292</v>
      </c>
      <c r="N69" s="3016" t="s">
        <v>7499</v>
      </c>
      <c r="O69" s="1493"/>
      <c r="P69" s="1859"/>
      <c r="Q69" s="3319" t="s">
        <v>7252</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6" hidden="1" customHeight="1">
      <c r="A70" s="3849"/>
      <c r="B70" s="3007" t="str">
        <f t="shared" si="2"/>
        <v>2000003506</v>
      </c>
      <c r="C70" s="1493" t="s">
        <v>3464</v>
      </c>
      <c r="D70" s="1548"/>
      <c r="E70" s="1495" t="s">
        <v>7553</v>
      </c>
      <c r="F70" s="1493" t="s">
        <v>24</v>
      </c>
      <c r="G70" s="1495"/>
      <c r="H70" s="1495"/>
      <c r="I70" s="1495" t="s">
        <v>7249</v>
      </c>
      <c r="J70" s="3009" t="s">
        <v>65</v>
      </c>
      <c r="K70" s="1495" t="s">
        <v>117</v>
      </c>
      <c r="L70" s="1600" t="s">
        <v>7589</v>
      </c>
      <c r="M70" s="2357">
        <v>1455</v>
      </c>
      <c r="N70" s="3016" t="s">
        <v>7499</v>
      </c>
      <c r="O70" s="1493"/>
      <c r="P70" s="1859"/>
      <c r="Q70" s="3319" t="s">
        <v>7252</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6" hidden="1" customHeight="1">
      <c r="A71" s="2436">
        <v>16</v>
      </c>
      <c r="B71" s="3021" t="str">
        <f t="shared" si="2"/>
        <v>2000003473</v>
      </c>
      <c r="C71" s="1902" t="s">
        <v>2947</v>
      </c>
      <c r="D71" s="2488">
        <v>3500</v>
      </c>
      <c r="E71" s="1921" t="s">
        <v>7590</v>
      </c>
      <c r="F71" s="1902" t="s">
        <v>18</v>
      </c>
      <c r="G71" s="1921" t="s">
        <v>7591</v>
      </c>
      <c r="H71" s="1921"/>
      <c r="I71" s="2789" t="s">
        <v>7249</v>
      </c>
      <c r="J71" s="3019" t="s">
        <v>65</v>
      </c>
      <c r="K71" s="1921" t="s">
        <v>117</v>
      </c>
      <c r="L71" s="1845" t="s">
        <v>7592</v>
      </c>
      <c r="M71" s="2583">
        <v>3500</v>
      </c>
      <c r="N71" s="2196" t="s">
        <v>7593</v>
      </c>
      <c r="O71" s="1902"/>
      <c r="P71" s="1775" t="s">
        <v>7573</v>
      </c>
      <c r="Q71" s="3413" t="s">
        <v>7252</v>
      </c>
    </row>
    <row r="72" spans="1:35" s="2150" customFormat="1" ht="58.6" customHeight="1">
      <c r="A72" s="3768">
        <v>17</v>
      </c>
      <c r="B72" s="3021" t="str">
        <f t="shared" si="2"/>
        <v>2000003503</v>
      </c>
      <c r="C72" s="1902" t="s">
        <v>7310</v>
      </c>
      <c r="D72" s="3485">
        <v>3820</v>
      </c>
      <c r="E72" s="1921" t="s">
        <v>7594</v>
      </c>
      <c r="F72" s="1902" t="s">
        <v>20</v>
      </c>
      <c r="G72" s="1921"/>
      <c r="H72" s="1921"/>
      <c r="I72" s="1921" t="s">
        <v>7249</v>
      </c>
      <c r="J72" s="3019" t="s">
        <v>65</v>
      </c>
      <c r="K72" s="1921" t="s">
        <v>117</v>
      </c>
      <c r="L72" s="1845" t="s">
        <v>7595</v>
      </c>
      <c r="M72" s="2583">
        <v>2205</v>
      </c>
      <c r="N72" s="3188" t="s">
        <v>7407</v>
      </c>
      <c r="O72" s="1902">
        <v>35</v>
      </c>
      <c r="P72" s="1775"/>
      <c r="Q72" s="3413" t="s">
        <v>7252</v>
      </c>
    </row>
    <row r="73" spans="1:35" s="1548" customFormat="1" ht="58.6" hidden="1" customHeight="1">
      <c r="A73" s="3770"/>
      <c r="B73" s="3007" t="str">
        <f t="shared" si="2"/>
        <v>2000003411</v>
      </c>
      <c r="C73" s="1493" t="s">
        <v>7310</v>
      </c>
      <c r="D73" s="2325"/>
      <c r="E73" s="1495"/>
      <c r="F73" s="1493" t="s">
        <v>20</v>
      </c>
      <c r="G73" s="1495"/>
      <c r="H73" s="1495"/>
      <c r="I73" s="1495" t="s">
        <v>7249</v>
      </c>
      <c r="J73" s="3009" t="s">
        <v>65</v>
      </c>
      <c r="K73" s="1495" t="s">
        <v>117</v>
      </c>
      <c r="L73" s="1600" t="s">
        <v>7588</v>
      </c>
      <c r="M73" s="2357">
        <v>510</v>
      </c>
      <c r="N73" s="3016" t="s">
        <v>7499</v>
      </c>
      <c r="O73" s="1493"/>
      <c r="P73" s="1859"/>
      <c r="Q73" s="3319" t="s">
        <v>7252</v>
      </c>
    </row>
    <row r="74" spans="1:35" s="2150" customFormat="1" ht="58.6" hidden="1" customHeight="1">
      <c r="A74" s="3769"/>
      <c r="B74" s="3007" t="str">
        <f t="shared" si="2"/>
        <v>2200002317</v>
      </c>
      <c r="C74" s="1493" t="s">
        <v>7310</v>
      </c>
      <c r="D74" s="3481"/>
      <c r="E74" s="1495"/>
      <c r="F74" s="1493" t="s">
        <v>20</v>
      </c>
      <c r="G74" s="1495"/>
      <c r="H74" s="1495"/>
      <c r="I74" s="1495" t="s">
        <v>7249</v>
      </c>
      <c r="J74" s="3009" t="s">
        <v>65</v>
      </c>
      <c r="K74" s="1495" t="s">
        <v>117</v>
      </c>
      <c r="L74" s="1600" t="s">
        <v>7596</v>
      </c>
      <c r="M74" s="2357">
        <v>1079</v>
      </c>
      <c r="N74" s="2385" t="s">
        <v>7597</v>
      </c>
      <c r="O74" s="1493">
        <v>35</v>
      </c>
      <c r="P74" s="1859"/>
      <c r="Q74" s="3319" t="s">
        <v>7252</v>
      </c>
      <c r="R74" s="1548"/>
      <c r="S74" s="1548"/>
      <c r="T74" s="1548"/>
      <c r="U74" s="1548"/>
      <c r="V74" s="1548"/>
    </row>
    <row r="75" spans="1:35" s="2150" customFormat="1" ht="58.6" hidden="1" customHeight="1">
      <c r="A75" s="3768">
        <v>18</v>
      </c>
      <c r="B75" s="3021" t="str">
        <f t="shared" si="2"/>
        <v>2000003264</v>
      </c>
      <c r="C75" s="1902" t="s">
        <v>5896</v>
      </c>
      <c r="D75" s="2488">
        <v>11940</v>
      </c>
      <c r="E75" s="1921" t="s">
        <v>7553</v>
      </c>
      <c r="F75" s="1902" t="s">
        <v>16</v>
      </c>
      <c r="G75" s="1921"/>
      <c r="H75" s="1921"/>
      <c r="I75" s="3271" t="s">
        <v>7249</v>
      </c>
      <c r="J75" s="3019" t="s">
        <v>65</v>
      </c>
      <c r="K75" s="1921" t="s">
        <v>164</v>
      </c>
      <c r="L75" s="2904" t="s">
        <v>7598</v>
      </c>
      <c r="M75" s="2583">
        <v>3340</v>
      </c>
      <c r="N75" s="2907" t="s">
        <v>5392</v>
      </c>
      <c r="O75" s="1902"/>
      <c r="P75" s="1775"/>
      <c r="Q75" s="3413" t="s">
        <v>7370</v>
      </c>
    </row>
    <row r="76" spans="1:35" s="1548" customFormat="1" ht="58.6" customHeight="1">
      <c r="A76" s="3769"/>
      <c r="B76" s="3007" t="str">
        <f t="shared" si="2"/>
        <v>2000003501</v>
      </c>
      <c r="C76" s="1493" t="s">
        <v>5896</v>
      </c>
      <c r="D76" s="2325"/>
      <c r="E76" s="1495"/>
      <c r="F76" s="1493" t="s">
        <v>16</v>
      </c>
      <c r="G76" s="1495"/>
      <c r="H76" s="1495"/>
      <c r="I76" s="3295" t="s">
        <v>7249</v>
      </c>
      <c r="J76" s="3009" t="s">
        <v>65</v>
      </c>
      <c r="K76" s="1495" t="s">
        <v>106</v>
      </c>
      <c r="L76" s="1600" t="s">
        <v>7599</v>
      </c>
      <c r="M76" s="2357">
        <v>8600</v>
      </c>
      <c r="N76" s="2907" t="s">
        <v>7407</v>
      </c>
      <c r="O76" s="1493"/>
      <c r="P76" s="1859"/>
      <c r="Q76" s="3413" t="s">
        <v>7370</v>
      </c>
    </row>
    <row r="77" spans="1:35" s="2150" customFormat="1" ht="58.6" customHeight="1">
      <c r="A77" s="3768">
        <v>19</v>
      </c>
      <c r="B77" s="3021" t="str">
        <f t="shared" si="2"/>
        <v>2000003480</v>
      </c>
      <c r="C77" s="1902" t="s">
        <v>3534</v>
      </c>
      <c r="D77" s="2488">
        <v>9300</v>
      </c>
      <c r="E77" s="1921" t="s">
        <v>7590</v>
      </c>
      <c r="F77" s="1902" t="s">
        <v>26</v>
      </c>
      <c r="G77" s="1921"/>
      <c r="H77" s="1909"/>
      <c r="I77" s="1921" t="s">
        <v>7249</v>
      </c>
      <c r="J77" s="1902" t="s">
        <v>65</v>
      </c>
      <c r="K77" s="1921" t="s">
        <v>164</v>
      </c>
      <c r="L77" s="2904" t="s">
        <v>7600</v>
      </c>
      <c r="M77" s="2583">
        <v>6535</v>
      </c>
      <c r="N77" s="2907" t="s">
        <v>7601</v>
      </c>
      <c r="O77" s="1902"/>
      <c r="P77" s="1775" t="s">
        <v>7602</v>
      </c>
      <c r="Q77" s="3413" t="s">
        <v>7252</v>
      </c>
    </row>
    <row r="78" spans="1:35" s="1548" customFormat="1" ht="58.6" hidden="1" customHeight="1">
      <c r="A78" s="3769"/>
      <c r="B78" s="3007" t="str">
        <f t="shared" si="2"/>
        <v>2000003455</v>
      </c>
      <c r="C78" s="1493" t="s">
        <v>3534</v>
      </c>
      <c r="D78" s="2325"/>
      <c r="E78" s="1495"/>
      <c r="F78" s="1493" t="s">
        <v>26</v>
      </c>
      <c r="G78" s="1495"/>
      <c r="H78" s="1495"/>
      <c r="I78" s="3295" t="s">
        <v>7249</v>
      </c>
      <c r="J78" s="3009" t="s">
        <v>65</v>
      </c>
      <c r="K78" s="1495" t="s">
        <v>4386</v>
      </c>
      <c r="L78" s="2878" t="s">
        <v>7603</v>
      </c>
      <c r="M78" s="2357">
        <v>3000</v>
      </c>
      <c r="N78" s="2385" t="s">
        <v>7604</v>
      </c>
      <c r="O78" s="1493"/>
      <c r="P78" s="1843" t="s">
        <v>7605</v>
      </c>
      <c r="Q78" s="3319" t="s">
        <v>7252</v>
      </c>
    </row>
    <row r="79" spans="1:35" s="2150" customFormat="1" ht="58.6" hidden="1" customHeight="1">
      <c r="A79" s="3768">
        <v>20</v>
      </c>
      <c r="B79" s="3021" t="str">
        <f t="shared" si="2"/>
        <v>2000003506</v>
      </c>
      <c r="C79" s="1902" t="s">
        <v>7606</v>
      </c>
      <c r="D79" s="2488">
        <v>3920</v>
      </c>
      <c r="E79" s="1921" t="s">
        <v>7607</v>
      </c>
      <c r="F79" s="1902" t="s">
        <v>20</v>
      </c>
      <c r="G79" s="1921" t="s">
        <v>7608</v>
      </c>
      <c r="H79" s="1921"/>
      <c r="I79" s="1921" t="s">
        <v>7249</v>
      </c>
      <c r="J79" s="3019" t="s">
        <v>65</v>
      </c>
      <c r="K79" s="1921" t="s">
        <v>117</v>
      </c>
      <c r="L79" s="1845" t="s">
        <v>7609</v>
      </c>
      <c r="M79" s="2583">
        <v>1524</v>
      </c>
      <c r="N79" s="2907" t="s">
        <v>7499</v>
      </c>
      <c r="O79" s="1902"/>
      <c r="P79" s="1775"/>
      <c r="Q79" s="3413" t="s">
        <v>7370</v>
      </c>
    </row>
    <row r="80" spans="1:35" s="2150" customFormat="1" ht="58.6" hidden="1" customHeight="1">
      <c r="A80" s="3770"/>
      <c r="B80" s="3007" t="str">
        <f t="shared" si="2"/>
        <v>2200002317</v>
      </c>
      <c r="C80" s="1493" t="s">
        <v>7606</v>
      </c>
      <c r="D80" s="1548"/>
      <c r="E80" s="1921" t="s">
        <v>7607</v>
      </c>
      <c r="F80" s="1493" t="s">
        <v>20</v>
      </c>
      <c r="G80" s="1495"/>
      <c r="H80" s="1495"/>
      <c r="I80" s="1495" t="s">
        <v>7249</v>
      </c>
      <c r="J80" s="3009" t="s">
        <v>65</v>
      </c>
      <c r="K80" s="1495" t="s">
        <v>117</v>
      </c>
      <c r="L80" s="1600" t="s">
        <v>7596</v>
      </c>
      <c r="M80" s="2357">
        <v>1240</v>
      </c>
      <c r="N80" s="2385" t="s">
        <v>7597</v>
      </c>
      <c r="O80" s="1493">
        <v>35</v>
      </c>
      <c r="P80" s="1859"/>
      <c r="Q80" s="3319" t="s">
        <v>7370</v>
      </c>
      <c r="R80" s="1548"/>
      <c r="S80" s="1548"/>
      <c r="T80" s="1548"/>
      <c r="U80" s="1548"/>
      <c r="V80" s="1548"/>
    </row>
    <row r="81" spans="1:35" s="1548" customFormat="1" ht="58.6" customHeight="1">
      <c r="A81" s="3769"/>
      <c r="B81" s="3007" t="str">
        <f t="shared" si="2"/>
        <v>2000003502</v>
      </c>
      <c r="C81" s="1493" t="s">
        <v>7606</v>
      </c>
      <c r="D81" s="2325"/>
      <c r="E81" s="1921" t="s">
        <v>7607</v>
      </c>
      <c r="F81" s="1493" t="s">
        <v>20</v>
      </c>
      <c r="G81" s="1495"/>
      <c r="H81" s="1495"/>
      <c r="I81" s="1495" t="s">
        <v>7249</v>
      </c>
      <c r="J81" s="3009" t="s">
        <v>65</v>
      </c>
      <c r="K81" s="1495" t="s">
        <v>117</v>
      </c>
      <c r="L81" s="1600" t="s">
        <v>7610</v>
      </c>
      <c r="M81" s="2357">
        <v>1156</v>
      </c>
      <c r="N81" s="3188" t="s">
        <v>7407</v>
      </c>
      <c r="O81" s="1493"/>
      <c r="P81" s="1859"/>
      <c r="Q81" s="3319" t="s">
        <v>7370</v>
      </c>
    </row>
    <row r="82" spans="1:35" s="2150" customFormat="1" ht="58.6" customHeight="1">
      <c r="A82" s="2436">
        <v>21</v>
      </c>
      <c r="B82" s="3021" t="str">
        <f t="shared" si="2"/>
        <v>2200002289</v>
      </c>
      <c r="C82" s="1902" t="s">
        <v>3895</v>
      </c>
      <c r="D82" s="2488">
        <v>3950</v>
      </c>
      <c r="E82" s="1921" t="s">
        <v>7607</v>
      </c>
      <c r="F82" s="1902" t="s">
        <v>26</v>
      </c>
      <c r="G82" s="1921"/>
      <c r="H82" s="1921"/>
      <c r="I82" s="2789" t="s">
        <v>7249</v>
      </c>
      <c r="J82" s="3019" t="s">
        <v>65</v>
      </c>
      <c r="K82" s="1921" t="s">
        <v>142</v>
      </c>
      <c r="L82" s="1845" t="s">
        <v>7611</v>
      </c>
      <c r="M82" s="2583">
        <v>3950</v>
      </c>
      <c r="N82" s="3188" t="s">
        <v>7582</v>
      </c>
      <c r="O82" s="1902"/>
      <c r="P82" s="1775"/>
      <c r="Q82" s="3319" t="s">
        <v>7370</v>
      </c>
    </row>
    <row r="83" spans="1:35" s="2150" customFormat="1" ht="58.6" customHeight="1">
      <c r="A83" s="3768">
        <v>22</v>
      </c>
      <c r="B83" s="3021" t="str">
        <f t="shared" si="2"/>
        <v>2200002292</v>
      </c>
      <c r="C83" s="2667" t="s">
        <v>5480</v>
      </c>
      <c r="D83" s="2488">
        <v>24000</v>
      </c>
      <c r="E83" s="1921" t="s">
        <v>7544</v>
      </c>
      <c r="F83" s="1902" t="s">
        <v>14</v>
      </c>
      <c r="G83" s="1921" t="s">
        <v>7612</v>
      </c>
      <c r="H83" s="1921"/>
      <c r="I83" s="1921" t="s">
        <v>7387</v>
      </c>
      <c r="J83" s="3019" t="s">
        <v>65</v>
      </c>
      <c r="K83" s="1921" t="s">
        <v>1000</v>
      </c>
      <c r="L83" s="1862" t="s">
        <v>7613</v>
      </c>
      <c r="M83" s="2583">
        <v>3421</v>
      </c>
      <c r="N83" s="2907" t="s">
        <v>7407</v>
      </c>
      <c r="O83" s="1902"/>
      <c r="P83" s="1775"/>
      <c r="Q83" s="3413" t="s">
        <v>7370</v>
      </c>
    </row>
    <row r="84" spans="1:35" s="1548" customFormat="1" ht="58.6" hidden="1" customHeight="1">
      <c r="A84" s="3770"/>
      <c r="B84" s="3007" t="str">
        <f t="shared" si="2"/>
        <v>2000003457</v>
      </c>
      <c r="C84" s="1782" t="s">
        <v>5480</v>
      </c>
      <c r="D84" s="2325"/>
      <c r="E84" s="1495"/>
      <c r="F84" s="1493" t="s">
        <v>14</v>
      </c>
      <c r="G84" s="1495"/>
      <c r="H84" s="1495"/>
      <c r="I84" s="1495" t="s">
        <v>7249</v>
      </c>
      <c r="J84" s="3009" t="s">
        <v>65</v>
      </c>
      <c r="K84" s="1495" t="s">
        <v>1000</v>
      </c>
      <c r="L84" s="1496" t="s">
        <v>7614</v>
      </c>
      <c r="M84" s="2204">
        <v>4725</v>
      </c>
      <c r="N84" s="2385" t="s">
        <v>7615</v>
      </c>
      <c r="O84" s="1493"/>
      <c r="P84" s="1859"/>
      <c r="Q84" s="3319" t="s">
        <v>7370</v>
      </c>
    </row>
    <row r="85" spans="1:35" s="1548" customFormat="1" ht="58.6" hidden="1" customHeight="1">
      <c r="A85" s="3770"/>
      <c r="B85" s="3007" t="str">
        <f t="shared" si="2"/>
        <v>2000003407</v>
      </c>
      <c r="C85" s="1782" t="s">
        <v>5480</v>
      </c>
      <c r="D85" s="3438"/>
      <c r="E85" s="1748"/>
      <c r="F85" s="1493" t="s">
        <v>14</v>
      </c>
      <c r="G85" s="1748"/>
      <c r="H85" s="1748"/>
      <c r="I85" s="1495" t="s">
        <v>7249</v>
      </c>
      <c r="J85" s="3282" t="s">
        <v>65</v>
      </c>
      <c r="K85" s="1495" t="s">
        <v>1000</v>
      </c>
      <c r="L85" s="1600" t="s">
        <v>7616</v>
      </c>
      <c r="M85" s="2357">
        <v>980</v>
      </c>
      <c r="N85" s="2385" t="s">
        <v>5392</v>
      </c>
      <c r="O85" s="1790"/>
      <c r="P85" s="3439"/>
      <c r="Q85" s="3413" t="s">
        <v>7370</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6" hidden="1" customHeight="1">
      <c r="A86" s="3770"/>
      <c r="B86" s="3007" t="str">
        <f t="shared" si="2"/>
        <v>2200002290</v>
      </c>
      <c r="C86" s="1782" t="s">
        <v>5480</v>
      </c>
      <c r="D86" s="2325"/>
      <c r="E86" s="1495"/>
      <c r="F86" s="1493" t="s">
        <v>14</v>
      </c>
      <c r="G86" s="1495"/>
      <c r="H86" s="1495"/>
      <c r="I86" s="1495" t="s">
        <v>7387</v>
      </c>
      <c r="J86" s="3009" t="s">
        <v>65</v>
      </c>
      <c r="K86" s="1495" t="s">
        <v>1000</v>
      </c>
      <c r="L86" s="1600" t="s">
        <v>7617</v>
      </c>
      <c r="M86" s="2357">
        <v>4540</v>
      </c>
      <c r="N86" s="2385" t="s">
        <v>5392</v>
      </c>
      <c r="O86" s="1493"/>
      <c r="P86" s="1859"/>
      <c r="Q86" s="3413" t="s">
        <v>7370</v>
      </c>
    </row>
    <row r="87" spans="1:35" s="1548" customFormat="1" ht="58.6" customHeight="1">
      <c r="A87" s="3770"/>
      <c r="B87" s="3007" t="str">
        <f t="shared" si="2"/>
        <v>2200002288</v>
      </c>
      <c r="C87" s="1782" t="s">
        <v>5480</v>
      </c>
      <c r="D87" s="2325"/>
      <c r="E87" s="1495"/>
      <c r="F87" s="1493" t="s">
        <v>14</v>
      </c>
      <c r="G87" s="1495"/>
      <c r="H87" s="1495"/>
      <c r="I87" s="1495" t="s">
        <v>7387</v>
      </c>
      <c r="J87" s="1493" t="s">
        <v>65</v>
      </c>
      <c r="K87" s="1495" t="s">
        <v>1000</v>
      </c>
      <c r="L87" s="1600" t="s">
        <v>7618</v>
      </c>
      <c r="M87" s="2357">
        <v>5000</v>
      </c>
      <c r="N87" s="2907" t="s">
        <v>7407</v>
      </c>
      <c r="O87" s="1493"/>
      <c r="P87" s="1859"/>
      <c r="Q87" s="3413" t="s">
        <v>7370</v>
      </c>
    </row>
    <row r="88" spans="1:35" s="1548" customFormat="1" ht="58.6" hidden="1" customHeight="1">
      <c r="A88" s="3770"/>
      <c r="B88" s="3007" t="str">
        <f t="shared" si="2"/>
        <v>2000003512</v>
      </c>
      <c r="C88" s="1782" t="s">
        <v>5480</v>
      </c>
      <c r="D88" s="2325"/>
      <c r="E88" s="1495"/>
      <c r="F88" s="1493" t="s">
        <v>14</v>
      </c>
      <c r="G88" s="1495"/>
      <c r="H88" s="1495"/>
      <c r="I88" s="1624" t="s">
        <v>7249</v>
      </c>
      <c r="J88" s="3009" t="s">
        <v>65</v>
      </c>
      <c r="K88" s="1495" t="s">
        <v>1000</v>
      </c>
      <c r="L88" s="2878" t="s">
        <v>7619</v>
      </c>
      <c r="M88" s="2357">
        <v>2950</v>
      </c>
      <c r="N88" s="3016" t="s">
        <v>7620</v>
      </c>
      <c r="O88" s="1493"/>
      <c r="P88" s="1859"/>
      <c r="Q88" s="3413" t="s">
        <v>7370</v>
      </c>
    </row>
    <row r="89" spans="1:35" s="1548" customFormat="1" ht="58.6" hidden="1" customHeight="1">
      <c r="A89" s="3770"/>
      <c r="B89" s="3007" t="str">
        <f t="shared" si="2"/>
        <v>2200002316</v>
      </c>
      <c r="C89" s="1782" t="s">
        <v>5480</v>
      </c>
      <c r="D89" s="3481"/>
      <c r="F89" s="1493" t="s">
        <v>14</v>
      </c>
      <c r="I89" s="1495" t="s">
        <v>7387</v>
      </c>
      <c r="J89" s="1493" t="s">
        <v>65</v>
      </c>
      <c r="K89" s="1495" t="s">
        <v>1000</v>
      </c>
      <c r="L89" s="1600" t="s">
        <v>7621</v>
      </c>
      <c r="M89" s="1548">
        <v>213</v>
      </c>
      <c r="N89" s="3016" t="s">
        <v>7538</v>
      </c>
      <c r="Q89" s="3413" t="s">
        <v>7370</v>
      </c>
    </row>
    <row r="90" spans="1:35" s="1548" customFormat="1" ht="58.6" hidden="1" customHeight="1">
      <c r="A90" s="3770"/>
      <c r="B90" s="3007" t="str">
        <f t="shared" ref="B90:B121" si="3">TEXT(LEFT(L90,10),"0000000000")</f>
        <v>2200002315</v>
      </c>
      <c r="C90" s="1782" t="s">
        <v>5480</v>
      </c>
      <c r="D90" s="3481"/>
      <c r="F90" s="1493" t="s">
        <v>14</v>
      </c>
      <c r="I90" s="1495" t="s">
        <v>7387</v>
      </c>
      <c r="J90" s="1493" t="s">
        <v>65</v>
      </c>
      <c r="K90" s="1495" t="s">
        <v>1000</v>
      </c>
      <c r="L90" s="1600" t="s">
        <v>7622</v>
      </c>
      <c r="M90" s="1548">
        <v>430</v>
      </c>
      <c r="N90" s="3016" t="s">
        <v>7538</v>
      </c>
      <c r="Q90" s="3413" t="s">
        <v>7370</v>
      </c>
    </row>
    <row r="91" spans="1:35" s="1548" customFormat="1" ht="58.6" hidden="1" customHeight="1">
      <c r="A91" s="3770"/>
      <c r="B91" s="3007" t="str">
        <f t="shared" si="3"/>
        <v>2200002312</v>
      </c>
      <c r="C91" s="1782" t="s">
        <v>5480</v>
      </c>
      <c r="D91" s="3481"/>
      <c r="F91" s="1493" t="s">
        <v>14</v>
      </c>
      <c r="I91" s="1495" t="s">
        <v>7387</v>
      </c>
      <c r="J91" s="1493" t="s">
        <v>65</v>
      </c>
      <c r="K91" s="1495" t="s">
        <v>1000</v>
      </c>
      <c r="L91" s="1600" t="s">
        <v>7623</v>
      </c>
      <c r="M91" s="1548">
        <v>1380</v>
      </c>
      <c r="N91" s="3016" t="s">
        <v>7538</v>
      </c>
      <c r="Q91" s="3413" t="s">
        <v>7370</v>
      </c>
    </row>
    <row r="92" spans="1:35" s="1548" customFormat="1" ht="58.6" customHeight="1">
      <c r="A92" s="3769"/>
      <c r="B92" s="3007" t="str">
        <f t="shared" si="3"/>
        <v>2200002309</v>
      </c>
      <c r="C92" s="1782" t="s">
        <v>5480</v>
      </c>
      <c r="D92" s="3481"/>
      <c r="F92" s="1493" t="s">
        <v>14</v>
      </c>
      <c r="I92" s="1495" t="s">
        <v>7387</v>
      </c>
      <c r="J92" s="1493" t="s">
        <v>65</v>
      </c>
      <c r="K92" s="1495" t="s">
        <v>1000</v>
      </c>
      <c r="L92" s="1600" t="s">
        <v>7624</v>
      </c>
      <c r="M92" s="1548">
        <v>361</v>
      </c>
      <c r="N92" s="2907" t="s">
        <v>7625</v>
      </c>
      <c r="Q92" s="3413" t="s">
        <v>7370</v>
      </c>
    </row>
    <row r="93" spans="1:35" s="2150" customFormat="1" ht="58.6" hidden="1" customHeight="1">
      <c r="A93" s="3768">
        <v>23</v>
      </c>
      <c r="B93" s="3007" t="str">
        <f t="shared" si="3"/>
        <v>2000003264</v>
      </c>
      <c r="C93" s="1902" t="s">
        <v>4455</v>
      </c>
      <c r="D93" s="2488">
        <v>24200</v>
      </c>
      <c r="E93" s="1921" t="s">
        <v>7626</v>
      </c>
      <c r="F93" s="1902" t="s">
        <v>14</v>
      </c>
      <c r="G93" s="1921" t="s">
        <v>7627</v>
      </c>
      <c r="H93" s="1921"/>
      <c r="I93" s="3271" t="s">
        <v>7249</v>
      </c>
      <c r="J93" s="3019" t="s">
        <v>65</v>
      </c>
      <c r="K93" s="1921" t="s">
        <v>164</v>
      </c>
      <c r="L93" s="2904" t="s">
        <v>7628</v>
      </c>
      <c r="M93" s="2583">
        <v>2440</v>
      </c>
      <c r="N93" s="2907" t="s">
        <v>7499</v>
      </c>
      <c r="O93" s="1902"/>
      <c r="P93" s="1775"/>
      <c r="Q93" s="3413" t="s">
        <v>7370</v>
      </c>
    </row>
    <row r="94" spans="1:35" s="1548" customFormat="1" ht="58.6" hidden="1" customHeight="1">
      <c r="A94" s="3770"/>
      <c r="B94" s="3007" t="str">
        <f t="shared" si="3"/>
        <v>2000003266</v>
      </c>
      <c r="C94" s="1493" t="s">
        <v>4455</v>
      </c>
      <c r="D94" s="2325"/>
      <c r="E94" s="1495" t="s">
        <v>7626</v>
      </c>
      <c r="F94" s="1493" t="s">
        <v>14</v>
      </c>
      <c r="G94" s="1495"/>
      <c r="H94" s="1495"/>
      <c r="I94" s="3295" t="s">
        <v>7249</v>
      </c>
      <c r="J94" s="3009" t="s">
        <v>65</v>
      </c>
      <c r="K94" s="1495" t="s">
        <v>164</v>
      </c>
      <c r="L94" s="2878" t="s">
        <v>7629</v>
      </c>
      <c r="M94" s="2357">
        <v>3500</v>
      </c>
      <c r="N94" s="2907" t="s">
        <v>7499</v>
      </c>
      <c r="O94" s="1493"/>
      <c r="P94" s="1859"/>
      <c r="Q94" s="3413" t="s">
        <v>7370</v>
      </c>
    </row>
    <row r="95" spans="1:35" s="1467" customFormat="1" ht="58.6" hidden="1" customHeight="1">
      <c r="A95" s="3770"/>
      <c r="B95" s="3290" t="str">
        <f t="shared" si="3"/>
        <v>2000003471</v>
      </c>
      <c r="C95" s="1493" t="s">
        <v>4455</v>
      </c>
      <c r="D95" s="3495"/>
      <c r="E95" s="1495" t="s">
        <v>7626</v>
      </c>
      <c r="F95" s="1493" t="s">
        <v>14</v>
      </c>
      <c r="G95" s="1851"/>
      <c r="H95" s="1851"/>
      <c r="I95" s="3295" t="s">
        <v>7249</v>
      </c>
      <c r="J95" s="3009" t="s">
        <v>65</v>
      </c>
      <c r="K95" s="1495" t="s">
        <v>106</v>
      </c>
      <c r="L95" s="2878" t="s">
        <v>7630</v>
      </c>
      <c r="M95" s="2357">
        <v>4015</v>
      </c>
      <c r="N95" s="3016" t="s">
        <v>7499</v>
      </c>
      <c r="O95" s="1493"/>
      <c r="P95" s="1859"/>
      <c r="Q95" s="3413" t="s">
        <v>7370</v>
      </c>
      <c r="R95" s="1548"/>
      <c r="S95" s="1548"/>
      <c r="T95" s="1548"/>
      <c r="U95" s="1548"/>
      <c r="V95" s="1548"/>
      <c r="W95" s="1548"/>
      <c r="X95" s="1548"/>
      <c r="Y95" s="1548"/>
      <c r="Z95" s="1548"/>
      <c r="AA95" s="1548"/>
    </row>
    <row r="96" spans="1:35" s="1548" customFormat="1" ht="58.6" hidden="1" customHeight="1">
      <c r="A96" s="3770"/>
      <c r="B96" s="3007" t="str">
        <f t="shared" si="3"/>
        <v>2000003490</v>
      </c>
      <c r="C96" s="1493" t="s">
        <v>4455</v>
      </c>
      <c r="D96" s="2325"/>
      <c r="E96" s="1495" t="s">
        <v>7626</v>
      </c>
      <c r="F96" s="1493" t="s">
        <v>14</v>
      </c>
      <c r="G96" s="1495"/>
      <c r="H96" s="1495"/>
      <c r="I96" s="3295" t="s">
        <v>7249</v>
      </c>
      <c r="J96" s="3009" t="s">
        <v>65</v>
      </c>
      <c r="K96" s="1495" t="s">
        <v>164</v>
      </c>
      <c r="L96" s="1600" t="s">
        <v>7631</v>
      </c>
      <c r="M96" s="2357">
        <v>300</v>
      </c>
      <c r="N96" s="3016" t="s">
        <v>7499</v>
      </c>
      <c r="O96" s="1493"/>
      <c r="P96" s="1859"/>
      <c r="Q96" s="3413" t="s">
        <v>7370</v>
      </c>
    </row>
    <row r="97" spans="1:35" s="1548" customFormat="1" ht="58.6" hidden="1" customHeight="1">
      <c r="A97" s="3770"/>
      <c r="B97" s="3007" t="str">
        <f t="shared" si="3"/>
        <v>2000003550</v>
      </c>
      <c r="C97" s="1493" t="s">
        <v>4455</v>
      </c>
      <c r="D97" s="2325"/>
      <c r="E97" s="1495" t="s">
        <v>7626</v>
      </c>
      <c r="F97" s="1493" t="s">
        <v>14</v>
      </c>
      <c r="G97" s="1495"/>
      <c r="H97" s="1495"/>
      <c r="I97" s="1787">
        <v>45819</v>
      </c>
      <c r="J97" s="3009" t="s">
        <v>65</v>
      </c>
      <c r="K97" s="1495" t="s">
        <v>106</v>
      </c>
      <c r="L97" s="2878" t="s">
        <v>7632</v>
      </c>
      <c r="M97" s="2357">
        <v>200</v>
      </c>
      <c r="N97" s="3016" t="s">
        <v>7499</v>
      </c>
      <c r="O97" s="1493"/>
      <c r="P97" s="1859"/>
      <c r="Q97" s="3413" t="s">
        <v>7370</v>
      </c>
    </row>
    <row r="98" spans="1:35" s="1548" customFormat="1" ht="58.6" hidden="1" customHeight="1">
      <c r="A98" s="3770"/>
      <c r="B98" s="3007" t="str">
        <f t="shared" si="3"/>
        <v>2000003500</v>
      </c>
      <c r="C98" s="1493" t="s">
        <v>4455</v>
      </c>
      <c r="D98" s="2325"/>
      <c r="E98" s="1495" t="s">
        <v>7626</v>
      </c>
      <c r="F98" s="1493" t="s">
        <v>14</v>
      </c>
      <c r="G98" s="1495"/>
      <c r="H98" s="1495"/>
      <c r="I98" s="1767" t="s">
        <v>7633</v>
      </c>
      <c r="J98" s="3009" t="s">
        <v>65</v>
      </c>
      <c r="K98" s="1495" t="s">
        <v>106</v>
      </c>
      <c r="L98" s="1600" t="s">
        <v>7634</v>
      </c>
      <c r="M98" s="2357">
        <v>500</v>
      </c>
      <c r="N98" s="3016" t="s">
        <v>7499</v>
      </c>
      <c r="O98" s="1493"/>
      <c r="P98" s="1859" t="s">
        <v>7562</v>
      </c>
      <c r="Q98" s="3413" t="s">
        <v>7370</v>
      </c>
    </row>
    <row r="99" spans="1:35" s="1548" customFormat="1" ht="77.3" hidden="1" customHeight="1">
      <c r="A99" s="3770"/>
      <c r="B99" s="3007" t="str">
        <f t="shared" si="3"/>
        <v>2000003472</v>
      </c>
      <c r="C99" s="1493" t="s">
        <v>4455</v>
      </c>
      <c r="D99" s="3479"/>
      <c r="E99" s="1495" t="s">
        <v>7626</v>
      </c>
      <c r="F99" s="1493" t="s">
        <v>14</v>
      </c>
      <c r="G99" s="3007"/>
      <c r="H99" s="3007"/>
      <c r="I99" s="3295" t="s">
        <v>7249</v>
      </c>
      <c r="J99" s="3009" t="s">
        <v>65</v>
      </c>
      <c r="K99" s="3007" t="s">
        <v>106</v>
      </c>
      <c r="L99" s="2878" t="s">
        <v>7635</v>
      </c>
      <c r="M99" s="3217">
        <v>3418</v>
      </c>
      <c r="N99" s="3016" t="s">
        <v>7636</v>
      </c>
      <c r="O99" s="3009"/>
      <c r="P99" s="3218" t="s">
        <v>7562</v>
      </c>
      <c r="Q99" s="3413" t="s">
        <v>7370</v>
      </c>
      <c r="W99" s="2150"/>
      <c r="X99" s="2150"/>
      <c r="Y99" s="2150"/>
      <c r="Z99" s="2150"/>
      <c r="AA99" s="2150"/>
      <c r="AB99" s="2150"/>
      <c r="AC99" s="2150"/>
      <c r="AD99" s="2150"/>
      <c r="AE99" s="2150"/>
      <c r="AF99" s="2150"/>
      <c r="AG99" s="2150"/>
      <c r="AH99" s="2150"/>
      <c r="AI99" s="2150"/>
    </row>
    <row r="100" spans="1:35" s="2150" customFormat="1" ht="58.6" hidden="1" customHeight="1">
      <c r="A100" s="3770"/>
      <c r="B100" s="3007" t="str">
        <f t="shared" si="3"/>
        <v>2000003492</v>
      </c>
      <c r="C100" s="1493" t="s">
        <v>4455</v>
      </c>
      <c r="D100" s="2325"/>
      <c r="E100" s="1495" t="s">
        <v>7626</v>
      </c>
      <c r="F100" s="1493" t="s">
        <v>14</v>
      </c>
      <c r="G100" s="1495"/>
      <c r="H100" s="1748"/>
      <c r="I100" s="1495" t="s">
        <v>7249</v>
      </c>
      <c r="J100" s="3009" t="s">
        <v>65</v>
      </c>
      <c r="K100" s="1495" t="s">
        <v>5400</v>
      </c>
      <c r="L100" s="3090" t="s">
        <v>7637</v>
      </c>
      <c r="M100" s="2357">
        <v>6074</v>
      </c>
      <c r="N100" s="3016" t="s">
        <v>7536</v>
      </c>
      <c r="O100" s="1493"/>
      <c r="P100" s="1859"/>
      <c r="Q100" s="3413" t="s">
        <v>7370</v>
      </c>
      <c r="R100" s="1548"/>
      <c r="S100" s="1548"/>
      <c r="T100" s="1548"/>
      <c r="U100" s="1548"/>
      <c r="V100" s="1548"/>
    </row>
    <row r="101" spans="1:35" s="2150" customFormat="1" ht="58.6" customHeight="1">
      <c r="A101" s="3769"/>
      <c r="B101" s="3007" t="str">
        <f t="shared" si="3"/>
        <v>2000003504</v>
      </c>
      <c r="C101" s="1493" t="s">
        <v>4455</v>
      </c>
      <c r="D101" s="2325"/>
      <c r="E101" s="1495" t="s">
        <v>7626</v>
      </c>
      <c r="F101" s="1493" t="s">
        <v>14</v>
      </c>
      <c r="G101" s="1495"/>
      <c r="H101" s="1495"/>
      <c r="I101" s="1495" t="s">
        <v>7249</v>
      </c>
      <c r="J101" s="3009" t="s">
        <v>65</v>
      </c>
      <c r="K101" s="1495" t="s">
        <v>7638</v>
      </c>
      <c r="L101" s="2878" t="s">
        <v>7639</v>
      </c>
      <c r="M101" s="2357">
        <v>3300</v>
      </c>
      <c r="N101" s="2907" t="s">
        <v>7407</v>
      </c>
      <c r="O101" s="1493"/>
      <c r="P101" s="1859"/>
      <c r="Q101" s="3413" t="s">
        <v>7370</v>
      </c>
      <c r="R101" s="1548"/>
      <c r="S101" s="1548"/>
      <c r="T101" s="1548"/>
      <c r="U101" s="1548"/>
      <c r="V101" s="1548"/>
    </row>
    <row r="102" spans="1:35" s="2150" customFormat="1" ht="58.6" customHeight="1">
      <c r="A102" s="3216"/>
      <c r="B102" s="3021" t="str">
        <f t="shared" si="3"/>
        <v>2200002310</v>
      </c>
      <c r="C102" s="1902" t="s">
        <v>3508</v>
      </c>
      <c r="D102" s="2488">
        <v>4280</v>
      </c>
      <c r="E102" s="1921" t="s">
        <v>7640</v>
      </c>
      <c r="F102" s="1902" t="s">
        <v>24</v>
      </c>
      <c r="G102" s="1921"/>
      <c r="H102" s="1921"/>
      <c r="I102" s="1921" t="s">
        <v>7249</v>
      </c>
      <c r="J102" s="3019" t="s">
        <v>65</v>
      </c>
      <c r="K102" s="1921" t="s">
        <v>117</v>
      </c>
      <c r="L102" s="1845" t="s">
        <v>7641</v>
      </c>
      <c r="M102" s="2583">
        <v>974</v>
      </c>
      <c r="N102" s="3188" t="s">
        <v>7642</v>
      </c>
      <c r="O102" s="1902">
        <v>32</v>
      </c>
      <c r="P102" s="1775"/>
      <c r="Q102" s="3413" t="s">
        <v>7370</v>
      </c>
    </row>
    <row r="103" spans="1:35" s="1548" customFormat="1" ht="58.6" hidden="1" customHeight="1">
      <c r="A103" s="1542"/>
      <c r="B103" s="3007" t="str">
        <f t="shared" si="3"/>
        <v>2000003473</v>
      </c>
      <c r="C103" s="1493" t="s">
        <v>3508</v>
      </c>
      <c r="D103" s="2325"/>
      <c r="E103" s="1495"/>
      <c r="F103" s="1493" t="s">
        <v>24</v>
      </c>
      <c r="G103" s="1495"/>
      <c r="H103" s="1495"/>
      <c r="I103" s="1766" t="s">
        <v>7249</v>
      </c>
      <c r="J103" s="3009" t="s">
        <v>65</v>
      </c>
      <c r="K103" s="1495" t="s">
        <v>117</v>
      </c>
      <c r="L103" s="1843" t="s">
        <v>7643</v>
      </c>
      <c r="M103" s="2646">
        <v>3200</v>
      </c>
      <c r="N103" s="2196" t="s">
        <v>7536</v>
      </c>
      <c r="O103" s="1493"/>
      <c r="P103" s="1859" t="s">
        <v>7573</v>
      </c>
      <c r="Q103" s="3319" t="s">
        <v>7370</v>
      </c>
    </row>
    <row r="104" spans="1:35" s="1548" customFormat="1" ht="58.6" hidden="1" customHeight="1">
      <c r="A104" s="1542"/>
      <c r="B104" s="3007" t="str">
        <f t="shared" si="3"/>
        <v>2000003474</v>
      </c>
      <c r="C104" s="1902" t="s">
        <v>5278</v>
      </c>
      <c r="D104" s="2488">
        <v>4350</v>
      </c>
      <c r="E104" s="1921" t="s">
        <v>7644</v>
      </c>
      <c r="F104" s="1902" t="s">
        <v>20</v>
      </c>
      <c r="G104" s="1495"/>
      <c r="H104" s="1495"/>
      <c r="I104" s="1766" t="s">
        <v>7249</v>
      </c>
      <c r="J104" s="3009" t="s">
        <v>65</v>
      </c>
      <c r="K104" s="1495" t="s">
        <v>117</v>
      </c>
      <c r="L104" s="3090" t="s">
        <v>7645</v>
      </c>
      <c r="M104" s="2357">
        <v>4350</v>
      </c>
      <c r="N104" s="2196" t="s">
        <v>7536</v>
      </c>
      <c r="O104" s="1493"/>
      <c r="P104" s="1859" t="s">
        <v>7573</v>
      </c>
      <c r="Q104" s="3319" t="s">
        <v>7370</v>
      </c>
    </row>
    <row r="105" spans="1:35" s="2150" customFormat="1" ht="58.6" hidden="1" customHeight="1">
      <c r="A105" s="2436"/>
      <c r="B105" s="3021" t="str">
        <f t="shared" si="3"/>
        <v>2000003492</v>
      </c>
      <c r="C105" s="1902" t="s">
        <v>4824</v>
      </c>
      <c r="D105" s="2488">
        <v>5820</v>
      </c>
      <c r="E105" s="1921" t="s">
        <v>7607</v>
      </c>
      <c r="F105" s="1902" t="s">
        <v>18</v>
      </c>
      <c r="G105" s="1921"/>
      <c r="H105" s="1909"/>
      <c r="I105" s="1921" t="s">
        <v>7249</v>
      </c>
      <c r="J105" s="3019" t="s">
        <v>65</v>
      </c>
      <c r="K105" s="1921" t="s">
        <v>5400</v>
      </c>
      <c r="L105" s="2194" t="s">
        <v>7646</v>
      </c>
      <c r="M105" s="2583">
        <f>7251-6074</f>
        <v>1177</v>
      </c>
      <c r="N105" s="2907" t="s">
        <v>7536</v>
      </c>
      <c r="O105" s="1902"/>
      <c r="P105" s="1775"/>
      <c r="Q105" s="3413" t="s">
        <v>7370</v>
      </c>
    </row>
    <row r="106" spans="1:35" s="2150" customFormat="1" ht="58.6" hidden="1" customHeight="1">
      <c r="A106" s="2436"/>
      <c r="B106" s="3021" t="str">
        <f t="shared" si="3"/>
        <v>2000003494</v>
      </c>
      <c r="C106" s="1902" t="s">
        <v>4824</v>
      </c>
      <c r="E106" s="1921"/>
      <c r="F106" s="1902" t="s">
        <v>18</v>
      </c>
      <c r="G106" s="1921"/>
      <c r="H106" s="1921"/>
      <c r="I106" s="1921" t="s">
        <v>7249</v>
      </c>
      <c r="J106" s="3019" t="s">
        <v>65</v>
      </c>
      <c r="K106" s="1921" t="s">
        <v>7638</v>
      </c>
      <c r="L106" s="1845" t="s">
        <v>7647</v>
      </c>
      <c r="M106" s="2583">
        <v>1060</v>
      </c>
      <c r="N106" s="2907" t="s">
        <v>7536</v>
      </c>
      <c r="O106" s="1902"/>
      <c r="P106" s="1775"/>
      <c r="Q106" s="3413" t="s">
        <v>7370</v>
      </c>
    </row>
    <row r="107" spans="1:35" s="1548" customFormat="1" ht="58.6" hidden="1" customHeight="1">
      <c r="A107" s="1542"/>
      <c r="B107" s="3007" t="str">
        <f t="shared" si="3"/>
        <v>2000003432</v>
      </c>
      <c r="C107" s="1493" t="s">
        <v>4824</v>
      </c>
      <c r="D107" s="2325"/>
      <c r="E107" s="1921"/>
      <c r="F107" s="1493" t="s">
        <v>18</v>
      </c>
      <c r="G107" s="1495"/>
      <c r="H107" s="1495"/>
      <c r="I107" s="1495" t="s">
        <v>7249</v>
      </c>
      <c r="J107" s="1493" t="s">
        <v>65</v>
      </c>
      <c r="K107" s="1495" t="s">
        <v>5400</v>
      </c>
      <c r="L107" s="1600" t="s">
        <v>7648</v>
      </c>
      <c r="M107" s="2357">
        <v>300</v>
      </c>
      <c r="N107" s="2196" t="s">
        <v>7649</v>
      </c>
      <c r="O107" s="1493"/>
      <c r="P107" s="1859"/>
      <c r="Q107" s="3319" t="s">
        <v>7370</v>
      </c>
    </row>
    <row r="108" spans="1:35" s="1548" customFormat="1" ht="58.6" hidden="1" customHeight="1">
      <c r="A108" s="1542"/>
      <c r="B108" s="3007" t="str">
        <f t="shared" si="3"/>
        <v>2000003433</v>
      </c>
      <c r="C108" s="1493" t="s">
        <v>4824</v>
      </c>
      <c r="D108" s="2325"/>
      <c r="E108" s="1921"/>
      <c r="F108" s="1493" t="s">
        <v>18</v>
      </c>
      <c r="G108" s="1495"/>
      <c r="H108" s="1495"/>
      <c r="I108" s="1495" t="s">
        <v>7249</v>
      </c>
      <c r="J108" s="1493" t="s">
        <v>65</v>
      </c>
      <c r="K108" s="1495" t="s">
        <v>5400</v>
      </c>
      <c r="L108" s="1600" t="s">
        <v>7650</v>
      </c>
      <c r="M108" s="2357">
        <v>125</v>
      </c>
      <c r="N108" s="2907" t="s">
        <v>7536</v>
      </c>
      <c r="O108" s="1493"/>
      <c r="P108" s="1859"/>
      <c r="Q108" s="3319" t="s">
        <v>7370</v>
      </c>
    </row>
    <row r="109" spans="1:35" s="1548" customFormat="1" ht="58.6" hidden="1" customHeight="1">
      <c r="A109" s="1542"/>
      <c r="B109" s="3007" t="str">
        <f t="shared" si="3"/>
        <v>2000003507</v>
      </c>
      <c r="C109" s="1493" t="s">
        <v>4824</v>
      </c>
      <c r="E109" s="1495"/>
      <c r="F109" s="1493" t="s">
        <v>18</v>
      </c>
      <c r="G109" s="1495"/>
      <c r="H109" s="1495"/>
      <c r="I109" s="1495" t="s">
        <v>7249</v>
      </c>
      <c r="J109" s="3009" t="s">
        <v>65</v>
      </c>
      <c r="K109" s="1495" t="s">
        <v>5400</v>
      </c>
      <c r="L109" s="1600" t="s">
        <v>7651</v>
      </c>
      <c r="M109" s="2357">
        <v>2500</v>
      </c>
      <c r="N109" s="3016" t="s">
        <v>7652</v>
      </c>
      <c r="O109" s="1493"/>
      <c r="P109" s="1859"/>
      <c r="Q109" s="3319" t="s">
        <v>7370</v>
      </c>
    </row>
    <row r="110" spans="1:35" s="1548" customFormat="1" ht="58.6" hidden="1" customHeight="1">
      <c r="A110" s="1542"/>
      <c r="B110" s="3007" t="str">
        <f t="shared" si="3"/>
        <v>2000003549</v>
      </c>
      <c r="C110" s="1493" t="s">
        <v>4824</v>
      </c>
      <c r="E110" s="1495"/>
      <c r="F110" s="1493" t="s">
        <v>18</v>
      </c>
      <c r="G110" s="1495"/>
      <c r="H110" s="1921"/>
      <c r="I110" s="1495" t="s">
        <v>7249</v>
      </c>
      <c r="J110" s="1493" t="s">
        <v>65</v>
      </c>
      <c r="K110" s="1495" t="s">
        <v>5400</v>
      </c>
      <c r="L110" s="1600" t="s">
        <v>7653</v>
      </c>
      <c r="M110" s="2357">
        <v>700</v>
      </c>
      <c r="N110" s="2907" t="s">
        <v>7536</v>
      </c>
      <c r="O110" s="1493"/>
      <c r="P110" s="1859"/>
      <c r="Q110" s="3319" t="s">
        <v>7370</v>
      </c>
    </row>
    <row r="111" spans="1:35" s="2150" customFormat="1" ht="58.6" hidden="1" customHeight="1">
      <c r="A111" s="2436"/>
      <c r="B111" s="3021" t="str">
        <f t="shared" si="3"/>
        <v>2000003474</v>
      </c>
      <c r="C111" s="1902" t="s">
        <v>5335</v>
      </c>
      <c r="D111" s="2488">
        <v>4350</v>
      </c>
      <c r="E111" s="1921" t="s">
        <v>7654</v>
      </c>
      <c r="F111" s="1902" t="s">
        <v>22</v>
      </c>
      <c r="G111" s="1921"/>
      <c r="H111" s="1921"/>
      <c r="I111" s="2789" t="s">
        <v>7249</v>
      </c>
      <c r="J111" s="3019" t="s">
        <v>65</v>
      </c>
      <c r="K111" s="1921" t="s">
        <v>117</v>
      </c>
      <c r="L111" s="2900" t="s">
        <v>7655</v>
      </c>
      <c r="M111" s="2583">
        <v>4350</v>
      </c>
      <c r="N111" s="2196" t="s">
        <v>7536</v>
      </c>
      <c r="O111" s="1902">
        <v>34</v>
      </c>
      <c r="P111" s="1775" t="s">
        <v>7573</v>
      </c>
      <c r="Q111" s="3413" t="s">
        <v>7370</v>
      </c>
    </row>
    <row r="112" spans="1:35" s="2150" customFormat="1" ht="58.6" hidden="1" customHeight="1">
      <c r="A112" s="2436"/>
      <c r="B112" s="3021" t="str">
        <f t="shared" si="3"/>
        <v>2000003523</v>
      </c>
      <c r="C112" s="2667" t="s">
        <v>7656</v>
      </c>
      <c r="D112" s="3489">
        <v>10500</v>
      </c>
      <c r="E112" s="1921" t="s">
        <v>7657</v>
      </c>
      <c r="F112" s="1902" t="s">
        <v>7658</v>
      </c>
      <c r="G112" s="1921"/>
      <c r="H112" s="1921"/>
      <c r="I112" s="1921" t="s">
        <v>7249</v>
      </c>
      <c r="J112" s="1561" t="s">
        <v>65</v>
      </c>
      <c r="K112" s="1921" t="s">
        <v>66</v>
      </c>
      <c r="L112" s="1862" t="s">
        <v>7659</v>
      </c>
      <c r="M112" s="2480">
        <v>4000</v>
      </c>
      <c r="N112" s="2907" t="s">
        <v>7499</v>
      </c>
      <c r="O112" s="1902"/>
      <c r="P112" s="1775"/>
      <c r="Q112" s="3413" t="s">
        <v>7370</v>
      </c>
    </row>
    <row r="113" spans="1:35" s="1548" customFormat="1" ht="58.6" customHeight="1">
      <c r="A113" s="1542"/>
      <c r="B113" s="3007" t="str">
        <f t="shared" si="3"/>
        <v>2200002291</v>
      </c>
      <c r="C113" s="1782" t="s">
        <v>7656</v>
      </c>
      <c r="D113" s="2578"/>
      <c r="E113" s="1495" t="s">
        <v>7657</v>
      </c>
      <c r="F113" s="1902" t="s">
        <v>14</v>
      </c>
      <c r="G113" s="1495"/>
      <c r="H113" s="1495"/>
      <c r="I113" s="1495" t="s">
        <v>7249</v>
      </c>
      <c r="J113" s="3490" t="s">
        <v>65</v>
      </c>
      <c r="K113" s="1495" t="s">
        <v>1179</v>
      </c>
      <c r="L113" s="3090" t="s">
        <v>7660</v>
      </c>
      <c r="M113" s="2483">
        <v>2315</v>
      </c>
      <c r="N113" s="3016" t="s">
        <v>7661</v>
      </c>
      <c r="O113" s="1493"/>
      <c r="P113" s="1859"/>
      <c r="Q113" s="3319" t="s">
        <v>7370</v>
      </c>
    </row>
    <row r="114" spans="1:35" s="1548" customFormat="1" ht="58.6" hidden="1" customHeight="1">
      <c r="A114" s="1542"/>
      <c r="B114" s="3007" t="str">
        <f t="shared" si="3"/>
        <v>2000003512</v>
      </c>
      <c r="C114" s="1782" t="s">
        <v>7656</v>
      </c>
      <c r="D114" s="2325"/>
      <c r="E114" s="1495" t="s">
        <v>7657</v>
      </c>
      <c r="F114" s="1902" t="s">
        <v>14</v>
      </c>
      <c r="G114" s="1495"/>
      <c r="H114" s="1495"/>
      <c r="I114" s="1495" t="s">
        <v>7249</v>
      </c>
      <c r="J114" s="3490" t="s">
        <v>65</v>
      </c>
      <c r="K114" s="1495" t="s">
        <v>1179</v>
      </c>
      <c r="L114" s="2878" t="s">
        <v>7662</v>
      </c>
      <c r="M114" s="2483">
        <v>4185</v>
      </c>
      <c r="N114" s="2196" t="s">
        <v>7499</v>
      </c>
      <c r="O114" s="1493"/>
      <c r="P114" s="1859"/>
      <c r="Q114" s="3319" t="s">
        <v>7370</v>
      </c>
    </row>
    <row r="115" spans="1:35" s="2150" customFormat="1" ht="58.6" hidden="1" customHeight="1">
      <c r="A115" s="2436"/>
      <c r="B115" s="3021" t="str">
        <f t="shared" si="3"/>
        <v>2000003466</v>
      </c>
      <c r="C115" s="1902" t="s">
        <v>3996</v>
      </c>
      <c r="D115" s="2488">
        <v>12900</v>
      </c>
      <c r="E115" s="1921" t="s">
        <v>7654</v>
      </c>
      <c r="F115" s="1902" t="s">
        <v>18</v>
      </c>
      <c r="G115" s="3269"/>
      <c r="H115" s="1909"/>
      <c r="I115" s="1495" t="s">
        <v>7249</v>
      </c>
      <c r="J115" s="1493" t="s">
        <v>65</v>
      </c>
      <c r="K115" s="2118" t="s">
        <v>1179</v>
      </c>
      <c r="L115" s="3502" t="s">
        <v>7663</v>
      </c>
      <c r="M115" s="2583">
        <v>6735</v>
      </c>
      <c r="N115" s="2907" t="s">
        <v>7499</v>
      </c>
      <c r="O115" s="1902"/>
      <c r="P115" s="1862"/>
      <c r="Q115" s="3319" t="s">
        <v>7370</v>
      </c>
      <c r="R115" s="2429"/>
    </row>
    <row r="116" spans="1:35" s="1548" customFormat="1" ht="58.6" customHeight="1">
      <c r="A116" s="3369"/>
      <c r="B116" s="3007" t="str">
        <f t="shared" si="3"/>
        <v>2000003468</v>
      </c>
      <c r="C116" s="1493" t="s">
        <v>3996</v>
      </c>
      <c r="D116" s="2325"/>
      <c r="E116" s="1780"/>
      <c r="F116" s="1493" t="s">
        <v>18</v>
      </c>
      <c r="G116" s="1787"/>
      <c r="H116" s="1748"/>
      <c r="I116" s="1495" t="s">
        <v>7249</v>
      </c>
      <c r="J116" s="3009" t="s">
        <v>65</v>
      </c>
      <c r="K116" s="1495" t="s">
        <v>1179</v>
      </c>
      <c r="L116" s="1600" t="s">
        <v>7664</v>
      </c>
      <c r="M116" s="2357">
        <v>2945</v>
      </c>
      <c r="N116" s="2907" t="s">
        <v>7407</v>
      </c>
      <c r="O116" s="1493"/>
      <c r="P116" s="1843"/>
      <c r="Q116" s="3319" t="s">
        <v>7370</v>
      </c>
      <c r="R116" s="1790"/>
      <c r="W116" s="2150"/>
      <c r="X116" s="2150"/>
      <c r="Y116" s="2150"/>
      <c r="Z116" s="2150"/>
      <c r="AA116" s="2150"/>
      <c r="AB116" s="2150"/>
      <c r="AC116" s="2150"/>
      <c r="AD116" s="2150"/>
      <c r="AE116" s="2150"/>
      <c r="AF116" s="2150"/>
      <c r="AG116" s="2150"/>
      <c r="AH116" s="2150"/>
      <c r="AI116" s="2150"/>
    </row>
    <row r="117" spans="1:35" s="1548" customFormat="1" ht="58.6" hidden="1" customHeight="1">
      <c r="A117" s="3369"/>
      <c r="B117" s="3007" t="str">
        <f t="shared" si="3"/>
        <v>2000003467</v>
      </c>
      <c r="C117" s="1493" t="s">
        <v>3996</v>
      </c>
      <c r="D117" s="2325"/>
      <c r="E117" s="1780"/>
      <c r="F117" s="1493" t="s">
        <v>18</v>
      </c>
      <c r="G117" s="1787"/>
      <c r="H117" s="1748"/>
      <c r="I117" s="1495" t="s">
        <v>7249</v>
      </c>
      <c r="J117" s="3009" t="s">
        <v>65</v>
      </c>
      <c r="K117" s="1495" t="s">
        <v>1179</v>
      </c>
      <c r="L117" s="1845" t="s">
        <v>7665</v>
      </c>
      <c r="M117" s="2357">
        <v>1270</v>
      </c>
      <c r="N117" s="2907" t="s">
        <v>7499</v>
      </c>
      <c r="O117" s="1493"/>
      <c r="P117" s="1843"/>
      <c r="Q117" s="3319" t="s">
        <v>7370</v>
      </c>
      <c r="R117" s="1790"/>
      <c r="W117" s="2150"/>
      <c r="X117" s="2150"/>
      <c r="Y117" s="2150"/>
      <c r="Z117" s="2150"/>
      <c r="AA117" s="2150"/>
      <c r="AB117" s="2150"/>
      <c r="AC117" s="2150"/>
      <c r="AD117" s="2150"/>
      <c r="AE117" s="2150"/>
      <c r="AF117" s="2150"/>
      <c r="AG117" s="2150"/>
      <c r="AH117" s="2150"/>
      <c r="AI117" s="2150"/>
    </row>
    <row r="118" spans="1:35" s="1548" customFormat="1" ht="58.6" hidden="1" customHeight="1">
      <c r="A118" s="1542"/>
      <c r="B118" s="3007" t="str">
        <f t="shared" si="3"/>
        <v>2000003391</v>
      </c>
      <c r="C118" s="1493" t="s">
        <v>3996</v>
      </c>
      <c r="D118" s="2488"/>
      <c r="E118" s="1921"/>
      <c r="F118" s="1493" t="s">
        <v>18</v>
      </c>
      <c r="G118" s="1495"/>
      <c r="H118" s="1495"/>
      <c r="I118" s="1495" t="s">
        <v>7249</v>
      </c>
      <c r="J118" s="1495" t="s">
        <v>65</v>
      </c>
      <c r="K118" s="1495" t="s">
        <v>1179</v>
      </c>
      <c r="L118" s="3503" t="s">
        <v>7666</v>
      </c>
      <c r="M118" s="2357">
        <v>190</v>
      </c>
      <c r="N118" s="2907" t="s">
        <v>7499</v>
      </c>
      <c r="O118" s="1493"/>
      <c r="P118" s="1859"/>
      <c r="Q118" s="3319" t="s">
        <v>7370</v>
      </c>
    </row>
    <row r="119" spans="1:35" s="1548" customFormat="1" ht="58.6" hidden="1" customHeight="1">
      <c r="A119" s="1542"/>
      <c r="B119" s="3007" t="str">
        <f t="shared" si="3"/>
        <v>2200002297</v>
      </c>
      <c r="C119" s="1493" t="s">
        <v>3996</v>
      </c>
      <c r="D119" s="2488"/>
      <c r="E119" s="1921"/>
      <c r="F119" s="1493" t="s">
        <v>18</v>
      </c>
      <c r="G119" s="1495"/>
      <c r="H119" s="1495"/>
      <c r="I119" s="1495" t="s">
        <v>7249</v>
      </c>
      <c r="J119" s="1495" t="s">
        <v>65</v>
      </c>
      <c r="K119" s="1495" t="s">
        <v>1179</v>
      </c>
      <c r="L119" s="1547" t="s">
        <v>7667</v>
      </c>
      <c r="M119" s="2357">
        <v>510</v>
      </c>
      <c r="N119" s="2907" t="s">
        <v>7499</v>
      </c>
      <c r="O119" s="1493"/>
      <c r="P119" s="1859"/>
      <c r="Q119" s="3319" t="s">
        <v>7370</v>
      </c>
    </row>
    <row r="120" spans="1:35" s="1548" customFormat="1" ht="58.6" customHeight="1">
      <c r="A120" s="1542"/>
      <c r="B120" s="3007" t="str">
        <f t="shared" si="3"/>
        <v>2200002319</v>
      </c>
      <c r="C120" s="1493" t="s">
        <v>3996</v>
      </c>
      <c r="D120" s="2488"/>
      <c r="E120" s="1921"/>
      <c r="F120" s="1493" t="s">
        <v>18</v>
      </c>
      <c r="G120" s="1495"/>
      <c r="H120" s="1495"/>
      <c r="I120" s="1495" t="s">
        <v>7249</v>
      </c>
      <c r="J120" s="1495" t="s">
        <v>65</v>
      </c>
      <c r="K120" s="1495" t="s">
        <v>1179</v>
      </c>
      <c r="L120" s="1600" t="s">
        <v>7668</v>
      </c>
      <c r="M120" s="2357">
        <v>1250</v>
      </c>
      <c r="N120" s="2196" t="s">
        <v>7669</v>
      </c>
      <c r="O120" s="1493"/>
      <c r="P120" s="1859"/>
      <c r="Q120" s="3319" t="s">
        <v>7370</v>
      </c>
    </row>
    <row r="121" spans="1:35" s="2150" customFormat="1" ht="58.6" hidden="1" customHeight="1">
      <c r="A121" s="2436"/>
      <c r="B121" s="3007" t="str">
        <f t="shared" si="3"/>
        <v>2000003523</v>
      </c>
      <c r="C121" s="1902" t="s">
        <v>3316</v>
      </c>
      <c r="D121" s="2488">
        <v>10500</v>
      </c>
      <c r="E121" s="1921" t="s">
        <v>7594</v>
      </c>
      <c r="F121" s="1902" t="s">
        <v>16</v>
      </c>
      <c r="G121" s="1921"/>
      <c r="H121" s="1909"/>
      <c r="I121" s="1921" t="s">
        <v>7249</v>
      </c>
      <c r="J121" s="1921" t="s">
        <v>65</v>
      </c>
      <c r="K121" s="1921" t="s">
        <v>66</v>
      </c>
      <c r="L121" s="1600" t="s">
        <v>7670</v>
      </c>
      <c r="M121" s="2583">
        <v>1600</v>
      </c>
      <c r="N121" s="2907" t="s">
        <v>7499</v>
      </c>
      <c r="O121" s="1902"/>
      <c r="P121" s="1775"/>
      <c r="Q121" s="3413" t="s">
        <v>7370</v>
      </c>
    </row>
    <row r="122" spans="1:35" s="1548" customFormat="1" ht="58.6" hidden="1" customHeight="1">
      <c r="A122" s="1542"/>
      <c r="B122" s="3007" t="str">
        <f t="shared" ref="B122:B153" si="4">TEXT(LEFT(L122,10),"0000000000")</f>
        <v>2000003563</v>
      </c>
      <c r="C122" s="1493" t="s">
        <v>3316</v>
      </c>
      <c r="D122" s="2325"/>
      <c r="E122" s="1495"/>
      <c r="F122" s="1493" t="s">
        <v>16</v>
      </c>
      <c r="G122" s="1495"/>
      <c r="H122" s="1495"/>
      <c r="I122" s="1921" t="s">
        <v>7249</v>
      </c>
      <c r="J122" s="3009" t="s">
        <v>65</v>
      </c>
      <c r="K122" s="1495" t="s">
        <v>66</v>
      </c>
      <c r="L122" s="2666" t="s">
        <v>7671</v>
      </c>
      <c r="M122" s="2665">
        <v>1320</v>
      </c>
      <c r="N122" s="2196" t="s">
        <v>7499</v>
      </c>
      <c r="O122" s="1493"/>
      <c r="P122" s="1859"/>
      <c r="Q122" s="3319" t="s">
        <v>7370</v>
      </c>
    </row>
    <row r="123" spans="1:35" s="1548" customFormat="1" ht="58.6" customHeight="1">
      <c r="A123" s="1542"/>
      <c r="B123" s="3007" t="str">
        <f t="shared" si="4"/>
        <v>2000003535</v>
      </c>
      <c r="C123" s="1493" t="s">
        <v>3316</v>
      </c>
      <c r="D123" s="2325"/>
      <c r="E123" s="1495"/>
      <c r="F123" s="1493" t="s">
        <v>16</v>
      </c>
      <c r="G123" s="1495"/>
      <c r="H123" s="1495"/>
      <c r="I123" s="1495" t="s">
        <v>7249</v>
      </c>
      <c r="J123" s="3009" t="s">
        <v>65</v>
      </c>
      <c r="K123" s="1495" t="s">
        <v>66</v>
      </c>
      <c r="L123" s="1862" t="s">
        <v>7672</v>
      </c>
      <c r="M123" s="2645">
        <v>7580</v>
      </c>
      <c r="N123" s="2907" t="s">
        <v>7407</v>
      </c>
      <c r="O123" s="1493"/>
      <c r="P123" s="1547"/>
      <c r="Q123" s="3521" t="s">
        <v>7370</v>
      </c>
    </row>
    <row r="124" spans="1:35" s="2150" customFormat="1" ht="58.6" hidden="1" customHeight="1">
      <c r="A124" s="2436"/>
      <c r="B124" s="3007" t="str">
        <f t="shared" si="4"/>
        <v>2000003562</v>
      </c>
      <c r="C124" s="1902" t="s">
        <v>7673</v>
      </c>
      <c r="D124" s="2488">
        <v>4700</v>
      </c>
      <c r="E124" s="1921" t="s">
        <v>7674</v>
      </c>
      <c r="F124" s="1902" t="s">
        <v>16</v>
      </c>
      <c r="G124" s="1921"/>
      <c r="H124" s="1921"/>
      <c r="I124" s="1495" t="s">
        <v>7249</v>
      </c>
      <c r="J124" s="3019" t="s">
        <v>65</v>
      </c>
      <c r="K124" s="1921" t="s">
        <v>164</v>
      </c>
      <c r="L124" s="1845" t="s">
        <v>7675</v>
      </c>
      <c r="M124" s="2583">
        <v>1120</v>
      </c>
      <c r="N124" s="2196" t="s">
        <v>7676</v>
      </c>
      <c r="O124" s="1902"/>
      <c r="P124" s="1775"/>
      <c r="Q124" s="3413" t="s">
        <v>7370</v>
      </c>
    </row>
    <row r="125" spans="1:35" s="1548" customFormat="1" ht="58.6" hidden="1" customHeight="1">
      <c r="A125" s="1542"/>
      <c r="B125" s="3007" t="str">
        <f t="shared" si="4"/>
        <v>2000003511</v>
      </c>
      <c r="C125" s="1493" t="s">
        <v>7673</v>
      </c>
      <c r="D125" s="3481"/>
      <c r="F125" s="1493" t="s">
        <v>16</v>
      </c>
      <c r="G125" s="1495"/>
      <c r="H125" s="1495"/>
      <c r="I125" s="1495" t="s">
        <v>7249</v>
      </c>
      <c r="J125" s="3009" t="s">
        <v>65</v>
      </c>
      <c r="K125" s="1495" t="s">
        <v>164</v>
      </c>
      <c r="L125" s="1600" t="s">
        <v>7677</v>
      </c>
      <c r="M125" s="2357">
        <v>810</v>
      </c>
      <c r="N125" s="2196" t="s">
        <v>7536</v>
      </c>
      <c r="O125" s="1493"/>
      <c r="P125" s="1859"/>
      <c r="Q125" s="3319" t="s">
        <v>7370</v>
      </c>
    </row>
    <row r="126" spans="1:35" s="1548" customFormat="1" ht="58.6" hidden="1" customHeight="1">
      <c r="A126" s="1542"/>
      <c r="B126" s="3007" t="str">
        <f t="shared" si="4"/>
        <v>2000003525</v>
      </c>
      <c r="C126" s="1493" t="s">
        <v>7673</v>
      </c>
      <c r="D126" s="2325"/>
      <c r="E126" s="1495"/>
      <c r="F126" s="1493" t="s">
        <v>16</v>
      </c>
      <c r="G126" s="1495"/>
      <c r="H126" s="1495"/>
      <c r="I126" s="1495" t="s">
        <v>7249</v>
      </c>
      <c r="J126" s="3009" t="s">
        <v>65</v>
      </c>
      <c r="K126" s="1495" t="s">
        <v>164</v>
      </c>
      <c r="L126" s="1600" t="s">
        <v>7678</v>
      </c>
      <c r="M126" s="2357">
        <v>1700</v>
      </c>
      <c r="N126" s="2196" t="s">
        <v>5392</v>
      </c>
      <c r="O126" s="1493"/>
      <c r="P126" s="1859"/>
      <c r="Q126" s="3319" t="s">
        <v>7370</v>
      </c>
    </row>
    <row r="127" spans="1:35" s="1548" customFormat="1" ht="58.6" customHeight="1">
      <c r="A127" s="1542"/>
      <c r="B127" s="3007" t="str">
        <f t="shared" si="4"/>
        <v>2000003533</v>
      </c>
      <c r="C127" s="1493" t="s">
        <v>7673</v>
      </c>
      <c r="D127" s="2325"/>
      <c r="E127" s="1495"/>
      <c r="F127" s="1493" t="s">
        <v>16</v>
      </c>
      <c r="G127" s="1495"/>
      <c r="H127" s="1495"/>
      <c r="I127" s="1495" t="s">
        <v>7249</v>
      </c>
      <c r="J127" s="3009" t="s">
        <v>65</v>
      </c>
      <c r="K127" s="1495" t="s">
        <v>164</v>
      </c>
      <c r="L127" s="1859" t="s">
        <v>7679</v>
      </c>
      <c r="M127" s="2357">
        <v>40</v>
      </c>
      <c r="N127" s="3188" t="s">
        <v>7407</v>
      </c>
      <c r="O127" s="1493"/>
      <c r="P127" s="1859"/>
      <c r="Q127" s="3319" t="s">
        <v>7370</v>
      </c>
    </row>
    <row r="128" spans="1:35" s="1548" customFormat="1" ht="58.6" hidden="1" customHeight="1">
      <c r="A128" s="1542"/>
      <c r="B128" s="3007" t="str">
        <f t="shared" si="4"/>
        <v>2000003595</v>
      </c>
      <c r="C128" s="1493" t="s">
        <v>7673</v>
      </c>
      <c r="D128" s="2325"/>
      <c r="E128" s="1495"/>
      <c r="F128" s="1493" t="s">
        <v>16</v>
      </c>
      <c r="G128" s="1495"/>
      <c r="H128" s="1495"/>
      <c r="I128" s="1495" t="s">
        <v>7249</v>
      </c>
      <c r="J128" s="3009" t="s">
        <v>65</v>
      </c>
      <c r="K128" s="1495" t="s">
        <v>164</v>
      </c>
      <c r="L128" s="1600" t="s">
        <v>7680</v>
      </c>
      <c r="M128" s="2357">
        <v>1030</v>
      </c>
      <c r="N128" s="2196" t="s">
        <v>5392</v>
      </c>
      <c r="O128" s="1493"/>
      <c r="P128" s="1859"/>
      <c r="Q128" s="3319" t="s">
        <v>7370</v>
      </c>
    </row>
    <row r="129" spans="1:35" s="2150" customFormat="1" ht="58.6" hidden="1" customHeight="1">
      <c r="A129" s="3768"/>
      <c r="B129" s="3021" t="str">
        <f t="shared" si="4"/>
        <v>2200002321</v>
      </c>
      <c r="C129" s="1902" t="s">
        <v>7247</v>
      </c>
      <c r="D129" s="2488">
        <v>12300</v>
      </c>
      <c r="E129" s="1921" t="s">
        <v>7681</v>
      </c>
      <c r="F129" s="1902" t="s">
        <v>22</v>
      </c>
      <c r="G129" s="1921"/>
      <c r="H129" s="1921"/>
      <c r="I129" s="1921" t="s">
        <v>1218</v>
      </c>
      <c r="J129" s="1921" t="s">
        <v>65</v>
      </c>
      <c r="K129" s="1921" t="s">
        <v>1179</v>
      </c>
      <c r="L129" s="1862" t="s">
        <v>7682</v>
      </c>
      <c r="M129" s="2583">
        <v>1540</v>
      </c>
      <c r="N129" s="2196" t="s">
        <v>7683</v>
      </c>
      <c r="O129" s="1902"/>
      <c r="P129" s="1775"/>
      <c r="Q129" s="3413" t="s">
        <v>7370</v>
      </c>
    </row>
    <row r="130" spans="1:35" s="1548" customFormat="1" ht="58.6" customHeight="1">
      <c r="A130" s="3770"/>
      <c r="B130" s="3007" t="str">
        <f t="shared" si="4"/>
        <v>2000003594</v>
      </c>
      <c r="C130" s="1493" t="s">
        <v>7247</v>
      </c>
      <c r="D130" s="2325"/>
      <c r="E130" s="1921" t="s">
        <v>7681</v>
      </c>
      <c r="F130" s="1493" t="s">
        <v>22</v>
      </c>
      <c r="G130" s="1495"/>
      <c r="H130" s="3045"/>
      <c r="I130" s="1495" t="s">
        <v>7249</v>
      </c>
      <c r="J130" s="3009" t="s">
        <v>65</v>
      </c>
      <c r="K130" s="1495" t="s">
        <v>1179</v>
      </c>
      <c r="L130" s="3090" t="s">
        <v>7684</v>
      </c>
      <c r="M130" s="3283">
        <v>1700</v>
      </c>
      <c r="N130" s="3007" t="s">
        <v>7685</v>
      </c>
      <c r="O130" s="1493"/>
      <c r="P130" s="1859"/>
      <c r="Q130" s="3319" t="s">
        <v>7370</v>
      </c>
    </row>
    <row r="131" spans="1:35" s="1548" customFormat="1" ht="58.6" hidden="1" customHeight="1">
      <c r="A131" s="3770"/>
      <c r="B131" s="3007" t="str">
        <f t="shared" si="4"/>
        <v>2000003493</v>
      </c>
      <c r="C131" s="1493" t="s">
        <v>7247</v>
      </c>
      <c r="D131" s="3481"/>
      <c r="E131" s="1921" t="s">
        <v>7681</v>
      </c>
      <c r="F131" s="1493" t="s">
        <v>22</v>
      </c>
      <c r="I131" s="1495" t="s">
        <v>7249</v>
      </c>
      <c r="J131" s="1493" t="s">
        <v>65</v>
      </c>
      <c r="K131" s="1495" t="s">
        <v>1179</v>
      </c>
      <c r="L131" s="1496" t="s">
        <v>7686</v>
      </c>
      <c r="M131" s="1548">
        <v>2200</v>
      </c>
      <c r="N131" s="2196" t="s">
        <v>7499</v>
      </c>
      <c r="P131" s="2590" t="s">
        <v>7687</v>
      </c>
      <c r="Q131" s="3413" t="s">
        <v>7370</v>
      </c>
    </row>
    <row r="132" spans="1:35" s="1548" customFormat="1" ht="58.6" customHeight="1">
      <c r="A132" s="3770"/>
      <c r="B132" s="3007" t="str">
        <f t="shared" si="4"/>
        <v>2000003592</v>
      </c>
      <c r="C132" s="1493" t="s">
        <v>7247</v>
      </c>
      <c r="E132" s="1921" t="s">
        <v>7681</v>
      </c>
      <c r="F132" s="1493" t="s">
        <v>22</v>
      </c>
      <c r="G132" s="1787"/>
      <c r="H132" s="1748"/>
      <c r="I132" s="1495" t="s">
        <v>7249</v>
      </c>
      <c r="J132" s="1493" t="s">
        <v>65</v>
      </c>
      <c r="K132" s="1495" t="s">
        <v>1179</v>
      </c>
      <c r="L132" s="1496" t="s">
        <v>7688</v>
      </c>
      <c r="M132" s="2357">
        <v>2500</v>
      </c>
      <c r="N132" s="2907" t="s">
        <v>7407</v>
      </c>
      <c r="O132" s="1493"/>
      <c r="P132" s="1843"/>
      <c r="Q132" s="3319" t="s">
        <v>7370</v>
      </c>
      <c r="R132" s="1790"/>
    </row>
    <row r="133" spans="1:35" s="1548" customFormat="1" ht="58.6" customHeight="1">
      <c r="A133" s="3770"/>
      <c r="B133" s="3007" t="str">
        <f t="shared" si="4"/>
        <v>2200002293</v>
      </c>
      <c r="C133" s="1493" t="s">
        <v>7247</v>
      </c>
      <c r="D133" s="2325"/>
      <c r="E133" s="1921" t="s">
        <v>7681</v>
      </c>
      <c r="F133" s="1493" t="s">
        <v>22</v>
      </c>
      <c r="G133" s="1495"/>
      <c r="H133" s="1495"/>
      <c r="I133" s="1495" t="s">
        <v>33</v>
      </c>
      <c r="J133" s="3009" t="s">
        <v>65</v>
      </c>
      <c r="K133" s="1495" t="s">
        <v>1179</v>
      </c>
      <c r="L133" s="1496" t="s">
        <v>7689</v>
      </c>
      <c r="M133" s="2357">
        <v>1890</v>
      </c>
      <c r="N133" s="2907" t="s">
        <v>7407</v>
      </c>
      <c r="O133" s="1493"/>
      <c r="P133" s="1859"/>
      <c r="Q133" s="3319" t="s">
        <v>7370</v>
      </c>
    </row>
    <row r="134" spans="1:35" s="1548" customFormat="1" ht="58.6" hidden="1" customHeight="1">
      <c r="A134" s="3770"/>
      <c r="B134" s="3007" t="str">
        <f t="shared" si="4"/>
        <v>2200002323</v>
      </c>
      <c r="C134" s="1493" t="s">
        <v>7247</v>
      </c>
      <c r="D134" s="2325"/>
      <c r="E134" s="1921" t="s">
        <v>7681</v>
      </c>
      <c r="F134" s="1493" t="s">
        <v>22</v>
      </c>
      <c r="G134" s="1495"/>
      <c r="H134" s="1495"/>
      <c r="I134" s="1495" t="s">
        <v>1218</v>
      </c>
      <c r="J134" s="1495" t="s">
        <v>65</v>
      </c>
      <c r="K134" s="1495" t="s">
        <v>1179</v>
      </c>
      <c r="L134" s="1496" t="s">
        <v>7690</v>
      </c>
      <c r="M134" s="2357">
        <v>140</v>
      </c>
      <c r="N134" s="2196" t="s">
        <v>7683</v>
      </c>
      <c r="O134" s="1493"/>
      <c r="P134" s="1859"/>
      <c r="Q134" s="3319" t="s">
        <v>7370</v>
      </c>
    </row>
    <row r="135" spans="1:35" s="1548" customFormat="1" ht="58.6" hidden="1" customHeight="1">
      <c r="A135" s="3770"/>
      <c r="B135" s="3007" t="str">
        <f t="shared" si="4"/>
        <v>2200002324</v>
      </c>
      <c r="C135" s="1493" t="s">
        <v>7247</v>
      </c>
      <c r="D135" s="2325"/>
      <c r="E135" s="1921" t="s">
        <v>7681</v>
      </c>
      <c r="F135" s="1493" t="s">
        <v>22</v>
      </c>
      <c r="G135" s="1495"/>
      <c r="H135" s="1495"/>
      <c r="I135" s="1495" t="s">
        <v>1218</v>
      </c>
      <c r="J135" s="1495" t="s">
        <v>65</v>
      </c>
      <c r="K135" s="1495" t="s">
        <v>1179</v>
      </c>
      <c r="L135" s="1496" t="s">
        <v>7691</v>
      </c>
      <c r="M135" s="2357">
        <v>95</v>
      </c>
      <c r="N135" s="2196" t="s">
        <v>7683</v>
      </c>
      <c r="O135" s="1493"/>
      <c r="P135" s="1859"/>
      <c r="Q135" s="3319" t="s">
        <v>7370</v>
      </c>
    </row>
    <row r="136" spans="1:35" s="1548" customFormat="1" ht="58.6" hidden="1" customHeight="1">
      <c r="A136" s="3770"/>
      <c r="B136" s="3007" t="str">
        <f t="shared" si="4"/>
        <v>2000003548</v>
      </c>
      <c r="C136" s="1493" t="s">
        <v>7247</v>
      </c>
      <c r="D136" s="2325"/>
      <c r="E136" s="1921" t="s">
        <v>7681</v>
      </c>
      <c r="F136" s="1493" t="s">
        <v>22</v>
      </c>
      <c r="G136" s="1495"/>
      <c r="H136" s="1495"/>
      <c r="I136" s="1495" t="s">
        <v>7249</v>
      </c>
      <c r="J136" s="3009" t="s">
        <v>65</v>
      </c>
      <c r="K136" s="1495" t="s">
        <v>1179</v>
      </c>
      <c r="L136" s="1496" t="s">
        <v>7692</v>
      </c>
      <c r="M136" s="2357">
        <v>400</v>
      </c>
      <c r="N136" s="2196" t="s">
        <v>7499</v>
      </c>
      <c r="O136" s="1493"/>
      <c r="P136" s="1859"/>
      <c r="Q136" s="3319" t="s">
        <v>7284</v>
      </c>
    </row>
    <row r="137" spans="1:35" s="1548" customFormat="1" ht="58.6" hidden="1" customHeight="1">
      <c r="A137" s="3770"/>
      <c r="B137" s="3007" t="str">
        <f t="shared" si="4"/>
        <v>2000003544</v>
      </c>
      <c r="C137" s="1493" t="s">
        <v>7247</v>
      </c>
      <c r="D137" s="2325"/>
      <c r="E137" s="1921" t="s">
        <v>7681</v>
      </c>
      <c r="F137" s="1493" t="s">
        <v>22</v>
      </c>
      <c r="G137" s="1495"/>
      <c r="H137" s="1495"/>
      <c r="I137" s="1495" t="s">
        <v>7249</v>
      </c>
      <c r="J137" s="1495" t="s">
        <v>65</v>
      </c>
      <c r="K137" s="1495" t="s">
        <v>1179</v>
      </c>
      <c r="L137" s="1546" t="s">
        <v>7693</v>
      </c>
      <c r="M137" s="2357">
        <v>1000</v>
      </c>
      <c r="N137" s="2196" t="s">
        <v>7499</v>
      </c>
      <c r="O137" s="1493"/>
      <c r="P137" s="1859"/>
      <c r="Q137" s="3319" t="s">
        <v>7284</v>
      </c>
    </row>
    <row r="138" spans="1:35" s="2150" customFormat="1" ht="58.6" customHeight="1">
      <c r="A138" s="3769"/>
      <c r="B138" s="3007" t="str">
        <f t="shared" si="4"/>
        <v>2200002291</v>
      </c>
      <c r="C138" s="1493" t="s">
        <v>7247</v>
      </c>
      <c r="D138" s="2325"/>
      <c r="E138" s="1495"/>
      <c r="F138" s="1493" t="s">
        <v>22</v>
      </c>
      <c r="G138" s="1495"/>
      <c r="H138" s="1495"/>
      <c r="I138" s="1495" t="s">
        <v>7249</v>
      </c>
      <c r="J138" s="1495" t="s">
        <v>65</v>
      </c>
      <c r="K138" s="1495" t="s">
        <v>1179</v>
      </c>
      <c r="L138" s="1546" t="s">
        <v>7694</v>
      </c>
      <c r="M138" s="2357">
        <v>835</v>
      </c>
      <c r="N138" s="2385" t="s">
        <v>7661</v>
      </c>
      <c r="O138" s="1493"/>
      <c r="P138" s="1859"/>
      <c r="Q138" s="3319" t="s">
        <v>7284</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6" hidden="1" customHeight="1">
      <c r="A139" s="3768"/>
      <c r="B139" s="3007" t="str">
        <f t="shared" si="4"/>
        <v>2000003474</v>
      </c>
      <c r="C139" s="1902" t="s">
        <v>6609</v>
      </c>
      <c r="D139" s="2488">
        <v>4300</v>
      </c>
      <c r="E139" s="1921" t="s">
        <v>7695</v>
      </c>
      <c r="F139" s="1902" t="s">
        <v>18</v>
      </c>
      <c r="G139" s="1921"/>
      <c r="H139" s="1921"/>
      <c r="I139" s="2789" t="s">
        <v>7249</v>
      </c>
      <c r="J139" s="3019" t="s">
        <v>65</v>
      </c>
      <c r="K139" s="1921" t="s">
        <v>117</v>
      </c>
      <c r="L139" s="2900" t="s">
        <v>7696</v>
      </c>
      <c r="M139" s="2583">
        <v>817</v>
      </c>
      <c r="N139" s="2196" t="s">
        <v>7536</v>
      </c>
      <c r="O139" s="1902"/>
      <c r="P139" s="1775" t="s">
        <v>7573</v>
      </c>
      <c r="Q139" s="3319" t="s">
        <v>7370</v>
      </c>
    </row>
    <row r="140" spans="1:35" s="1548" customFormat="1" ht="58.6" hidden="1" customHeight="1">
      <c r="A140" s="3770"/>
      <c r="B140" s="3007" t="str">
        <f t="shared" si="4"/>
        <v>2000003508</v>
      </c>
      <c r="C140" s="1493" t="s">
        <v>6609</v>
      </c>
      <c r="F140" s="1493" t="s">
        <v>18</v>
      </c>
      <c r="G140" s="1495"/>
      <c r="H140" s="1495"/>
      <c r="I140" s="1495" t="s">
        <v>7249</v>
      </c>
      <c r="J140" s="3009" t="s">
        <v>65</v>
      </c>
      <c r="K140" s="1495" t="s">
        <v>117</v>
      </c>
      <c r="L140" s="2878" t="s">
        <v>7697</v>
      </c>
      <c r="M140" s="2357">
        <v>3085</v>
      </c>
      <c r="N140" s="2196" t="s">
        <v>7698</v>
      </c>
      <c r="O140" s="1493"/>
      <c r="P140" s="1859"/>
      <c r="Q140" s="3319" t="s">
        <v>7370</v>
      </c>
    </row>
    <row r="141" spans="1:35" s="2150" customFormat="1" ht="58.6" hidden="1" customHeight="1">
      <c r="A141" s="3769"/>
      <c r="B141" s="3007" t="str">
        <f t="shared" si="4"/>
        <v>2200002322</v>
      </c>
      <c r="C141" s="1493" t="s">
        <v>6609</v>
      </c>
      <c r="D141" s="1548"/>
      <c r="E141" s="1548"/>
      <c r="F141" s="1493" t="s">
        <v>18</v>
      </c>
      <c r="G141" s="1495"/>
      <c r="H141" s="1495"/>
      <c r="I141" s="1495" t="s">
        <v>7249</v>
      </c>
      <c r="J141" s="3009" t="s">
        <v>65</v>
      </c>
      <c r="K141" s="1495" t="s">
        <v>117</v>
      </c>
      <c r="L141" s="3130" t="s">
        <v>7699</v>
      </c>
      <c r="M141" s="2357">
        <v>398</v>
      </c>
      <c r="N141" s="3293" t="s">
        <v>7700</v>
      </c>
      <c r="O141" s="1493"/>
      <c r="P141" s="1859"/>
      <c r="Q141" s="3319" t="s">
        <v>7370</v>
      </c>
      <c r="R141" s="1548"/>
      <c r="S141" s="1548"/>
      <c r="T141" s="1548"/>
      <c r="U141" s="1548"/>
      <c r="V141" s="1548"/>
    </row>
    <row r="142" spans="1:35" s="2150" customFormat="1" ht="58.6" hidden="1" customHeight="1">
      <c r="A142" s="3768"/>
      <c r="B142" s="3021" t="str">
        <f t="shared" si="4"/>
        <v>2000003513</v>
      </c>
      <c r="C142" s="1902" t="s">
        <v>7701</v>
      </c>
      <c r="D142" s="2488">
        <v>10675</v>
      </c>
      <c r="E142" s="1921" t="s">
        <v>7702</v>
      </c>
      <c r="F142" s="1902" t="s">
        <v>16</v>
      </c>
      <c r="G142" s="1921" t="s">
        <v>7703</v>
      </c>
      <c r="H142" s="1921"/>
      <c r="I142" s="3295" t="s">
        <v>7249</v>
      </c>
      <c r="J142" s="3019" t="s">
        <v>65</v>
      </c>
      <c r="K142" s="1921" t="s">
        <v>106</v>
      </c>
      <c r="L142" s="1845" t="s">
        <v>7704</v>
      </c>
      <c r="M142" s="2583">
        <v>5800</v>
      </c>
      <c r="N142" s="2196" t="s">
        <v>7705</v>
      </c>
      <c r="O142" s="1902"/>
      <c r="P142" s="1775"/>
      <c r="Q142" s="3413" t="s">
        <v>7370</v>
      </c>
    </row>
    <row r="143" spans="1:35" s="1548" customFormat="1" ht="58.6" hidden="1" customHeight="1">
      <c r="A143" s="3770"/>
      <c r="B143" s="3021" t="str">
        <f t="shared" si="4"/>
        <v>2000003596</v>
      </c>
      <c r="C143" s="1493" t="s">
        <v>7701</v>
      </c>
      <c r="D143" s="2325"/>
      <c r="E143" s="1921"/>
      <c r="F143" s="1493" t="s">
        <v>16</v>
      </c>
      <c r="G143" s="1495"/>
      <c r="H143" s="1495"/>
      <c r="I143" s="3295" t="s">
        <v>7249</v>
      </c>
      <c r="J143" s="1495" t="s">
        <v>65</v>
      </c>
      <c r="K143" s="1495" t="s">
        <v>106</v>
      </c>
      <c r="L143" s="1547" t="s">
        <v>7706</v>
      </c>
      <c r="M143" s="2357">
        <v>360</v>
      </c>
      <c r="N143" s="2196" t="s">
        <v>7707</v>
      </c>
      <c r="O143" s="1493"/>
      <c r="P143" s="3218" t="s">
        <v>7562</v>
      </c>
      <c r="Q143" s="3319" t="s">
        <v>7370</v>
      </c>
    </row>
    <row r="144" spans="1:35" s="1548" customFormat="1" ht="58.6" customHeight="1">
      <c r="A144" s="3770"/>
      <c r="B144" s="3007" t="str">
        <f t="shared" si="4"/>
        <v>2000003526</v>
      </c>
      <c r="C144" s="1493" t="s">
        <v>7701</v>
      </c>
      <c r="D144" s="2325"/>
      <c r="E144" s="1921"/>
      <c r="F144" s="1493" t="s">
        <v>16</v>
      </c>
      <c r="G144" s="1495"/>
      <c r="H144" s="1495"/>
      <c r="I144" s="3295" t="s">
        <v>7249</v>
      </c>
      <c r="J144" s="1495" t="s">
        <v>65</v>
      </c>
      <c r="K144" s="1495" t="s">
        <v>106</v>
      </c>
      <c r="L144" s="1496" t="s">
        <v>7708</v>
      </c>
      <c r="M144" s="2357">
        <v>850</v>
      </c>
      <c r="N144" s="2907" t="s">
        <v>7407</v>
      </c>
      <c r="O144" s="1493"/>
      <c r="P144" s="3218" t="s">
        <v>7562</v>
      </c>
      <c r="Q144" s="3319" t="s">
        <v>7370</v>
      </c>
    </row>
    <row r="145" spans="1:35" s="1548" customFormat="1" ht="58.6" customHeight="1">
      <c r="A145" s="3770"/>
      <c r="B145" s="3007" t="str">
        <f t="shared" si="4"/>
        <v>2000003527</v>
      </c>
      <c r="C145" s="1493" t="s">
        <v>7701</v>
      </c>
      <c r="D145" s="2325"/>
      <c r="E145" s="1921"/>
      <c r="F145" s="1493" t="s">
        <v>16</v>
      </c>
      <c r="G145" s="1495"/>
      <c r="H145" s="1495"/>
      <c r="I145" s="3295" t="s">
        <v>7249</v>
      </c>
      <c r="J145" s="1495" t="s">
        <v>65</v>
      </c>
      <c r="K145" s="1495" t="s">
        <v>106</v>
      </c>
      <c r="L145" s="1843" t="s">
        <v>7709</v>
      </c>
      <c r="M145" s="2357">
        <v>1550</v>
      </c>
      <c r="N145" s="2907" t="s">
        <v>7710</v>
      </c>
      <c r="O145" s="1493"/>
      <c r="P145" s="3218" t="s">
        <v>7562</v>
      </c>
      <c r="Q145" s="3319" t="s">
        <v>7370</v>
      </c>
    </row>
    <row r="146" spans="1:35" s="1548" customFormat="1" ht="79.5" hidden="1" customHeight="1">
      <c r="A146" s="3770"/>
      <c r="B146" s="3007" t="str">
        <f t="shared" si="4"/>
        <v>2000003472</v>
      </c>
      <c r="C146" s="1493" t="s">
        <v>7701</v>
      </c>
      <c r="D146" s="2325"/>
      <c r="E146" s="1921"/>
      <c r="F146" s="1493" t="s">
        <v>16</v>
      </c>
      <c r="G146" s="3007"/>
      <c r="H146" s="3007"/>
      <c r="I146" s="3295" t="s">
        <v>7249</v>
      </c>
      <c r="J146" s="3009" t="s">
        <v>65</v>
      </c>
      <c r="K146" s="3008" t="s">
        <v>106</v>
      </c>
      <c r="L146" s="3056" t="s">
        <v>7711</v>
      </c>
      <c r="M146" s="3217">
        <v>728</v>
      </c>
      <c r="N146" s="3007" t="s">
        <v>7712</v>
      </c>
      <c r="O146" s="3009"/>
      <c r="P146" s="3218" t="s">
        <v>7562</v>
      </c>
      <c r="Q146" s="3413" t="s">
        <v>7370</v>
      </c>
      <c r="W146" s="2150"/>
      <c r="X146" s="2150"/>
      <c r="Y146" s="2150"/>
      <c r="Z146" s="2150"/>
      <c r="AA146" s="2150"/>
      <c r="AB146" s="2150"/>
      <c r="AC146" s="2150"/>
      <c r="AD146" s="2150"/>
      <c r="AE146" s="2150"/>
      <c r="AF146" s="2150"/>
      <c r="AG146" s="2150"/>
      <c r="AH146" s="2150"/>
      <c r="AI146" s="2150"/>
    </row>
    <row r="147" spans="1:35" s="1548" customFormat="1" ht="79.5" customHeight="1">
      <c r="A147" s="3769"/>
      <c r="B147" s="3007" t="str">
        <f t="shared" si="4"/>
        <v>2000003585</v>
      </c>
      <c r="C147" s="1493" t="s">
        <v>7701</v>
      </c>
      <c r="D147" s="2325"/>
      <c r="E147" s="1921"/>
      <c r="F147" s="1493" t="s">
        <v>16</v>
      </c>
      <c r="G147" s="1495"/>
      <c r="H147" s="1495"/>
      <c r="I147" s="3295" t="s">
        <v>7249</v>
      </c>
      <c r="J147" s="1495" t="s">
        <v>65</v>
      </c>
      <c r="K147" s="1495" t="s">
        <v>106</v>
      </c>
      <c r="L147" s="1547" t="s">
        <v>7713</v>
      </c>
      <c r="M147" s="2357">
        <v>1580</v>
      </c>
      <c r="N147" s="2385" t="s">
        <v>7714</v>
      </c>
      <c r="O147" s="1493"/>
      <c r="P147" s="3218" t="s">
        <v>7562</v>
      </c>
      <c r="Q147" s="3319" t="s">
        <v>7370</v>
      </c>
    </row>
    <row r="148" spans="1:35" s="2150" customFormat="1" ht="79.5" hidden="1" customHeight="1">
      <c r="A148" s="2436"/>
      <c r="B148" s="3021" t="str">
        <f t="shared" si="4"/>
        <v>2000003590</v>
      </c>
      <c r="C148" s="1902" t="s">
        <v>4935</v>
      </c>
      <c r="D148" s="2488">
        <v>3600</v>
      </c>
      <c r="E148" s="1921" t="s">
        <v>7654</v>
      </c>
      <c r="F148" s="1902" t="s">
        <v>20</v>
      </c>
      <c r="G148" s="1921"/>
      <c r="H148" s="1921"/>
      <c r="I148" s="1921" t="s">
        <v>7715</v>
      </c>
      <c r="J148" s="1921" t="s">
        <v>65</v>
      </c>
      <c r="K148" s="1921" t="s">
        <v>1000</v>
      </c>
      <c r="L148" s="3524" t="s">
        <v>7716</v>
      </c>
      <c r="M148" s="2583">
        <v>500</v>
      </c>
      <c r="N148" s="1921" t="s">
        <v>7717</v>
      </c>
      <c r="O148" s="1902"/>
      <c r="P148" s="1775"/>
      <c r="Q148" s="3413" t="s">
        <v>7370</v>
      </c>
    </row>
    <row r="149" spans="1:35" s="1548" customFormat="1" ht="58.6" hidden="1" customHeight="1">
      <c r="A149" s="1542"/>
      <c r="B149" s="3007" t="str">
        <f t="shared" si="4"/>
        <v>2000003593</v>
      </c>
      <c r="C149" s="1493" t="s">
        <v>4935</v>
      </c>
      <c r="D149" s="2325"/>
      <c r="E149" s="1495"/>
      <c r="F149" s="1493" t="s">
        <v>20</v>
      </c>
      <c r="G149" s="1495"/>
      <c r="H149" s="1495"/>
      <c r="I149" s="1495" t="s">
        <v>7715</v>
      </c>
      <c r="J149" s="3009" t="s">
        <v>65</v>
      </c>
      <c r="K149" s="1495" t="s">
        <v>1000</v>
      </c>
      <c r="L149" s="1496" t="s">
        <v>7718</v>
      </c>
      <c r="M149" s="2357">
        <v>3100</v>
      </c>
      <c r="N149" s="2196" t="s">
        <v>7536</v>
      </c>
      <c r="O149" s="1493"/>
      <c r="P149" s="1859"/>
      <c r="Q149" s="3319" t="s">
        <v>7370</v>
      </c>
    </row>
    <row r="150" spans="1:35" s="2150" customFormat="1" ht="58.6" hidden="1" customHeight="1">
      <c r="A150" s="2436"/>
      <c r="B150" s="3021" t="str">
        <f t="shared" si="4"/>
        <v>2000003612</v>
      </c>
      <c r="C150" s="1902" t="s">
        <v>7719</v>
      </c>
      <c r="D150" s="2488">
        <v>4450</v>
      </c>
      <c r="E150" s="1921" t="s">
        <v>7720</v>
      </c>
      <c r="F150" s="1902" t="s">
        <v>26</v>
      </c>
      <c r="G150" s="1921"/>
      <c r="H150" s="1921"/>
      <c r="I150" s="1921" t="s">
        <v>7249</v>
      </c>
      <c r="J150" s="1921" t="s">
        <v>65</v>
      </c>
      <c r="K150" s="1921" t="s">
        <v>117</v>
      </c>
      <c r="L150" s="1845" t="s">
        <v>7721</v>
      </c>
      <c r="M150" s="2583">
        <v>2450</v>
      </c>
      <c r="N150" s="2196" t="s">
        <v>7722</v>
      </c>
      <c r="O150" s="1902"/>
      <c r="P150" s="1775" t="s">
        <v>7723</v>
      </c>
      <c r="Q150" s="3413" t="s">
        <v>7284</v>
      </c>
    </row>
    <row r="151" spans="1:35" s="1548" customFormat="1" ht="58.6" hidden="1" customHeight="1">
      <c r="A151" s="1542"/>
      <c r="B151" s="3007" t="str">
        <f t="shared" si="4"/>
        <v>2000003520</v>
      </c>
      <c r="C151" s="1493" t="s">
        <v>7719</v>
      </c>
      <c r="D151" s="2325"/>
      <c r="E151" s="1495"/>
      <c r="F151" s="1493" t="s">
        <v>26</v>
      </c>
      <c r="G151" s="1495"/>
      <c r="H151" s="1495"/>
      <c r="I151" s="1921" t="s">
        <v>7249</v>
      </c>
      <c r="J151" s="3009" t="s">
        <v>65</v>
      </c>
      <c r="K151" s="1773" t="s">
        <v>117</v>
      </c>
      <c r="L151" s="2223" t="s">
        <v>7724</v>
      </c>
      <c r="M151" s="2483">
        <v>1300</v>
      </c>
      <c r="N151" s="2907" t="s">
        <v>7725</v>
      </c>
      <c r="O151" s="1493"/>
      <c r="P151" s="1775" t="s">
        <v>7723</v>
      </c>
      <c r="Q151" s="3319" t="s">
        <v>7284</v>
      </c>
    </row>
    <row r="152" spans="1:35" s="1548" customFormat="1" ht="58.6" hidden="1" customHeight="1">
      <c r="A152" s="1542"/>
      <c r="B152" s="3007" t="str">
        <f t="shared" si="4"/>
        <v>2000003521</v>
      </c>
      <c r="C152" s="1493" t="s">
        <v>7719</v>
      </c>
      <c r="D152" s="2325"/>
      <c r="E152" s="1495"/>
      <c r="F152" s="1493" t="s">
        <v>26</v>
      </c>
      <c r="G152" s="1495"/>
      <c r="H152" s="1495"/>
      <c r="I152" s="1921" t="s">
        <v>7249</v>
      </c>
      <c r="J152" s="3009" t="s">
        <v>65</v>
      </c>
      <c r="K152" s="1773" t="s">
        <v>117</v>
      </c>
      <c r="L152" s="2290" t="s">
        <v>7726</v>
      </c>
      <c r="M152" s="2483">
        <v>700</v>
      </c>
      <c r="N152" s="2196" t="s">
        <v>7727</v>
      </c>
      <c r="O152" s="1493"/>
      <c r="P152" s="1775" t="s">
        <v>7723</v>
      </c>
      <c r="Q152" s="3319" t="s">
        <v>7284</v>
      </c>
    </row>
    <row r="153" spans="1:35" s="2150" customFormat="1" ht="58.6" customHeight="1">
      <c r="A153" s="2436"/>
      <c r="B153" s="3021" t="str">
        <f t="shared" si="4"/>
        <v>2000003534</v>
      </c>
      <c r="C153" s="1902" t="s">
        <v>3772</v>
      </c>
      <c r="D153" s="2325">
        <v>8800</v>
      </c>
      <c r="E153" s="1902" t="s">
        <v>7728</v>
      </c>
      <c r="F153" s="1902" t="s">
        <v>16</v>
      </c>
      <c r="G153" s="1921"/>
      <c r="H153" s="1921"/>
      <c r="I153" s="1921" t="s">
        <v>7249</v>
      </c>
      <c r="J153" s="3019" t="s">
        <v>65</v>
      </c>
      <c r="K153" s="1921" t="s">
        <v>164</v>
      </c>
      <c r="L153" s="1862" t="s">
        <v>7729</v>
      </c>
      <c r="M153" s="2583">
        <v>1985</v>
      </c>
      <c r="N153" s="3188" t="s">
        <v>7730</v>
      </c>
      <c r="O153" s="1902"/>
      <c r="P153" s="1775"/>
      <c r="Q153" s="3413" t="s">
        <v>7284</v>
      </c>
    </row>
    <row r="154" spans="1:35" s="1548" customFormat="1" ht="58.6" hidden="1" customHeight="1">
      <c r="A154" s="1542"/>
      <c r="B154" s="3007" t="str">
        <f t="shared" ref="B154:B176" si="5">TEXT(LEFT(L154,10),"0000000000")</f>
        <v>2000003525</v>
      </c>
      <c r="C154" s="1493" t="s">
        <v>3772</v>
      </c>
      <c r="D154" s="2325"/>
      <c r="E154" s="1495"/>
      <c r="F154" s="1493" t="s">
        <v>16</v>
      </c>
      <c r="G154" s="1495"/>
      <c r="H154" s="1495"/>
      <c r="I154" s="1495" t="s">
        <v>7249</v>
      </c>
      <c r="J154" s="3009" t="s">
        <v>65</v>
      </c>
      <c r="K154" s="1495" t="s">
        <v>164</v>
      </c>
      <c r="L154" s="2878" t="s">
        <v>7731</v>
      </c>
      <c r="M154" s="2357">
        <v>586</v>
      </c>
      <c r="N154" s="2196" t="s">
        <v>7732</v>
      </c>
      <c r="O154" s="1493"/>
      <c r="P154" s="1859"/>
      <c r="Q154" s="3319" t="s">
        <v>7284</v>
      </c>
    </row>
    <row r="155" spans="1:35" s="1548" customFormat="1" ht="58.6" customHeight="1">
      <c r="A155" s="1542"/>
      <c r="B155" s="3007" t="str">
        <f t="shared" si="5"/>
        <v>2000003532</v>
      </c>
      <c r="C155" s="1493" t="s">
        <v>3772</v>
      </c>
      <c r="D155" s="2325"/>
      <c r="E155" s="1495"/>
      <c r="F155" s="1493" t="s">
        <v>16</v>
      </c>
      <c r="G155" s="1495"/>
      <c r="H155" s="1495"/>
      <c r="I155" s="1495" t="s">
        <v>7249</v>
      </c>
      <c r="J155" s="3009" t="s">
        <v>65</v>
      </c>
      <c r="K155" s="1495" t="s">
        <v>164</v>
      </c>
      <c r="L155" s="1600" t="s">
        <v>7733</v>
      </c>
      <c r="M155" s="2357">
        <v>90</v>
      </c>
      <c r="N155" s="3188" t="s">
        <v>7734</v>
      </c>
      <c r="O155" s="1493"/>
      <c r="P155" s="1859"/>
      <c r="Q155" s="3319" t="s">
        <v>7284</v>
      </c>
    </row>
    <row r="156" spans="1:35" s="1548" customFormat="1" ht="58.6" customHeight="1">
      <c r="A156" s="1542"/>
      <c r="B156" s="3007" t="str">
        <f t="shared" si="5"/>
        <v>2000003531</v>
      </c>
      <c r="C156" s="1493" t="s">
        <v>3772</v>
      </c>
      <c r="D156" s="2325"/>
      <c r="E156" s="1495"/>
      <c r="F156" s="1493" t="s">
        <v>16</v>
      </c>
      <c r="G156" s="1495"/>
      <c r="H156" s="1495"/>
      <c r="I156" s="1495" t="s">
        <v>7249</v>
      </c>
      <c r="J156" s="3009" t="s">
        <v>65</v>
      </c>
      <c r="K156" s="1495" t="s">
        <v>164</v>
      </c>
      <c r="L156" s="1600" t="s">
        <v>7735</v>
      </c>
      <c r="M156" s="2357">
        <v>3249</v>
      </c>
      <c r="N156" s="3188" t="s">
        <v>7736</v>
      </c>
      <c r="O156" s="1493"/>
      <c r="P156" s="1859"/>
      <c r="Q156" s="3319" t="s">
        <v>7284</v>
      </c>
    </row>
    <row r="157" spans="1:35" s="1548" customFormat="1" ht="58.6" customHeight="1">
      <c r="A157" s="1542"/>
      <c r="B157" s="3007" t="str">
        <f t="shared" si="5"/>
        <v>2000003560</v>
      </c>
      <c r="C157" s="1493" t="s">
        <v>3772</v>
      </c>
      <c r="D157" s="3481"/>
      <c r="F157" s="1493" t="s">
        <v>16</v>
      </c>
      <c r="G157" s="1495"/>
      <c r="H157" s="1495"/>
      <c r="I157" s="1495" t="s">
        <v>7249</v>
      </c>
      <c r="J157" s="3009" t="s">
        <v>65</v>
      </c>
      <c r="K157" s="1495" t="s">
        <v>164</v>
      </c>
      <c r="L157" s="1600" t="s">
        <v>7737</v>
      </c>
      <c r="M157" s="2357">
        <v>2900</v>
      </c>
      <c r="N157" s="2196" t="s">
        <v>7738</v>
      </c>
      <c r="O157" s="1493"/>
      <c r="P157" s="1859"/>
      <c r="Q157" s="3319" t="s">
        <v>7284</v>
      </c>
    </row>
    <row r="158" spans="1:35" s="1548" customFormat="1" ht="58.6" customHeight="1">
      <c r="A158" s="1542"/>
      <c r="B158" s="3007" t="str">
        <f t="shared" si="5"/>
        <v>2200002331</v>
      </c>
      <c r="C158" s="2429" t="s">
        <v>3440</v>
      </c>
      <c r="D158" s="3641">
        <v>8800</v>
      </c>
      <c r="E158" s="1909" t="s">
        <v>7739</v>
      </c>
      <c r="F158" s="1493" t="s">
        <v>16</v>
      </c>
      <c r="G158" s="1495"/>
      <c r="H158" s="1495"/>
      <c r="I158" s="1767" t="s">
        <v>7249</v>
      </c>
      <c r="J158" s="3009" t="s">
        <v>65</v>
      </c>
      <c r="K158" s="1495" t="s">
        <v>1179</v>
      </c>
      <c r="L158" s="1862" t="s">
        <v>7740</v>
      </c>
      <c r="M158" s="2357">
        <v>145</v>
      </c>
      <c r="N158" s="3425" t="s">
        <v>7741</v>
      </c>
      <c r="O158" s="1493"/>
      <c r="P158" s="1859"/>
      <c r="Q158" s="3413" t="s">
        <v>7284</v>
      </c>
    </row>
    <row r="159" spans="1:35" s="1548" customFormat="1" ht="58.6" hidden="1" customHeight="1">
      <c r="A159" s="1542"/>
      <c r="B159" s="3007" t="str">
        <f t="shared" si="5"/>
        <v>2000003590</v>
      </c>
      <c r="C159" s="1493" t="s">
        <v>3440</v>
      </c>
      <c r="F159" s="1493" t="s">
        <v>16</v>
      </c>
      <c r="G159" s="1495"/>
      <c r="H159" s="1495"/>
      <c r="I159" s="1624" t="s">
        <v>7249</v>
      </c>
      <c r="J159" s="1495" t="s">
        <v>65</v>
      </c>
      <c r="K159" s="1495" t="s">
        <v>1179</v>
      </c>
      <c r="L159" s="3642" t="s">
        <v>7742</v>
      </c>
      <c r="M159" s="2357">
        <v>4875</v>
      </c>
      <c r="N159" s="2196" t="s">
        <v>7743</v>
      </c>
      <c r="O159" s="1493"/>
      <c r="P159" s="1547"/>
      <c r="Q159" s="3521" t="s">
        <v>7284</v>
      </c>
    </row>
    <row r="160" spans="1:35" s="1548" customFormat="1" ht="58.6" customHeight="1">
      <c r="A160" s="1542"/>
      <c r="B160" s="3007" t="str">
        <f t="shared" si="5"/>
        <v>2200002292</v>
      </c>
      <c r="C160" s="1493" t="s">
        <v>3440</v>
      </c>
      <c r="D160" s="2325"/>
      <c r="E160" s="1495"/>
      <c r="F160" s="1493" t="s">
        <v>16</v>
      </c>
      <c r="G160" s="1495"/>
      <c r="H160" s="3045"/>
      <c r="I160" s="1767" t="s">
        <v>7249</v>
      </c>
      <c r="J160" s="3009" t="s">
        <v>65</v>
      </c>
      <c r="K160" s="1495" t="s">
        <v>1179</v>
      </c>
      <c r="L160" s="1605" t="s">
        <v>7744</v>
      </c>
      <c r="M160" s="2357">
        <v>330</v>
      </c>
      <c r="N160" s="2196" t="s">
        <v>7745</v>
      </c>
      <c r="O160" s="1493"/>
      <c r="P160" s="1859"/>
      <c r="Q160" s="3319" t="s">
        <v>7284</v>
      </c>
    </row>
    <row r="161" spans="1:17" s="1548" customFormat="1" ht="58.6" hidden="1" customHeight="1">
      <c r="A161" s="1542"/>
      <c r="B161" s="3007" t="str">
        <f t="shared" si="5"/>
        <v>2000003547</v>
      </c>
      <c r="C161" s="1493" t="s">
        <v>3440</v>
      </c>
      <c r="D161" s="2325"/>
      <c r="E161" s="1495"/>
      <c r="F161" s="1493" t="s">
        <v>16</v>
      </c>
      <c r="G161" s="1495"/>
      <c r="H161" s="1495"/>
      <c r="I161" s="1495" t="s">
        <v>7249</v>
      </c>
      <c r="J161" s="3009" t="s">
        <v>65</v>
      </c>
      <c r="K161" s="1495" t="s">
        <v>1179</v>
      </c>
      <c r="L161" s="3643" t="s">
        <v>7746</v>
      </c>
      <c r="M161" s="2357">
        <v>390</v>
      </c>
      <c r="N161" s="2196" t="s">
        <v>7747</v>
      </c>
      <c r="O161" s="1493"/>
      <c r="P161" s="1859"/>
      <c r="Q161" s="3319" t="s">
        <v>7284</v>
      </c>
    </row>
    <row r="162" spans="1:17" s="1548" customFormat="1" ht="58.6" hidden="1" customHeight="1">
      <c r="A162" s="1542"/>
      <c r="B162" s="3007" t="str">
        <f t="shared" si="5"/>
        <v>2200002321</v>
      </c>
      <c r="C162" s="1493" t="s">
        <v>3440</v>
      </c>
      <c r="D162" s="2325"/>
      <c r="E162" s="1495"/>
      <c r="F162" s="1493" t="s">
        <v>16</v>
      </c>
      <c r="G162" s="1495"/>
      <c r="H162" s="1495"/>
      <c r="I162" s="1767" t="s">
        <v>7249</v>
      </c>
      <c r="J162" s="1495" t="s">
        <v>65</v>
      </c>
      <c r="K162" s="1495" t="s">
        <v>1179</v>
      </c>
      <c r="L162" s="1496" t="s">
        <v>7748</v>
      </c>
      <c r="M162" s="2357">
        <v>140</v>
      </c>
      <c r="N162" s="2196" t="s">
        <v>7683</v>
      </c>
      <c r="O162" s="1493"/>
      <c r="P162" s="1859"/>
      <c r="Q162" s="3319" t="s">
        <v>7284</v>
      </c>
    </row>
    <row r="163" spans="1:17" s="1548" customFormat="1" ht="58.6" hidden="1" customHeight="1">
      <c r="A163" s="1542"/>
      <c r="B163" s="3007" t="str">
        <f t="shared" si="5"/>
        <v>2000003519</v>
      </c>
      <c r="C163" s="1493" t="s">
        <v>3440</v>
      </c>
      <c r="D163" s="2325"/>
      <c r="E163" s="1495"/>
      <c r="F163" s="1493" t="s">
        <v>16</v>
      </c>
      <c r="G163" s="1495"/>
      <c r="H163" s="1748"/>
      <c r="I163" s="1767" t="s">
        <v>7249</v>
      </c>
      <c r="J163" s="3009" t="s">
        <v>65</v>
      </c>
      <c r="K163" s="1495" t="s">
        <v>1179</v>
      </c>
      <c r="L163" s="1496" t="s">
        <v>7749</v>
      </c>
      <c r="M163" s="2357">
        <v>1000</v>
      </c>
      <c r="N163" s="2196" t="s">
        <v>7750</v>
      </c>
      <c r="O163" s="1493"/>
      <c r="P163" s="1859"/>
      <c r="Q163" s="3319" t="s">
        <v>7284</v>
      </c>
    </row>
    <row r="164" spans="1:17" s="1548" customFormat="1" ht="58.6" hidden="1" customHeight="1">
      <c r="A164" s="1542"/>
      <c r="B164" s="3007" t="str">
        <f t="shared" si="5"/>
        <v>2200002332</v>
      </c>
      <c r="C164" s="1493" t="s">
        <v>3440</v>
      </c>
      <c r="D164" s="2325"/>
      <c r="E164" s="1495"/>
      <c r="F164" s="1493" t="s">
        <v>16</v>
      </c>
      <c r="G164" s="1495"/>
      <c r="H164" s="1495"/>
      <c r="I164" s="1767" t="s">
        <v>7249</v>
      </c>
      <c r="J164" s="3009" t="s">
        <v>65</v>
      </c>
      <c r="K164" s="1495" t="s">
        <v>1179</v>
      </c>
      <c r="L164" s="1496" t="s">
        <v>7751</v>
      </c>
      <c r="M164" s="2357">
        <v>1720</v>
      </c>
      <c r="N164" s="2196" t="s">
        <v>7752</v>
      </c>
      <c r="O164" s="1493"/>
      <c r="P164" s="1859"/>
      <c r="Q164" s="3319" t="s">
        <v>7284</v>
      </c>
    </row>
    <row r="165" spans="1:17" s="1548" customFormat="1" ht="58.6" hidden="1" customHeight="1">
      <c r="A165" s="1542"/>
      <c r="B165" s="3007" t="str">
        <f t="shared" si="5"/>
        <v>2200002333</v>
      </c>
      <c r="C165" s="1493" t="s">
        <v>3440</v>
      </c>
      <c r="D165" s="2325"/>
      <c r="E165" s="1495"/>
      <c r="F165" s="1493" t="s">
        <v>16</v>
      </c>
      <c r="G165" s="1495"/>
      <c r="H165" s="1495"/>
      <c r="I165" s="1767" t="s">
        <v>7249</v>
      </c>
      <c r="J165" s="3009" t="s">
        <v>65</v>
      </c>
      <c r="K165" s="1495" t="s">
        <v>1179</v>
      </c>
      <c r="L165" s="1496" t="s">
        <v>7753</v>
      </c>
      <c r="M165" s="2357">
        <v>200</v>
      </c>
      <c r="N165" s="2196" t="s">
        <v>7541</v>
      </c>
      <c r="O165" s="1493"/>
      <c r="P165" s="1859"/>
      <c r="Q165" s="3319" t="s">
        <v>7284</v>
      </c>
    </row>
    <row r="166" spans="1:17" s="2430" customFormat="1" ht="58.6" customHeight="1">
      <c r="A166" s="3576"/>
      <c r="B166" s="3092" t="str">
        <f t="shared" si="5"/>
        <v>2000003585</v>
      </c>
      <c r="C166" s="3470" t="s">
        <v>3150</v>
      </c>
      <c r="D166" s="3468">
        <v>18500</v>
      </c>
      <c r="E166" s="3470" t="s">
        <v>7728</v>
      </c>
      <c r="F166" s="3469" t="s">
        <v>16</v>
      </c>
      <c r="G166" s="3470"/>
      <c r="H166" s="3470"/>
      <c r="I166" s="3579" t="s">
        <v>7249</v>
      </c>
      <c r="J166" s="3470" t="s">
        <v>65</v>
      </c>
      <c r="K166" s="3470" t="s">
        <v>106</v>
      </c>
      <c r="L166" s="425" t="s">
        <v>7754</v>
      </c>
      <c r="M166" s="3471">
        <v>4073</v>
      </c>
      <c r="N166" s="3596" t="s">
        <v>7714</v>
      </c>
      <c r="O166" s="3469"/>
      <c r="P166" s="3411" t="s">
        <v>7755</v>
      </c>
      <c r="Q166" s="3472" t="s">
        <v>7284</v>
      </c>
    </row>
    <row r="167" spans="1:17" s="2430" customFormat="1" ht="58.6" hidden="1" customHeight="1">
      <c r="A167" s="3576"/>
      <c r="B167" s="3092" t="str">
        <f t="shared" si="5"/>
        <v>2000003587</v>
      </c>
      <c r="C167" s="427" t="s">
        <v>3150</v>
      </c>
      <c r="D167" s="3468"/>
      <c r="E167" s="3470"/>
      <c r="F167" s="3469"/>
      <c r="G167" s="3470"/>
      <c r="H167" s="3470"/>
      <c r="I167" s="3579" t="s">
        <v>7249</v>
      </c>
      <c r="J167" s="427" t="s">
        <v>65</v>
      </c>
      <c r="K167" s="427" t="s">
        <v>106</v>
      </c>
      <c r="L167" s="3588" t="s">
        <v>7756</v>
      </c>
      <c r="M167" s="3471">
        <v>693</v>
      </c>
      <c r="N167" s="3488" t="s">
        <v>7757</v>
      </c>
      <c r="O167" s="3469"/>
      <c r="P167" s="3411" t="s">
        <v>7755</v>
      </c>
      <c r="Q167" s="3449" t="s">
        <v>7284</v>
      </c>
    </row>
    <row r="168" spans="1:17" s="1958" customFormat="1" ht="58.6" hidden="1" customHeight="1">
      <c r="A168" s="1954" t="s">
        <v>2092</v>
      </c>
      <c r="B168" s="3390" t="str">
        <f t="shared" si="5"/>
        <v>2000003580</v>
      </c>
      <c r="C168" s="423" t="s">
        <v>3150</v>
      </c>
      <c r="D168" s="3450"/>
      <c r="E168" s="427"/>
      <c r="F168" s="423" t="s">
        <v>16</v>
      </c>
      <c r="G168" s="427"/>
      <c r="H168" s="427"/>
      <c r="I168" s="427" t="s">
        <v>7249</v>
      </c>
      <c r="J168" s="427" t="s">
        <v>65</v>
      </c>
      <c r="K168" s="427" t="s">
        <v>106</v>
      </c>
      <c r="L168" s="424" t="s">
        <v>7758</v>
      </c>
      <c r="M168" s="3451">
        <v>1550</v>
      </c>
      <c r="N168" s="3488" t="s">
        <v>7759</v>
      </c>
      <c r="O168" s="423"/>
      <c r="P168" s="3578"/>
      <c r="Q168" s="3449" t="s">
        <v>7284</v>
      </c>
    </row>
    <row r="169" spans="1:17" s="1958" customFormat="1" ht="58.6" hidden="1" customHeight="1">
      <c r="A169" s="1954"/>
      <c r="B169" s="3390" t="str">
        <f t="shared" si="5"/>
        <v>2000003552</v>
      </c>
      <c r="C169" s="423" t="s">
        <v>3150</v>
      </c>
      <c r="D169" s="3450"/>
      <c r="E169" s="427"/>
      <c r="F169" s="423" t="s">
        <v>16</v>
      </c>
      <c r="G169" s="427"/>
      <c r="H169" s="427"/>
      <c r="I169" s="427" t="s">
        <v>7249</v>
      </c>
      <c r="J169" s="427" t="s">
        <v>65</v>
      </c>
      <c r="K169" s="427" t="s">
        <v>106</v>
      </c>
      <c r="L169" s="1956" t="s">
        <v>7760</v>
      </c>
      <c r="M169" s="3451">
        <v>250</v>
      </c>
      <c r="N169" s="3488" t="s">
        <v>7761</v>
      </c>
      <c r="O169" s="423"/>
      <c r="P169" s="3578"/>
      <c r="Q169" s="3449" t="s">
        <v>7284</v>
      </c>
    </row>
    <row r="170" spans="1:17" s="1958" customFormat="1" ht="58.6" hidden="1" customHeight="1">
      <c r="A170" s="1954"/>
      <c r="B170" s="3390" t="str">
        <f t="shared" si="5"/>
        <v>2000003578</v>
      </c>
      <c r="C170" s="423" t="s">
        <v>3150</v>
      </c>
      <c r="D170" s="3450"/>
      <c r="E170" s="427"/>
      <c r="F170" s="423" t="s">
        <v>16</v>
      </c>
      <c r="G170" s="427"/>
      <c r="H170" s="427"/>
      <c r="I170" s="427" t="s">
        <v>7249</v>
      </c>
      <c r="J170" s="423" t="s">
        <v>65</v>
      </c>
      <c r="K170" s="427" t="s">
        <v>4386</v>
      </c>
      <c r="L170" s="3577" t="s">
        <v>7762</v>
      </c>
      <c r="M170" s="3451">
        <v>3027</v>
      </c>
      <c r="N170" s="3488" t="s">
        <v>7763</v>
      </c>
      <c r="O170" s="423"/>
      <c r="P170" s="3578"/>
      <c r="Q170" s="3449" t="s">
        <v>7284</v>
      </c>
    </row>
    <row r="171" spans="1:17" s="1958" customFormat="1" ht="58.6" customHeight="1">
      <c r="A171" s="1954"/>
      <c r="B171" s="3390" t="str">
        <f t="shared" si="5"/>
        <v>2000003558</v>
      </c>
      <c r="C171" s="423" t="s">
        <v>3150</v>
      </c>
      <c r="D171" s="3450"/>
      <c r="E171" s="427"/>
      <c r="F171" s="423" t="s">
        <v>16</v>
      </c>
      <c r="G171" s="427"/>
      <c r="H171" s="427"/>
      <c r="I171" s="427" t="s">
        <v>7249</v>
      </c>
      <c r="J171" s="3348" t="s">
        <v>65</v>
      </c>
      <c r="K171" s="427" t="s">
        <v>164</v>
      </c>
      <c r="L171" s="1956" t="s">
        <v>7764</v>
      </c>
      <c r="M171" s="3451">
        <v>3620</v>
      </c>
      <c r="N171" s="3597" t="s">
        <v>7765</v>
      </c>
      <c r="O171" s="423"/>
      <c r="P171" s="1956"/>
      <c r="Q171" s="3580" t="s">
        <v>7284</v>
      </c>
    </row>
    <row r="172" spans="1:17" s="1958" customFormat="1" ht="58.6" hidden="1" customHeight="1">
      <c r="A172" s="1954"/>
      <c r="B172" s="3390" t="str">
        <f t="shared" si="5"/>
        <v>2000003598</v>
      </c>
      <c r="C172" s="423" t="s">
        <v>3150</v>
      </c>
      <c r="D172" s="3450"/>
      <c r="E172" s="427"/>
      <c r="F172" s="423" t="s">
        <v>16</v>
      </c>
      <c r="G172" s="427"/>
      <c r="H172" s="427"/>
      <c r="I172" s="427" t="s">
        <v>7249</v>
      </c>
      <c r="J172" s="427" t="s">
        <v>65</v>
      </c>
      <c r="K172" s="427" t="s">
        <v>164</v>
      </c>
      <c r="L172" s="424" t="s">
        <v>7766</v>
      </c>
      <c r="M172" s="3451">
        <v>90</v>
      </c>
      <c r="N172" s="3488" t="s">
        <v>7767</v>
      </c>
      <c r="O172" s="423"/>
      <c r="P172" s="3578"/>
      <c r="Q172" s="3449" t="s">
        <v>7284</v>
      </c>
    </row>
    <row r="173" spans="1:17" s="1958" customFormat="1" ht="58.6" hidden="1" customHeight="1">
      <c r="A173" s="1954"/>
      <c r="B173" s="3390" t="str">
        <f t="shared" si="5"/>
        <v>2000003525</v>
      </c>
      <c r="C173" s="423" t="s">
        <v>3150</v>
      </c>
      <c r="D173" s="3468"/>
      <c r="E173" s="3470"/>
      <c r="F173" s="423" t="s">
        <v>16</v>
      </c>
      <c r="G173" s="427"/>
      <c r="H173" s="427"/>
      <c r="I173" s="427" t="s">
        <v>7249</v>
      </c>
      <c r="J173" s="3348" t="s">
        <v>65</v>
      </c>
      <c r="K173" s="427" t="s">
        <v>164</v>
      </c>
      <c r="L173" s="424" t="s">
        <v>7768</v>
      </c>
      <c r="M173" s="3451">
        <v>1047</v>
      </c>
      <c r="N173" s="3488" t="s">
        <v>7732</v>
      </c>
      <c r="O173" s="423"/>
      <c r="P173" s="3578"/>
      <c r="Q173" s="3449" t="s">
        <v>7284</v>
      </c>
    </row>
    <row r="174" spans="1:17" s="1958" customFormat="1" ht="58.6" hidden="1" customHeight="1">
      <c r="A174" s="1954"/>
      <c r="B174" s="3390" t="str">
        <f t="shared" si="5"/>
        <v>2000003562</v>
      </c>
      <c r="C174" s="423" t="s">
        <v>3150</v>
      </c>
      <c r="D174" s="3450"/>
      <c r="E174" s="427"/>
      <c r="F174" s="423" t="s">
        <v>16</v>
      </c>
      <c r="G174" s="427"/>
      <c r="H174" s="427"/>
      <c r="I174" s="427" t="s">
        <v>7249</v>
      </c>
      <c r="J174" s="3348" t="s">
        <v>65</v>
      </c>
      <c r="K174" s="427" t="s">
        <v>164</v>
      </c>
      <c r="L174" s="1956" t="s">
        <v>7769</v>
      </c>
      <c r="M174" s="3451">
        <v>4150</v>
      </c>
      <c r="N174" s="3488" t="s">
        <v>7770</v>
      </c>
      <c r="O174" s="423"/>
      <c r="P174" s="3578"/>
      <c r="Q174" s="3449" t="s">
        <v>7284</v>
      </c>
    </row>
    <row r="175" spans="1:17" s="2150" customFormat="1" ht="58.6" customHeight="1">
      <c r="A175" s="2436"/>
      <c r="B175" s="3021" t="str">
        <f t="shared" si="5"/>
        <v>2000003514</v>
      </c>
      <c r="C175" s="1902" t="s">
        <v>7673</v>
      </c>
      <c r="D175" s="2488">
        <v>4700</v>
      </c>
      <c r="E175" s="1921" t="s">
        <v>7771</v>
      </c>
      <c r="F175" s="1902" t="s">
        <v>16</v>
      </c>
      <c r="G175" s="1921"/>
      <c r="H175" s="1921"/>
      <c r="I175" s="1495" t="s">
        <v>7249</v>
      </c>
      <c r="J175" s="3019" t="s">
        <v>65</v>
      </c>
      <c r="K175" s="1921" t="s">
        <v>7772</v>
      </c>
      <c r="L175" s="1775" t="s">
        <v>7773</v>
      </c>
      <c r="M175" s="2583">
        <v>536</v>
      </c>
      <c r="N175" s="3188" t="s">
        <v>7774</v>
      </c>
      <c r="O175" s="1902"/>
      <c r="P175" s="1775" t="s">
        <v>7775</v>
      </c>
      <c r="Q175" s="3413" t="s">
        <v>7284</v>
      </c>
    </row>
    <row r="176" spans="1:17" s="1548" customFormat="1" ht="58.6" customHeight="1">
      <c r="A176" s="1542"/>
      <c r="B176" s="3007" t="str">
        <f t="shared" si="5"/>
        <v>2000003575</v>
      </c>
      <c r="C176" s="1493" t="s">
        <v>7673</v>
      </c>
      <c r="D176" s="2325"/>
      <c r="E176" s="1495"/>
      <c r="F176" s="1493" t="s">
        <v>16</v>
      </c>
      <c r="G176" s="1495"/>
      <c r="H176" s="1495"/>
      <c r="I176" s="1495" t="s">
        <v>7249</v>
      </c>
      <c r="J176" s="3009" t="s">
        <v>65</v>
      </c>
      <c r="K176" s="1495" t="s">
        <v>7772</v>
      </c>
      <c r="L176" s="1600" t="s">
        <v>7776</v>
      </c>
      <c r="M176" s="2357">
        <v>4164</v>
      </c>
      <c r="N176" s="2196" t="s">
        <v>7777</v>
      </c>
      <c r="O176" s="1493"/>
      <c r="P176" s="1859" t="s">
        <v>7775</v>
      </c>
      <c r="Q176" s="3319" t="s">
        <v>7284</v>
      </c>
    </row>
    <row r="177" spans="1:35" s="2430" customFormat="1" ht="58.6" customHeight="1">
      <c r="A177" s="3536"/>
      <c r="B177" s="3537">
        <v>2200002342</v>
      </c>
      <c r="C177" s="3540" t="s">
        <v>5480</v>
      </c>
      <c r="D177" s="3539">
        <v>24000</v>
      </c>
      <c r="E177" s="3540" t="s">
        <v>7778</v>
      </c>
      <c r="F177" s="3538" t="s">
        <v>14</v>
      </c>
      <c r="G177" s="3546"/>
      <c r="H177" s="3533" t="s">
        <v>7779</v>
      </c>
      <c r="I177" s="3599" t="s">
        <v>7780</v>
      </c>
      <c r="J177" s="3540" t="s">
        <v>65</v>
      </c>
      <c r="K177" s="3540" t="s">
        <v>1000</v>
      </c>
      <c r="L177" s="313" t="s">
        <v>7781</v>
      </c>
      <c r="M177" s="3542">
        <v>1555</v>
      </c>
      <c r="N177" s="3543" t="s">
        <v>7782</v>
      </c>
      <c r="O177" s="3538"/>
      <c r="P177" s="3568"/>
      <c r="Q177" s="3569" t="s">
        <v>7284</v>
      </c>
      <c r="R177" s="3546"/>
      <c r="S177" s="3546"/>
      <c r="T177" s="3546"/>
      <c r="U177" s="3546"/>
      <c r="V177" s="3546"/>
      <c r="W177" s="3546"/>
      <c r="X177" s="3546"/>
      <c r="Y177" s="3546"/>
      <c r="Z177" s="3546"/>
      <c r="AA177" s="3546"/>
      <c r="AB177" s="3546"/>
      <c r="AC177" s="3546"/>
      <c r="AD177" s="3546"/>
      <c r="AE177" s="3546"/>
      <c r="AF177" s="3546"/>
      <c r="AG177" s="3546"/>
      <c r="AH177" s="3546"/>
      <c r="AI177" s="3546"/>
    </row>
    <row r="178" spans="1:35" s="3546" customFormat="1" ht="91.55" hidden="1" customHeight="1">
      <c r="A178" s="3536"/>
      <c r="B178" s="3537" t="str">
        <f t="shared" ref="B178:B209" si="6">TEXT(LEFT(L178,10),"0000000000")</f>
        <v>2000003638</v>
      </c>
      <c r="C178" s="1244" t="s">
        <v>5480</v>
      </c>
      <c r="D178" s="3539"/>
      <c r="E178" s="3540"/>
      <c r="F178" s="3538" t="s">
        <v>14</v>
      </c>
      <c r="I178" s="3619" t="s">
        <v>7783</v>
      </c>
      <c r="J178" s="1244" t="s">
        <v>65</v>
      </c>
      <c r="K178" s="1244" t="s">
        <v>1000</v>
      </c>
      <c r="L178" s="1252" t="s">
        <v>7784</v>
      </c>
      <c r="M178" s="3559">
        <v>2430</v>
      </c>
      <c r="N178" s="3543" t="s">
        <v>7785</v>
      </c>
      <c r="O178" s="3538"/>
      <c r="P178" s="3568"/>
      <c r="Q178" s="3569" t="s">
        <v>7284</v>
      </c>
    </row>
    <row r="179" spans="1:35" s="3555" customFormat="1" ht="58.6" hidden="1" customHeight="1">
      <c r="A179" s="1242"/>
      <c r="B179" s="3547" t="str">
        <f t="shared" si="6"/>
        <v>2000003530</v>
      </c>
      <c r="C179" s="1244" t="s">
        <v>5480</v>
      </c>
      <c r="D179" s="3539"/>
      <c r="E179" s="3540"/>
      <c r="F179" s="3538" t="s">
        <v>14</v>
      </c>
      <c r="G179" s="1244"/>
      <c r="H179" s="3547"/>
      <c r="I179" s="3619" t="s">
        <v>7783</v>
      </c>
      <c r="J179" s="1244" t="s">
        <v>65</v>
      </c>
      <c r="K179" s="1244" t="s">
        <v>1000</v>
      </c>
      <c r="L179" s="161" t="s">
        <v>7786</v>
      </c>
      <c r="M179" s="3559">
        <v>2660</v>
      </c>
      <c r="N179" s="3543" t="s">
        <v>7787</v>
      </c>
      <c r="O179" s="158"/>
      <c r="P179" s="161"/>
      <c r="Q179" s="3563" t="s">
        <v>7284</v>
      </c>
    </row>
    <row r="180" spans="1:35" s="3555" customFormat="1" ht="58.6" hidden="1" customHeight="1">
      <c r="A180" s="1242"/>
      <c r="B180" s="3547" t="str">
        <f t="shared" si="6"/>
        <v>2000003588</v>
      </c>
      <c r="C180" s="1244" t="s">
        <v>5480</v>
      </c>
      <c r="D180" s="3539"/>
      <c r="E180" s="3540"/>
      <c r="F180" s="3538" t="s">
        <v>14</v>
      </c>
      <c r="G180" s="3540"/>
      <c r="H180" s="3533" t="s">
        <v>7779</v>
      </c>
      <c r="I180" s="3561" t="s">
        <v>7249</v>
      </c>
      <c r="J180" s="1244" t="s">
        <v>65</v>
      </c>
      <c r="K180" s="1244" t="s">
        <v>1000</v>
      </c>
      <c r="L180" s="3570" t="s">
        <v>7788</v>
      </c>
      <c r="M180" s="3559">
        <v>3000</v>
      </c>
      <c r="N180" s="1244" t="s">
        <v>7789</v>
      </c>
      <c r="O180" s="158"/>
      <c r="P180" s="161"/>
      <c r="Q180" s="3563" t="s">
        <v>7284</v>
      </c>
    </row>
    <row r="181" spans="1:35" s="3555" customFormat="1" ht="58.6" customHeight="1">
      <c r="A181" s="1242"/>
      <c r="B181" s="3547" t="str">
        <f t="shared" si="6"/>
        <v>2000003619</v>
      </c>
      <c r="C181" s="1244" t="s">
        <v>5480</v>
      </c>
      <c r="D181" s="3548"/>
      <c r="E181" s="1244"/>
      <c r="F181" s="158" t="s">
        <v>14</v>
      </c>
      <c r="G181" s="1244"/>
      <c r="H181" s="1244"/>
      <c r="I181" s="1244" t="s">
        <v>7249</v>
      </c>
      <c r="J181" s="1244" t="s">
        <v>65</v>
      </c>
      <c r="K181" s="1244" t="s">
        <v>1000</v>
      </c>
      <c r="L181" s="1252" t="s">
        <v>7790</v>
      </c>
      <c r="M181" s="3559">
        <v>4000</v>
      </c>
      <c r="N181" s="3543" t="s">
        <v>7791</v>
      </c>
      <c r="O181" s="158"/>
      <c r="P181" s="161"/>
      <c r="Q181" s="3563" t="s">
        <v>7284</v>
      </c>
    </row>
    <row r="182" spans="1:35" s="3555" customFormat="1" ht="58.6" customHeight="1">
      <c r="B182" s="3547" t="str">
        <f t="shared" si="6"/>
        <v>2000003594</v>
      </c>
      <c r="C182" s="1244" t="s">
        <v>5480</v>
      </c>
      <c r="D182" s="3548"/>
      <c r="E182" s="1244"/>
      <c r="F182" s="158" t="s">
        <v>14</v>
      </c>
      <c r="G182" s="1244"/>
      <c r="H182" s="3547"/>
      <c r="I182" s="1244" t="s">
        <v>7249</v>
      </c>
      <c r="J182" s="3549" t="s">
        <v>65</v>
      </c>
      <c r="K182" s="1244" t="s">
        <v>1000</v>
      </c>
      <c r="L182" s="3558" t="s">
        <v>7792</v>
      </c>
      <c r="M182" s="3559">
        <v>245</v>
      </c>
      <c r="N182" s="3552" t="s">
        <v>7793</v>
      </c>
      <c r="O182" s="158"/>
      <c r="P182" s="161"/>
      <c r="Q182" s="3563" t="s">
        <v>7284</v>
      </c>
    </row>
    <row r="183" spans="1:35" s="3555" customFormat="1" ht="58.6" customHeight="1">
      <c r="A183" s="1242"/>
      <c r="B183" s="3547" t="str">
        <f t="shared" si="6"/>
        <v>2200002331</v>
      </c>
      <c r="C183" s="1244" t="s">
        <v>5480</v>
      </c>
      <c r="D183" s="3548"/>
      <c r="E183" s="1244"/>
      <c r="F183" s="158" t="s">
        <v>14</v>
      </c>
      <c r="G183" s="1244"/>
      <c r="H183" s="1244"/>
      <c r="I183" s="3560" t="s">
        <v>7249</v>
      </c>
      <c r="J183" s="3549" t="s">
        <v>65</v>
      </c>
      <c r="K183" s="1244" t="s">
        <v>1000</v>
      </c>
      <c r="L183" s="1252" t="s">
        <v>7794</v>
      </c>
      <c r="M183" s="3559">
        <v>775</v>
      </c>
      <c r="N183" s="3557" t="s">
        <v>7741</v>
      </c>
      <c r="O183" s="158"/>
      <c r="P183" s="161"/>
      <c r="Q183" s="3563" t="s">
        <v>7284</v>
      </c>
    </row>
    <row r="184" spans="1:35" s="3555" customFormat="1" ht="58.6" hidden="1" customHeight="1">
      <c r="A184" s="1242"/>
      <c r="B184" s="3547" t="str">
        <f t="shared" si="6"/>
        <v>2000003589</v>
      </c>
      <c r="C184" s="1244" t="s">
        <v>5480</v>
      </c>
      <c r="D184" s="3548"/>
      <c r="E184" s="1244"/>
      <c r="F184" s="158" t="s">
        <v>14</v>
      </c>
      <c r="G184" s="1244"/>
      <c r="H184" s="1244"/>
      <c r="I184" s="3561" t="s">
        <v>7249</v>
      </c>
      <c r="J184" s="1244" t="s">
        <v>65</v>
      </c>
      <c r="K184" s="1244" t="s">
        <v>1000</v>
      </c>
      <c r="L184" s="3562" t="s">
        <v>7795</v>
      </c>
      <c r="M184" s="3559">
        <v>4000</v>
      </c>
      <c r="N184" s="1244" t="s">
        <v>7796</v>
      </c>
      <c r="O184" s="158"/>
      <c r="P184" s="161"/>
      <c r="Q184" s="3563" t="s">
        <v>7284</v>
      </c>
    </row>
    <row r="185" spans="1:35" s="3555" customFormat="1" ht="58.6" hidden="1" customHeight="1">
      <c r="A185" s="1242"/>
      <c r="B185" s="3547" t="str">
        <f t="shared" si="6"/>
        <v>2200002345</v>
      </c>
      <c r="C185" s="1244" t="s">
        <v>5480</v>
      </c>
      <c r="D185" s="3548"/>
      <c r="E185" s="1244"/>
      <c r="F185" s="158" t="s">
        <v>14</v>
      </c>
      <c r="G185" s="1244"/>
      <c r="H185" s="1244"/>
      <c r="I185" s="1244" t="s">
        <v>7249</v>
      </c>
      <c r="J185" s="3549" t="s">
        <v>65</v>
      </c>
      <c r="K185" s="1244" t="s">
        <v>1000</v>
      </c>
      <c r="L185" s="1252" t="s">
        <v>7797</v>
      </c>
      <c r="M185" s="3559">
        <v>1500</v>
      </c>
      <c r="N185" s="3543" t="s">
        <v>7798</v>
      </c>
      <c r="O185" s="158"/>
      <c r="P185" s="3544"/>
      <c r="Q185" s="3563" t="s">
        <v>7284</v>
      </c>
    </row>
    <row r="186" spans="1:35" s="3555" customFormat="1" ht="58.6" hidden="1" customHeight="1">
      <c r="A186" s="1242"/>
      <c r="B186" s="3547" t="str">
        <f t="shared" si="6"/>
        <v>2200002343</v>
      </c>
      <c r="C186" s="1244" t="s">
        <v>5480</v>
      </c>
      <c r="D186" s="3548"/>
      <c r="E186" s="1244"/>
      <c r="F186" s="158" t="s">
        <v>14</v>
      </c>
      <c r="G186" s="1244"/>
      <c r="H186" s="1244"/>
      <c r="I186" s="1244" t="s">
        <v>7249</v>
      </c>
      <c r="J186" s="1244" t="s">
        <v>65</v>
      </c>
      <c r="K186" s="1244" t="s">
        <v>1000</v>
      </c>
      <c r="L186" s="1252" t="s">
        <v>7799</v>
      </c>
      <c r="M186" s="3559">
        <v>3830</v>
      </c>
      <c r="N186" s="3543" t="s">
        <v>7800</v>
      </c>
      <c r="O186" s="158"/>
      <c r="P186" s="3544"/>
      <c r="Q186" s="3563" t="s">
        <v>7284</v>
      </c>
    </row>
    <row r="187" spans="1:35" s="2430" customFormat="1" ht="58.6" customHeight="1">
      <c r="A187" s="3576"/>
      <c r="B187" s="3092" t="str">
        <f t="shared" si="6"/>
        <v>2000003585</v>
      </c>
      <c r="C187" s="3469" t="s">
        <v>234</v>
      </c>
      <c r="D187" s="3468">
        <v>11700</v>
      </c>
      <c r="E187" s="3470" t="s">
        <v>7801</v>
      </c>
      <c r="F187" s="3469" t="s">
        <v>16</v>
      </c>
      <c r="G187" s="3470"/>
      <c r="H187" s="3470"/>
      <c r="I187" s="3579" t="s">
        <v>7249</v>
      </c>
      <c r="J187" s="3470" t="s">
        <v>65</v>
      </c>
      <c r="K187" s="3470" t="s">
        <v>106</v>
      </c>
      <c r="L187" s="425" t="s">
        <v>7802</v>
      </c>
      <c r="M187" s="3471">
        <v>2350</v>
      </c>
      <c r="N187" s="3488" t="s">
        <v>7714</v>
      </c>
      <c r="O187" s="3469"/>
      <c r="P187" s="3411" t="s">
        <v>7755</v>
      </c>
      <c r="Q187" s="3472" t="s">
        <v>7284</v>
      </c>
    </row>
    <row r="188" spans="1:35" s="1958" customFormat="1" ht="58.6" hidden="1" customHeight="1">
      <c r="A188" s="1954"/>
      <c r="B188" s="3390" t="str">
        <f t="shared" si="6"/>
        <v>2000003576</v>
      </c>
      <c r="C188" s="423" t="s">
        <v>234</v>
      </c>
      <c r="D188" s="3450"/>
      <c r="E188" s="3470" t="s">
        <v>7801</v>
      </c>
      <c r="F188" s="423" t="s">
        <v>16</v>
      </c>
      <c r="G188" s="427"/>
      <c r="H188" s="427"/>
      <c r="I188" s="3579" t="s">
        <v>7249</v>
      </c>
      <c r="J188" s="3348" t="s">
        <v>65</v>
      </c>
      <c r="K188" s="427" t="s">
        <v>106</v>
      </c>
      <c r="L188" s="424" t="s">
        <v>7803</v>
      </c>
      <c r="M188" s="3451">
        <v>2850</v>
      </c>
      <c r="N188" s="3488" t="s">
        <v>7804</v>
      </c>
      <c r="O188" s="423"/>
      <c r="P188" s="3578"/>
      <c r="Q188" s="3449" t="s">
        <v>7284</v>
      </c>
    </row>
    <row r="189" spans="1:35" s="1958" customFormat="1" ht="58.6" customHeight="1">
      <c r="A189" s="1954"/>
      <c r="B189" s="3390" t="str">
        <f t="shared" si="6"/>
        <v>2000003620</v>
      </c>
      <c r="C189" s="423" t="s">
        <v>234</v>
      </c>
      <c r="D189" s="3450"/>
      <c r="E189" s="3470" t="s">
        <v>7801</v>
      </c>
      <c r="F189" s="423" t="s">
        <v>16</v>
      </c>
      <c r="G189" s="427"/>
      <c r="H189" s="427"/>
      <c r="I189" s="3579" t="s">
        <v>7249</v>
      </c>
      <c r="J189" s="427" t="s">
        <v>65</v>
      </c>
      <c r="K189" s="427" t="s">
        <v>106</v>
      </c>
      <c r="L189" s="1956" t="s">
        <v>7805</v>
      </c>
      <c r="M189" s="3451">
        <v>600</v>
      </c>
      <c r="N189" s="3596" t="s">
        <v>7806</v>
      </c>
      <c r="O189" s="423"/>
      <c r="P189" s="3578"/>
      <c r="Q189" s="3449" t="s">
        <v>7284</v>
      </c>
    </row>
    <row r="190" spans="1:35" s="1958" customFormat="1" ht="58.6" customHeight="1">
      <c r="A190" s="1954"/>
      <c r="B190" s="3390" t="str">
        <f t="shared" si="6"/>
        <v>2000003577</v>
      </c>
      <c r="C190" s="423" t="s">
        <v>234</v>
      </c>
      <c r="E190" s="3470" t="s">
        <v>7801</v>
      </c>
      <c r="F190" s="423" t="s">
        <v>16</v>
      </c>
      <c r="G190" s="427"/>
      <c r="H190" s="427"/>
      <c r="I190" s="3579" t="s">
        <v>7249</v>
      </c>
      <c r="J190" s="3348" t="s">
        <v>65</v>
      </c>
      <c r="K190" s="427" t="s">
        <v>106</v>
      </c>
      <c r="L190" s="1958" t="s">
        <v>7807</v>
      </c>
      <c r="M190" s="3451">
        <v>700</v>
      </c>
      <c r="N190" s="3488" t="s">
        <v>7808</v>
      </c>
      <c r="O190" s="423"/>
      <c r="P190" s="3578"/>
      <c r="Q190" s="3449" t="s">
        <v>7284</v>
      </c>
    </row>
    <row r="191" spans="1:35" s="1958" customFormat="1" ht="58.6" hidden="1" customHeight="1">
      <c r="A191" s="1954"/>
      <c r="B191" s="3390" t="str">
        <f t="shared" si="6"/>
        <v>2000003574</v>
      </c>
      <c r="C191" s="423" t="s">
        <v>234</v>
      </c>
      <c r="D191" s="3450"/>
      <c r="E191" s="3470" t="s">
        <v>7801</v>
      </c>
      <c r="F191" s="423" t="s">
        <v>16</v>
      </c>
      <c r="G191" s="427"/>
      <c r="H191" s="427"/>
      <c r="I191" s="3579" t="s">
        <v>7249</v>
      </c>
      <c r="J191" s="3348" t="s">
        <v>65</v>
      </c>
      <c r="K191" s="427" t="s">
        <v>106</v>
      </c>
      <c r="L191" s="1956" t="s">
        <v>7809</v>
      </c>
      <c r="M191" s="3451">
        <v>300</v>
      </c>
      <c r="N191" s="3488" t="s">
        <v>7810</v>
      </c>
      <c r="O191" s="423"/>
      <c r="P191" s="3578"/>
      <c r="Q191" s="3449" t="s">
        <v>7284</v>
      </c>
    </row>
    <row r="192" spans="1:35" s="1958" customFormat="1" ht="58.6" hidden="1" customHeight="1">
      <c r="A192" s="1954"/>
      <c r="B192" s="3390" t="str">
        <f t="shared" si="6"/>
        <v>2000003508</v>
      </c>
      <c r="C192" s="423" t="s">
        <v>234</v>
      </c>
      <c r="D192" s="3450"/>
      <c r="E192" s="3470" t="s">
        <v>7801</v>
      </c>
      <c r="F192" s="423" t="s">
        <v>16</v>
      </c>
      <c r="G192" s="427"/>
      <c r="H192" s="427"/>
      <c r="I192" s="427" t="s">
        <v>7249</v>
      </c>
      <c r="J192" s="3348" t="s">
        <v>65</v>
      </c>
      <c r="K192" s="427" t="s">
        <v>5400</v>
      </c>
      <c r="L192" s="424" t="s">
        <v>7811</v>
      </c>
      <c r="M192" s="3451">
        <v>3055</v>
      </c>
      <c r="N192" s="3488" t="s">
        <v>7698</v>
      </c>
      <c r="O192" s="423">
        <v>34</v>
      </c>
      <c r="P192" s="3578"/>
      <c r="Q192" s="3449" t="s">
        <v>7284</v>
      </c>
    </row>
    <row r="193" spans="1:17" s="1958" customFormat="1" ht="58.6" hidden="1" customHeight="1">
      <c r="A193" s="1954"/>
      <c r="B193" s="3390" t="str">
        <f t="shared" si="6"/>
        <v>2000003549</v>
      </c>
      <c r="C193" s="423" t="s">
        <v>234</v>
      </c>
      <c r="D193" s="3450"/>
      <c r="E193" s="3470" t="s">
        <v>7801</v>
      </c>
      <c r="F193" s="423" t="s">
        <v>16</v>
      </c>
      <c r="G193" s="427"/>
      <c r="H193" s="427"/>
      <c r="I193" s="427" t="s">
        <v>7249</v>
      </c>
      <c r="J193" s="423" t="s">
        <v>65</v>
      </c>
      <c r="K193" s="427" t="s">
        <v>5400</v>
      </c>
      <c r="L193" s="424" t="s">
        <v>7812</v>
      </c>
      <c r="M193" s="3451">
        <v>1845</v>
      </c>
      <c r="N193" s="3640" t="s">
        <v>7813</v>
      </c>
      <c r="O193" s="423"/>
      <c r="P193" s="3578"/>
      <c r="Q193" s="3449" t="s">
        <v>7284</v>
      </c>
    </row>
    <row r="194" spans="1:17" s="3546" customFormat="1" ht="58.6" hidden="1" customHeight="1">
      <c r="A194" s="3536"/>
      <c r="B194" s="3537" t="str">
        <f t="shared" si="6"/>
        <v>2000003268</v>
      </c>
      <c r="C194" s="3538" t="s">
        <v>5570</v>
      </c>
      <c r="D194" s="3598">
        <v>4350</v>
      </c>
      <c r="E194" s="3538" t="s">
        <v>7814</v>
      </c>
      <c r="F194" s="3538" t="s">
        <v>22</v>
      </c>
      <c r="G194" s="3540"/>
      <c r="H194" s="3540"/>
      <c r="I194" s="3599" t="s">
        <v>7249</v>
      </c>
      <c r="J194" s="3600" t="s">
        <v>65</v>
      </c>
      <c r="K194" s="3540" t="s">
        <v>117</v>
      </c>
      <c r="L194" s="3541" t="s">
        <v>7815</v>
      </c>
      <c r="M194" s="3542">
        <v>3861</v>
      </c>
      <c r="N194" s="3552" t="s">
        <v>7816</v>
      </c>
      <c r="O194" s="3538"/>
      <c r="P194" s="3544"/>
      <c r="Q194" s="3545" t="s">
        <v>7284</v>
      </c>
    </row>
    <row r="195" spans="1:17" s="3555" customFormat="1" ht="58.6" hidden="1" customHeight="1">
      <c r="A195" s="1242"/>
      <c r="B195" s="3547" t="str">
        <f t="shared" si="6"/>
        <v>2000003582</v>
      </c>
      <c r="C195" s="158" t="s">
        <v>5570</v>
      </c>
      <c r="D195" s="3602"/>
      <c r="E195" s="158"/>
      <c r="F195" s="158" t="s">
        <v>22</v>
      </c>
      <c r="G195" s="1244"/>
      <c r="H195" s="1244"/>
      <c r="I195" s="3603" t="s">
        <v>7249</v>
      </c>
      <c r="J195" s="3549" t="s">
        <v>65</v>
      </c>
      <c r="K195" s="1244" t="s">
        <v>117</v>
      </c>
      <c r="L195" s="1252" t="s">
        <v>7817</v>
      </c>
      <c r="M195" s="3559">
        <v>489</v>
      </c>
      <c r="N195" s="3552" t="s">
        <v>7818</v>
      </c>
      <c r="O195" s="158"/>
      <c r="P195" s="3553" t="s">
        <v>7819</v>
      </c>
      <c r="Q195" s="3554" t="s">
        <v>7284</v>
      </c>
    </row>
    <row r="196" spans="1:17" s="3546" customFormat="1" ht="58.6" hidden="1" customHeight="1">
      <c r="A196" s="3536"/>
      <c r="B196" s="3537" t="str">
        <f t="shared" si="6"/>
        <v>2000003586</v>
      </c>
      <c r="C196" s="3538" t="s">
        <v>3156</v>
      </c>
      <c r="D196" s="3539">
        <v>9900</v>
      </c>
      <c r="E196" s="3540" t="s">
        <v>7814</v>
      </c>
      <c r="F196" s="3538" t="s">
        <v>14</v>
      </c>
      <c r="G196" s="3540"/>
      <c r="H196" s="3540"/>
      <c r="I196" s="3564" t="s">
        <v>7249</v>
      </c>
      <c r="J196" s="3540" t="s">
        <v>65</v>
      </c>
      <c r="K196" s="3540" t="s">
        <v>106</v>
      </c>
      <c r="L196" s="3583" t="s">
        <v>7820</v>
      </c>
      <c r="M196" s="3542">
        <v>3265</v>
      </c>
      <c r="N196" s="3543" t="s">
        <v>7821</v>
      </c>
      <c r="O196" s="3538"/>
      <c r="P196" s="3565" t="s">
        <v>7755</v>
      </c>
      <c r="Q196" s="3545" t="s">
        <v>7284</v>
      </c>
    </row>
    <row r="197" spans="1:17" s="3555" customFormat="1" ht="58.6" customHeight="1">
      <c r="A197" s="1242"/>
      <c r="B197" s="3547" t="str">
        <f t="shared" si="6"/>
        <v>2000003585</v>
      </c>
      <c r="C197" s="158" t="s">
        <v>3156</v>
      </c>
      <c r="D197" s="3548"/>
      <c r="E197" s="1244"/>
      <c r="F197" s="158" t="s">
        <v>14</v>
      </c>
      <c r="G197" s="1244"/>
      <c r="H197" s="1244"/>
      <c r="I197" s="3560" t="s">
        <v>7249</v>
      </c>
      <c r="J197" s="1244" t="s">
        <v>65</v>
      </c>
      <c r="K197" s="1244" t="s">
        <v>106</v>
      </c>
      <c r="L197" s="3558" t="s">
        <v>7822</v>
      </c>
      <c r="M197" s="3559">
        <v>3744</v>
      </c>
      <c r="N197" s="3543" t="s">
        <v>7714</v>
      </c>
      <c r="O197" s="158"/>
      <c r="P197" s="3565" t="s">
        <v>7755</v>
      </c>
      <c r="Q197" s="3554" t="s">
        <v>7284</v>
      </c>
    </row>
    <row r="198" spans="1:17" s="3555" customFormat="1" ht="58.6" customHeight="1">
      <c r="A198" s="3584"/>
      <c r="B198" s="3547" t="str">
        <f t="shared" si="6"/>
        <v>2200002311</v>
      </c>
      <c r="C198" s="158" t="s">
        <v>3156</v>
      </c>
      <c r="D198" s="3548"/>
      <c r="E198" s="1244"/>
      <c r="F198" s="158" t="s">
        <v>14</v>
      </c>
      <c r="G198" s="1244"/>
      <c r="H198" s="1253"/>
      <c r="I198" s="1244" t="s">
        <v>7249</v>
      </c>
      <c r="J198" s="3549" t="s">
        <v>65</v>
      </c>
      <c r="K198" s="1244" t="s">
        <v>106</v>
      </c>
      <c r="L198" s="1252" t="s">
        <v>7823</v>
      </c>
      <c r="M198" s="3559">
        <v>70</v>
      </c>
      <c r="N198" s="3557" t="s">
        <v>7824</v>
      </c>
      <c r="O198" s="158">
        <v>34</v>
      </c>
      <c r="P198" s="1244" t="s">
        <v>7825</v>
      </c>
      <c r="Q198" s="3554" t="s">
        <v>7284</v>
      </c>
    </row>
    <row r="199" spans="1:17" s="3555" customFormat="1" ht="58.6" hidden="1" customHeight="1">
      <c r="A199" s="3584"/>
      <c r="B199" s="3547" t="str">
        <f t="shared" si="6"/>
        <v>2200002314</v>
      </c>
      <c r="C199" s="158" t="s">
        <v>3156</v>
      </c>
      <c r="D199" s="3585"/>
      <c r="E199" s="1244"/>
      <c r="F199" s="158" t="s">
        <v>14</v>
      </c>
      <c r="G199" s="1244"/>
      <c r="H199" s="1253"/>
      <c r="I199" s="1244" t="s">
        <v>7249</v>
      </c>
      <c r="J199" s="3549" t="s">
        <v>65</v>
      </c>
      <c r="K199" s="1244" t="s">
        <v>106</v>
      </c>
      <c r="L199" s="1252" t="s">
        <v>7826</v>
      </c>
      <c r="M199" s="3559">
        <v>170</v>
      </c>
      <c r="N199" s="3543" t="s">
        <v>7827</v>
      </c>
      <c r="O199" s="158"/>
      <c r="P199" s="1244" t="s">
        <v>7825</v>
      </c>
      <c r="Q199" s="3554" t="s">
        <v>7284</v>
      </c>
    </row>
    <row r="200" spans="1:17" s="3555" customFormat="1" ht="58.6" customHeight="1">
      <c r="A200" s="3584"/>
      <c r="B200" s="3547" t="str">
        <f t="shared" si="6"/>
        <v>2200002289</v>
      </c>
      <c r="C200" s="158" t="s">
        <v>3156</v>
      </c>
      <c r="F200" s="158" t="s">
        <v>14</v>
      </c>
      <c r="G200" s="1244"/>
      <c r="H200" s="1253"/>
      <c r="I200" s="1244" t="s">
        <v>7249</v>
      </c>
      <c r="J200" s="3549" t="s">
        <v>65</v>
      </c>
      <c r="K200" s="1244" t="s">
        <v>106</v>
      </c>
      <c r="L200" s="1252" t="s">
        <v>7828</v>
      </c>
      <c r="M200" s="3559">
        <v>421</v>
      </c>
      <c r="N200" s="3557" t="s">
        <v>7582</v>
      </c>
      <c r="O200" s="158"/>
      <c r="P200" s="1244" t="s">
        <v>7825</v>
      </c>
      <c r="Q200" s="3554" t="s">
        <v>7284</v>
      </c>
    </row>
    <row r="201" spans="1:17" s="3555" customFormat="1" ht="58.6" hidden="1" customHeight="1">
      <c r="A201" s="1242"/>
      <c r="B201" s="3547" t="str">
        <f t="shared" si="6"/>
        <v>2200002245</v>
      </c>
      <c r="C201" s="158" t="s">
        <v>3156</v>
      </c>
      <c r="D201" s="3548"/>
      <c r="E201" s="1244"/>
      <c r="F201" s="158" t="s">
        <v>14</v>
      </c>
      <c r="G201" s="1244"/>
      <c r="H201" s="1253"/>
      <c r="I201" s="1244" t="s">
        <v>7249</v>
      </c>
      <c r="J201" s="3549" t="s">
        <v>65</v>
      </c>
      <c r="K201" s="1244" t="s">
        <v>106</v>
      </c>
      <c r="L201" s="1252" t="s">
        <v>7829</v>
      </c>
      <c r="M201" s="3559">
        <v>2250</v>
      </c>
      <c r="N201" s="3543" t="s">
        <v>7830</v>
      </c>
      <c r="O201" s="158"/>
      <c r="P201" s="1244" t="s">
        <v>136</v>
      </c>
      <c r="Q201" s="3554" t="s">
        <v>7284</v>
      </c>
    </row>
    <row r="202" spans="1:17" s="3546" customFormat="1" ht="58.6" hidden="1" customHeight="1">
      <c r="A202" s="3536"/>
      <c r="B202" s="3537" t="str">
        <f t="shared" si="6"/>
        <v>2000003587</v>
      </c>
      <c r="C202" s="3538" t="s">
        <v>3747</v>
      </c>
      <c r="D202" s="3539">
        <v>5900</v>
      </c>
      <c r="E202" s="3540" t="s">
        <v>7814</v>
      </c>
      <c r="F202" s="3538" t="s">
        <v>14</v>
      </c>
      <c r="G202" s="3540"/>
      <c r="H202" s="3540"/>
      <c r="I202" s="3564" t="s">
        <v>7249</v>
      </c>
      <c r="J202" s="3540" t="s">
        <v>65</v>
      </c>
      <c r="K202" s="3540" t="s">
        <v>106</v>
      </c>
      <c r="L202" s="3568" t="s">
        <v>7831</v>
      </c>
      <c r="M202" s="3542">
        <v>657</v>
      </c>
      <c r="N202" s="3543" t="s">
        <v>7757</v>
      </c>
      <c r="O202" s="3538"/>
      <c r="P202" s="3553" t="s">
        <v>7287</v>
      </c>
      <c r="Q202" s="3545" t="s">
        <v>7284</v>
      </c>
    </row>
    <row r="203" spans="1:17" s="3546" customFormat="1" ht="58.6" customHeight="1">
      <c r="A203" s="3536"/>
      <c r="B203" s="3537" t="str">
        <f t="shared" si="6"/>
        <v>2000003585</v>
      </c>
      <c r="C203" s="158" t="s">
        <v>3747</v>
      </c>
      <c r="D203" s="3539"/>
      <c r="E203" s="3540"/>
      <c r="F203" s="158" t="s">
        <v>14</v>
      </c>
      <c r="G203" s="3540"/>
      <c r="H203" s="3540"/>
      <c r="I203" s="3564" t="s">
        <v>7249</v>
      </c>
      <c r="J203" s="1244" t="s">
        <v>65</v>
      </c>
      <c r="K203" s="1244" t="s">
        <v>106</v>
      </c>
      <c r="L203" s="3589" t="s">
        <v>7832</v>
      </c>
      <c r="M203" s="3542">
        <v>693</v>
      </c>
      <c r="N203" s="1253" t="s">
        <v>7833</v>
      </c>
      <c r="O203" s="3538"/>
      <c r="P203" s="3553"/>
      <c r="Q203" s="3545" t="s">
        <v>7284</v>
      </c>
    </row>
    <row r="204" spans="1:17" s="3555" customFormat="1" ht="58.6" customHeight="1">
      <c r="A204" s="1242"/>
      <c r="B204" s="3547" t="str">
        <f t="shared" si="6"/>
        <v>2000003614</v>
      </c>
      <c r="C204" s="158" t="s">
        <v>3747</v>
      </c>
      <c r="D204" s="3548"/>
      <c r="E204" s="1244"/>
      <c r="F204" s="158" t="s">
        <v>14</v>
      </c>
      <c r="G204" s="1244"/>
      <c r="H204" s="1244"/>
      <c r="I204" s="3560" t="s">
        <v>7249</v>
      </c>
      <c r="J204" s="1244" t="s">
        <v>65</v>
      </c>
      <c r="K204" s="1244" t="s">
        <v>106</v>
      </c>
      <c r="L204" s="1252" t="s">
        <v>7834</v>
      </c>
      <c r="M204" s="3559">
        <v>4500</v>
      </c>
      <c r="N204" s="1253" t="s">
        <v>7835</v>
      </c>
      <c r="O204" s="158"/>
      <c r="P204" s="3553" t="s">
        <v>7287</v>
      </c>
      <c r="Q204" s="3545" t="s">
        <v>7284</v>
      </c>
    </row>
    <row r="205" spans="1:17" s="3546" customFormat="1" ht="58.6" customHeight="1">
      <c r="A205" s="3536"/>
      <c r="B205" s="3537" t="str">
        <f t="shared" si="6"/>
        <v>2000003618</v>
      </c>
      <c r="C205" s="3538" t="s">
        <v>2962</v>
      </c>
      <c r="D205" s="3539">
        <v>6170</v>
      </c>
      <c r="E205" s="3540" t="s">
        <v>7814</v>
      </c>
      <c r="F205" s="3538" t="s">
        <v>14</v>
      </c>
      <c r="G205" s="3540"/>
      <c r="H205" s="3540"/>
      <c r="I205" s="1244" t="s">
        <v>7249</v>
      </c>
      <c r="J205" s="3540" t="s">
        <v>65</v>
      </c>
      <c r="K205" s="3540" t="s">
        <v>5400</v>
      </c>
      <c r="L205" s="3541" t="s">
        <v>7836</v>
      </c>
      <c r="M205" s="3542">
        <v>20</v>
      </c>
      <c r="N205" s="3557" t="s">
        <v>7837</v>
      </c>
      <c r="O205" s="3538"/>
      <c r="P205" s="3544"/>
      <c r="Q205" s="3545" t="s">
        <v>7284</v>
      </c>
    </row>
    <row r="206" spans="1:17" s="3555" customFormat="1" ht="58.6" hidden="1" customHeight="1">
      <c r="A206" s="1242"/>
      <c r="B206" s="3547" t="str">
        <f t="shared" si="6"/>
        <v>2000003507</v>
      </c>
      <c r="C206" s="158" t="s">
        <v>2962</v>
      </c>
      <c r="D206" s="3548"/>
      <c r="E206" s="1244"/>
      <c r="F206" s="158" t="s">
        <v>14</v>
      </c>
      <c r="G206" s="1244"/>
      <c r="H206" s="1244"/>
      <c r="I206" s="1244" t="s">
        <v>7249</v>
      </c>
      <c r="J206" s="3549" t="s">
        <v>65</v>
      </c>
      <c r="K206" s="1244" t="s">
        <v>5400</v>
      </c>
      <c r="L206" s="1252" t="s">
        <v>7838</v>
      </c>
      <c r="M206" s="3559">
        <v>600</v>
      </c>
      <c r="N206" s="3552" t="s">
        <v>7839</v>
      </c>
      <c r="O206" s="158"/>
      <c r="P206" s="3553"/>
      <c r="Q206" s="3545" t="s">
        <v>7284</v>
      </c>
    </row>
    <row r="207" spans="1:17" s="3555" customFormat="1" ht="58.6" hidden="1" customHeight="1">
      <c r="A207" s="1242"/>
      <c r="B207" s="3547" t="str">
        <f t="shared" si="6"/>
        <v>2000003611</v>
      </c>
      <c r="C207" s="158" t="s">
        <v>2962</v>
      </c>
      <c r="D207" s="3548"/>
      <c r="E207" s="1244"/>
      <c r="F207" s="158" t="s">
        <v>14</v>
      </c>
      <c r="G207" s="1244"/>
      <c r="H207" s="1244"/>
      <c r="I207" s="1244" t="s">
        <v>7249</v>
      </c>
      <c r="J207" s="1244" t="s">
        <v>65</v>
      </c>
      <c r="K207" s="1244" t="s">
        <v>5400</v>
      </c>
      <c r="L207" s="1252" t="s">
        <v>7840</v>
      </c>
      <c r="M207" s="3559">
        <v>560</v>
      </c>
      <c r="N207" s="3543" t="s">
        <v>7841</v>
      </c>
      <c r="O207" s="158"/>
      <c r="P207" s="3553"/>
      <c r="Q207" s="3545" t="s">
        <v>7284</v>
      </c>
    </row>
    <row r="208" spans="1:17" s="3555" customFormat="1" ht="58.6" customHeight="1">
      <c r="A208" s="1242"/>
      <c r="B208" s="3547" t="str">
        <f t="shared" si="6"/>
        <v>2000003617</v>
      </c>
      <c r="C208" s="158" t="s">
        <v>2962</v>
      </c>
      <c r="D208" s="3548"/>
      <c r="E208" s="1244"/>
      <c r="F208" s="158" t="s">
        <v>14</v>
      </c>
      <c r="G208" s="1244"/>
      <c r="H208" s="1244"/>
      <c r="I208" s="1244" t="s">
        <v>7249</v>
      </c>
      <c r="J208" s="1244" t="s">
        <v>65</v>
      </c>
      <c r="K208" s="1244" t="s">
        <v>5400</v>
      </c>
      <c r="L208" s="1252" t="s">
        <v>7842</v>
      </c>
      <c r="M208" s="3559">
        <v>200</v>
      </c>
      <c r="N208" s="3667" t="s">
        <v>7843</v>
      </c>
      <c r="O208" s="158"/>
      <c r="P208" s="3553"/>
      <c r="Q208" s="3545" t="s">
        <v>7284</v>
      </c>
    </row>
    <row r="209" spans="1:35" s="3555" customFormat="1" ht="58.6" hidden="1" customHeight="1">
      <c r="A209" s="1242"/>
      <c r="B209" s="3547" t="str">
        <f t="shared" si="6"/>
        <v>2000003609</v>
      </c>
      <c r="C209" s="158" t="s">
        <v>2962</v>
      </c>
      <c r="D209" s="3548"/>
      <c r="E209" s="1244"/>
      <c r="F209" s="158" t="s">
        <v>14</v>
      </c>
      <c r="G209" s="1244"/>
      <c r="H209" s="1244"/>
      <c r="I209" s="1244" t="s">
        <v>7249</v>
      </c>
      <c r="J209" s="1244" t="s">
        <v>65</v>
      </c>
      <c r="K209" s="1244" t="s">
        <v>5400</v>
      </c>
      <c r="L209" s="1252" t="s">
        <v>7844</v>
      </c>
      <c r="M209" s="3559">
        <v>3030</v>
      </c>
      <c r="N209" s="3557" t="s">
        <v>7845</v>
      </c>
      <c r="O209" s="158"/>
      <c r="P209" s="3553"/>
      <c r="Q209" s="3545" t="s">
        <v>7284</v>
      </c>
    </row>
    <row r="210" spans="1:35" s="3594" customFormat="1" ht="58.6" hidden="1" customHeight="1">
      <c r="A210" s="3592"/>
      <c r="B210" s="3547" t="str">
        <f t="shared" ref="B210:B241" si="7">TEXT(LEFT(L210,10),"0000000000")</f>
        <v>2000003610</v>
      </c>
      <c r="C210" s="158" t="s">
        <v>2962</v>
      </c>
      <c r="D210" s="3593"/>
      <c r="E210" s="1253"/>
      <c r="F210" s="158" t="s">
        <v>14</v>
      </c>
      <c r="G210" s="1253"/>
      <c r="H210" s="1253"/>
      <c r="I210" s="1244" t="s">
        <v>7249</v>
      </c>
      <c r="J210" s="1244" t="s">
        <v>65</v>
      </c>
      <c r="K210" s="1244" t="s">
        <v>5400</v>
      </c>
      <c r="L210" s="3595" t="s">
        <v>7846</v>
      </c>
      <c r="M210" s="3559">
        <v>1760</v>
      </c>
      <c r="N210" s="3557" t="s">
        <v>7847</v>
      </c>
      <c r="O210" s="1246"/>
      <c r="P210" s="3553"/>
      <c r="Q210" s="3545" t="s">
        <v>7284</v>
      </c>
    </row>
    <row r="211" spans="1:35" s="2430" customFormat="1" ht="58.6" customHeight="1">
      <c r="A211" s="3576"/>
      <c r="B211" s="3092" t="str">
        <f t="shared" si="7"/>
        <v>2000003668</v>
      </c>
      <c r="C211" s="3470" t="s">
        <v>4455</v>
      </c>
      <c r="D211" s="3468">
        <v>24200</v>
      </c>
      <c r="E211" s="3470" t="s">
        <v>7848</v>
      </c>
      <c r="F211" s="3469" t="s">
        <v>14</v>
      </c>
      <c r="G211" s="3470"/>
      <c r="H211" s="3470"/>
      <c r="I211" s="3470" t="s">
        <v>7249</v>
      </c>
      <c r="J211" s="2925" t="s">
        <v>65</v>
      </c>
      <c r="K211" s="3470" t="s">
        <v>294</v>
      </c>
      <c r="L211" s="3647" t="s">
        <v>7849</v>
      </c>
      <c r="M211" s="3471">
        <v>2592</v>
      </c>
      <c r="N211" s="3581" t="s">
        <v>7850</v>
      </c>
      <c r="O211" s="3469"/>
      <c r="P211" s="3648"/>
      <c r="Q211" s="3472" t="s">
        <v>7284</v>
      </c>
    </row>
    <row r="212" spans="1:35" s="2430" customFormat="1" ht="58.6" hidden="1" customHeight="1">
      <c r="A212" s="3395"/>
      <c r="B212" s="3092" t="str">
        <f t="shared" si="7"/>
        <v>2200002317</v>
      </c>
      <c r="C212" s="427" t="s">
        <v>4455</v>
      </c>
      <c r="D212" s="3450"/>
      <c r="E212" s="3470" t="s">
        <v>7848</v>
      </c>
      <c r="F212" s="423" t="s">
        <v>14</v>
      </c>
      <c r="G212" s="3470"/>
      <c r="H212" s="3581" t="s">
        <v>7851</v>
      </c>
      <c r="I212" s="3470" t="s">
        <v>7249</v>
      </c>
      <c r="J212" s="2925" t="s">
        <v>65</v>
      </c>
      <c r="K212" s="427" t="s">
        <v>136</v>
      </c>
      <c r="L212" s="3647" t="s">
        <v>7852</v>
      </c>
      <c r="M212" s="3471">
        <v>250</v>
      </c>
      <c r="N212" s="3488" t="s">
        <v>7853</v>
      </c>
      <c r="O212" s="3469"/>
      <c r="P212" s="3648" t="s">
        <v>7819</v>
      </c>
      <c r="Q212" s="3472" t="s">
        <v>7284</v>
      </c>
    </row>
    <row r="213" spans="1:35" s="1958" customFormat="1" ht="58.6" hidden="1" customHeight="1">
      <c r="A213" s="1954"/>
      <c r="B213" s="3390" t="str">
        <f t="shared" si="7"/>
        <v>2200002344</v>
      </c>
      <c r="C213" s="427" t="s">
        <v>4455</v>
      </c>
      <c r="D213" s="3450"/>
      <c r="E213" s="3470" t="s">
        <v>7848</v>
      </c>
      <c r="F213" s="423" t="s">
        <v>14</v>
      </c>
      <c r="G213" s="427"/>
      <c r="H213" s="3581" t="s">
        <v>7851</v>
      </c>
      <c r="I213" s="3649" t="s">
        <v>7249</v>
      </c>
      <c r="J213" s="427" t="s">
        <v>65</v>
      </c>
      <c r="K213" s="427" t="s">
        <v>136</v>
      </c>
      <c r="L213" s="1956" t="s">
        <v>7854</v>
      </c>
      <c r="M213" s="3451">
        <v>138</v>
      </c>
      <c r="N213" s="3488" t="s">
        <v>7855</v>
      </c>
      <c r="O213" s="423"/>
      <c r="P213" s="3578" t="s">
        <v>7819</v>
      </c>
      <c r="Q213" s="3472" t="s">
        <v>7284</v>
      </c>
    </row>
    <row r="214" spans="1:35" s="2430" customFormat="1" ht="58.6" hidden="1" customHeight="1">
      <c r="A214" s="3395"/>
      <c r="B214" s="3092" t="str">
        <f t="shared" si="7"/>
        <v>2000003528</v>
      </c>
      <c r="C214" s="427" t="s">
        <v>4455</v>
      </c>
      <c r="D214" s="3450"/>
      <c r="E214" s="3470" t="s">
        <v>7848</v>
      </c>
      <c r="F214" s="423" t="s">
        <v>14</v>
      </c>
      <c r="G214" s="3470"/>
      <c r="H214" s="3581" t="s">
        <v>7851</v>
      </c>
      <c r="I214" s="3650" t="s">
        <v>7249</v>
      </c>
      <c r="J214" s="2925" t="s">
        <v>65</v>
      </c>
      <c r="K214" s="427" t="s">
        <v>136</v>
      </c>
      <c r="L214" s="3651" t="s">
        <v>7856</v>
      </c>
      <c r="M214" s="3471">
        <v>500</v>
      </c>
      <c r="N214" s="3640" t="s">
        <v>7857</v>
      </c>
      <c r="O214" s="3469"/>
      <c r="P214" s="425" t="s">
        <v>7858</v>
      </c>
      <c r="Q214" s="3472" t="s">
        <v>7284</v>
      </c>
    </row>
    <row r="215" spans="1:35" s="2430" customFormat="1" ht="58.6" customHeight="1">
      <c r="A215" s="1954"/>
      <c r="B215" s="3390" t="str">
        <f t="shared" si="7"/>
        <v>2000003515</v>
      </c>
      <c r="C215" s="427" t="s">
        <v>4455</v>
      </c>
      <c r="D215" s="3450"/>
      <c r="E215" s="3470" t="s">
        <v>7848</v>
      </c>
      <c r="F215" s="423" t="s">
        <v>14</v>
      </c>
      <c r="G215" s="427"/>
      <c r="H215" s="3581" t="s">
        <v>7851</v>
      </c>
      <c r="I215" s="427" t="s">
        <v>7249</v>
      </c>
      <c r="J215" s="3348" t="s">
        <v>65</v>
      </c>
      <c r="K215" s="427" t="s">
        <v>136</v>
      </c>
      <c r="L215" s="3578" t="s">
        <v>7859</v>
      </c>
      <c r="M215" s="3652">
        <v>5300</v>
      </c>
      <c r="N215" s="3488" t="s">
        <v>7860</v>
      </c>
      <c r="O215" s="423"/>
      <c r="P215" s="3578" t="s">
        <v>7819</v>
      </c>
      <c r="Q215" s="3472" t="s">
        <v>7284</v>
      </c>
      <c r="R215" s="1958"/>
      <c r="S215" s="1958"/>
      <c r="T215" s="1958"/>
      <c r="U215" s="1958"/>
      <c r="V215" s="1958"/>
      <c r="W215" s="1958"/>
      <c r="X215" s="1958"/>
      <c r="Y215" s="1958"/>
      <c r="Z215" s="1958"/>
      <c r="AA215" s="1958"/>
      <c r="AB215" s="1958"/>
      <c r="AC215" s="1958"/>
      <c r="AD215" s="1958"/>
      <c r="AE215" s="1958"/>
      <c r="AF215" s="1958"/>
      <c r="AG215" s="1958"/>
      <c r="AH215" s="1958"/>
      <c r="AI215" s="1958"/>
    </row>
    <row r="216" spans="1:35" s="2430" customFormat="1" ht="58.6" hidden="1" customHeight="1">
      <c r="A216" s="3395"/>
      <c r="B216" s="3092" t="str">
        <f t="shared" si="7"/>
        <v>2200002322</v>
      </c>
      <c r="C216" s="427" t="s">
        <v>4455</v>
      </c>
      <c r="D216" s="3450"/>
      <c r="E216" s="3470" t="s">
        <v>7848</v>
      </c>
      <c r="F216" s="423" t="s">
        <v>14</v>
      </c>
      <c r="G216" s="3470"/>
      <c r="H216" s="3581" t="s">
        <v>7851</v>
      </c>
      <c r="I216" s="3470" t="s">
        <v>7249</v>
      </c>
      <c r="J216" s="2925" t="s">
        <v>65</v>
      </c>
      <c r="K216" s="427" t="s">
        <v>136</v>
      </c>
      <c r="L216" s="3651" t="s">
        <v>7861</v>
      </c>
      <c r="M216" s="3471">
        <v>3826</v>
      </c>
      <c r="N216" s="3488" t="s">
        <v>7862</v>
      </c>
      <c r="O216" s="3469">
        <v>30</v>
      </c>
      <c r="P216" s="3578" t="s">
        <v>7819</v>
      </c>
      <c r="Q216" s="3472" t="s">
        <v>7284</v>
      </c>
    </row>
    <row r="217" spans="1:35" s="1958" customFormat="1" ht="58.6" customHeight="1">
      <c r="A217" s="3653"/>
      <c r="B217" s="3390" t="str">
        <f t="shared" si="7"/>
        <v>2200002325</v>
      </c>
      <c r="C217" s="427" t="s">
        <v>4455</v>
      </c>
      <c r="D217" s="3450"/>
      <c r="E217" s="3470" t="s">
        <v>7848</v>
      </c>
      <c r="F217" s="423" t="s">
        <v>14</v>
      </c>
      <c r="G217" s="427"/>
      <c r="H217" s="3582" t="s">
        <v>7851</v>
      </c>
      <c r="I217" s="427" t="s">
        <v>7249</v>
      </c>
      <c r="J217" s="3348" t="s">
        <v>65</v>
      </c>
      <c r="K217" s="427" t="s">
        <v>136</v>
      </c>
      <c r="L217" s="3654" t="s">
        <v>7863</v>
      </c>
      <c r="M217" s="3451">
        <v>1000</v>
      </c>
      <c r="N217" s="3655" t="s">
        <v>7864</v>
      </c>
      <c r="O217" s="423"/>
      <c r="P217" s="3578" t="s">
        <v>7819</v>
      </c>
      <c r="Q217" s="3472" t="s">
        <v>7284</v>
      </c>
    </row>
    <row r="218" spans="1:35" s="1958" customFormat="1" ht="58.6" hidden="1" customHeight="1">
      <c r="A218" s="1954"/>
      <c r="B218" s="3390" t="str">
        <f t="shared" si="7"/>
        <v>2200002336</v>
      </c>
      <c r="C218" s="427" t="s">
        <v>4455</v>
      </c>
      <c r="D218" s="3450"/>
      <c r="E218" s="3470" t="s">
        <v>7848</v>
      </c>
      <c r="F218" s="423" t="s">
        <v>14</v>
      </c>
      <c r="G218" s="427"/>
      <c r="H218" s="3582" t="s">
        <v>7851</v>
      </c>
      <c r="I218" s="427" t="s">
        <v>7249</v>
      </c>
      <c r="J218" s="3348" t="s">
        <v>65</v>
      </c>
      <c r="K218" s="427" t="s">
        <v>136</v>
      </c>
      <c r="L218" s="424" t="s">
        <v>7865</v>
      </c>
      <c r="M218" s="3451">
        <v>4604</v>
      </c>
      <c r="N218" s="3390" t="s">
        <v>7866</v>
      </c>
      <c r="O218" s="423"/>
      <c r="P218" s="3578" t="s">
        <v>7851</v>
      </c>
      <c r="Q218" s="3472" t="s">
        <v>7284</v>
      </c>
    </row>
    <row r="219" spans="1:35" s="1958" customFormat="1" ht="58.6" customHeight="1">
      <c r="A219" s="1954"/>
      <c r="B219" s="3390" t="str">
        <f t="shared" si="7"/>
        <v>2200002337</v>
      </c>
      <c r="C219" s="427" t="s">
        <v>4455</v>
      </c>
      <c r="D219" s="3450"/>
      <c r="E219" s="3470" t="s">
        <v>7848</v>
      </c>
      <c r="F219" s="423" t="s">
        <v>14</v>
      </c>
      <c r="G219" s="427"/>
      <c r="H219" s="3582" t="s">
        <v>7851</v>
      </c>
      <c r="I219" s="427" t="s">
        <v>7249</v>
      </c>
      <c r="J219" s="3348" t="s">
        <v>65</v>
      </c>
      <c r="K219" s="427" t="s">
        <v>136</v>
      </c>
      <c r="L219" s="424" t="s">
        <v>7867</v>
      </c>
      <c r="M219" s="3451">
        <v>975</v>
      </c>
      <c r="N219" s="3655" t="s">
        <v>7868</v>
      </c>
      <c r="O219" s="423"/>
      <c r="P219" s="3578" t="s">
        <v>7851</v>
      </c>
      <c r="Q219" s="3472" t="s">
        <v>7284</v>
      </c>
    </row>
    <row r="220" spans="1:35" s="1958" customFormat="1" ht="58.6" customHeight="1">
      <c r="A220" s="1954"/>
      <c r="B220" s="3390" t="str">
        <f t="shared" si="7"/>
        <v>2000003599</v>
      </c>
      <c r="C220" s="427" t="s">
        <v>4455</v>
      </c>
      <c r="D220" s="3450"/>
      <c r="E220" s="3470" t="s">
        <v>7848</v>
      </c>
      <c r="F220" s="423" t="s">
        <v>14</v>
      </c>
      <c r="G220" s="427"/>
      <c r="H220" s="3582" t="s">
        <v>7851</v>
      </c>
      <c r="I220" s="427" t="s">
        <v>7249</v>
      </c>
      <c r="J220" s="423" t="s">
        <v>65</v>
      </c>
      <c r="K220" s="427" t="s">
        <v>4171</v>
      </c>
      <c r="L220" s="3654" t="s">
        <v>7869</v>
      </c>
      <c r="M220" s="3451">
        <v>4240</v>
      </c>
      <c r="N220" s="3488" t="s">
        <v>7870</v>
      </c>
      <c r="O220" s="423"/>
      <c r="P220" s="3578" t="s">
        <v>7819</v>
      </c>
      <c r="Q220" s="3449" t="s">
        <v>7284</v>
      </c>
    </row>
    <row r="221" spans="1:35" s="1958" customFormat="1" ht="58.6" customHeight="1">
      <c r="A221" s="1954"/>
      <c r="B221" s="3390" t="str">
        <f t="shared" si="7"/>
        <v>2000003566</v>
      </c>
      <c r="C221" s="427" t="s">
        <v>4455</v>
      </c>
      <c r="D221" s="3450"/>
      <c r="E221" s="3470" t="s">
        <v>7848</v>
      </c>
      <c r="F221" s="423" t="s">
        <v>14</v>
      </c>
      <c r="G221" s="427"/>
      <c r="H221" s="3582" t="s">
        <v>7851</v>
      </c>
      <c r="I221" s="427" t="s">
        <v>7249</v>
      </c>
      <c r="J221" s="423" t="s">
        <v>65</v>
      </c>
      <c r="K221" s="427" t="s">
        <v>4171</v>
      </c>
      <c r="L221" s="424" t="s">
        <v>7871</v>
      </c>
      <c r="M221" s="3451">
        <v>260</v>
      </c>
      <c r="N221" s="3656" t="s">
        <v>7872</v>
      </c>
      <c r="O221" s="423">
        <v>25</v>
      </c>
      <c r="P221" s="3578" t="s">
        <v>7819</v>
      </c>
      <c r="Q221" s="3449" t="s">
        <v>7284</v>
      </c>
    </row>
    <row r="222" spans="1:35" s="1958" customFormat="1" ht="58.6" hidden="1" customHeight="1">
      <c r="A222" s="1954"/>
      <c r="B222" s="3390" t="str">
        <f t="shared" si="7"/>
        <v>2000003603</v>
      </c>
      <c r="C222" s="427" t="s">
        <v>4455</v>
      </c>
      <c r="D222" s="3450"/>
      <c r="E222" s="3470" t="s">
        <v>7848</v>
      </c>
      <c r="F222" s="423" t="s">
        <v>14</v>
      </c>
      <c r="G222" s="427"/>
      <c r="H222" s="3582" t="s">
        <v>7851</v>
      </c>
      <c r="I222" s="427" t="s">
        <v>7355</v>
      </c>
      <c r="J222" s="427" t="s">
        <v>65</v>
      </c>
      <c r="K222" s="427" t="s">
        <v>4171</v>
      </c>
      <c r="L222" s="424" t="s">
        <v>7873</v>
      </c>
      <c r="M222" s="3451">
        <v>500</v>
      </c>
      <c r="N222" s="3640" t="s">
        <v>7874</v>
      </c>
      <c r="O222" s="423"/>
      <c r="P222" s="3578" t="s">
        <v>7819</v>
      </c>
      <c r="Q222" s="3449" t="s">
        <v>7284</v>
      </c>
    </row>
    <row r="223" spans="1:35" s="3546" customFormat="1" ht="58.6" hidden="1" customHeight="1">
      <c r="A223" s="3536"/>
      <c r="B223" s="3537" t="str">
        <f t="shared" si="7"/>
        <v>2000003581</v>
      </c>
      <c r="C223" s="3538" t="s">
        <v>5832</v>
      </c>
      <c r="D223" s="3598">
        <v>4350</v>
      </c>
      <c r="E223" s="3538" t="s">
        <v>7875</v>
      </c>
      <c r="F223" s="3538" t="s">
        <v>18</v>
      </c>
      <c r="G223" s="3540"/>
      <c r="H223" s="1253"/>
      <c r="I223" s="1244" t="s">
        <v>7249</v>
      </c>
      <c r="J223" s="3540" t="s">
        <v>65</v>
      </c>
      <c r="K223" s="3540" t="s">
        <v>117</v>
      </c>
      <c r="L223" s="3541" t="s">
        <v>7876</v>
      </c>
      <c r="M223" s="3542">
        <v>1323</v>
      </c>
      <c r="N223" s="3552" t="s">
        <v>7877</v>
      </c>
      <c r="O223" s="3538"/>
      <c r="P223" s="3544" t="s">
        <v>7819</v>
      </c>
      <c r="Q223" s="3545" t="s">
        <v>7284</v>
      </c>
    </row>
    <row r="224" spans="1:35" s="3546" customFormat="1" ht="58.6" customHeight="1">
      <c r="A224" s="3536"/>
      <c r="B224" s="3547" t="str">
        <f t="shared" si="7"/>
        <v>2000003591</v>
      </c>
      <c r="C224" s="158" t="s">
        <v>5832</v>
      </c>
      <c r="D224" s="3602"/>
      <c r="E224" s="3538" t="s">
        <v>7875</v>
      </c>
      <c r="F224" s="158" t="s">
        <v>18</v>
      </c>
      <c r="G224" s="3540"/>
      <c r="H224" s="1253"/>
      <c r="I224" s="1244" t="s">
        <v>7249</v>
      </c>
      <c r="J224" s="1244" t="s">
        <v>65</v>
      </c>
      <c r="K224" s="1244" t="s">
        <v>117</v>
      </c>
      <c r="L224" s="313" t="s">
        <v>7878</v>
      </c>
      <c r="M224" s="3542">
        <v>1038</v>
      </c>
      <c r="N224" s="3557" t="s">
        <v>7879</v>
      </c>
      <c r="O224" s="3538"/>
      <c r="P224" s="3544" t="s">
        <v>7819</v>
      </c>
      <c r="Q224" s="3545" t="s">
        <v>7284</v>
      </c>
    </row>
    <row r="225" spans="1:17" s="3555" customFormat="1" ht="58.6" hidden="1" customHeight="1">
      <c r="A225" s="1242"/>
      <c r="B225" s="3547" t="str">
        <f t="shared" si="7"/>
        <v>2000003582</v>
      </c>
      <c r="C225" s="158" t="s">
        <v>5832</v>
      </c>
      <c r="D225" s="3602"/>
      <c r="E225" s="3538" t="s">
        <v>7875</v>
      </c>
      <c r="F225" s="158" t="s">
        <v>18</v>
      </c>
      <c r="G225" s="1244"/>
      <c r="H225" s="1244"/>
      <c r="I225" s="1244" t="s">
        <v>7249</v>
      </c>
      <c r="J225" s="1244" t="s">
        <v>65</v>
      </c>
      <c r="K225" s="1244" t="s">
        <v>117</v>
      </c>
      <c r="L225" s="1252" t="s">
        <v>7880</v>
      </c>
      <c r="M225" s="3559">
        <f>1260-489</f>
        <v>771</v>
      </c>
      <c r="N225" s="1244" t="s">
        <v>7818</v>
      </c>
      <c r="O225" s="158"/>
      <c r="P225" s="3553" t="s">
        <v>7819</v>
      </c>
      <c r="Q225" s="3554" t="s">
        <v>7284</v>
      </c>
    </row>
    <row r="226" spans="1:17" s="3555" customFormat="1" ht="58.6" hidden="1" customHeight="1">
      <c r="A226" s="1242"/>
      <c r="B226" s="3547" t="str">
        <f t="shared" si="7"/>
        <v>2000003554</v>
      </c>
      <c r="C226" s="158" t="s">
        <v>5832</v>
      </c>
      <c r="D226" s="3602"/>
      <c r="E226" s="3538" t="s">
        <v>7875</v>
      </c>
      <c r="F226" s="158" t="s">
        <v>18</v>
      </c>
      <c r="G226" s="1244"/>
      <c r="H226" s="1253"/>
      <c r="I226" s="1244" t="s">
        <v>7881</v>
      </c>
      <c r="J226" s="1244" t="s">
        <v>65</v>
      </c>
      <c r="K226" s="1244" t="s">
        <v>117</v>
      </c>
      <c r="L226" s="1252" t="s">
        <v>7882</v>
      </c>
      <c r="M226" s="3559">
        <v>1168</v>
      </c>
      <c r="N226" s="3543" t="s">
        <v>7883</v>
      </c>
      <c r="O226" s="158"/>
      <c r="P226" s="3553" t="s">
        <v>7884</v>
      </c>
      <c r="Q226" s="3554" t="s">
        <v>7284</v>
      </c>
    </row>
    <row r="227" spans="1:17" s="3546" customFormat="1" ht="58.6" customHeight="1">
      <c r="A227" s="3536"/>
      <c r="B227" s="3537" t="str">
        <f t="shared" si="7"/>
        <v>2000003626</v>
      </c>
      <c r="C227" s="3538" t="s">
        <v>6113</v>
      </c>
      <c r="D227" s="3539">
        <v>28000</v>
      </c>
      <c r="E227" s="3540" t="s">
        <v>7875</v>
      </c>
      <c r="F227" s="3538" t="s">
        <v>16</v>
      </c>
      <c r="G227" s="3540"/>
      <c r="H227" s="3540"/>
      <c r="I227" s="3620" t="s">
        <v>7290</v>
      </c>
      <c r="J227" s="3540" t="s">
        <v>65</v>
      </c>
      <c r="K227" s="3540" t="s">
        <v>164</v>
      </c>
      <c r="L227" s="313" t="s">
        <v>7885</v>
      </c>
      <c r="M227" s="3542">
        <v>2500</v>
      </c>
      <c r="N227" s="3540" t="s">
        <v>7292</v>
      </c>
      <c r="O227" s="3538"/>
      <c r="P227" s="3544"/>
      <c r="Q227" s="3545" t="s">
        <v>7284</v>
      </c>
    </row>
    <row r="228" spans="1:17" s="3555" customFormat="1" ht="58.6" hidden="1" customHeight="1">
      <c r="A228" s="1242"/>
      <c r="B228" s="3547" t="str">
        <f t="shared" si="7"/>
        <v>2000003561</v>
      </c>
      <c r="C228" s="158" t="s">
        <v>6113</v>
      </c>
      <c r="D228" s="3548"/>
      <c r="E228" s="3540" t="s">
        <v>7875</v>
      </c>
      <c r="F228" s="158" t="s">
        <v>16</v>
      </c>
      <c r="G228" s="1244"/>
      <c r="H228" s="1244"/>
      <c r="I228" s="1244" t="s">
        <v>7249</v>
      </c>
      <c r="J228" s="3549" t="s">
        <v>65</v>
      </c>
      <c r="K228" s="1244" t="s">
        <v>164</v>
      </c>
      <c r="L228" s="3558" t="s">
        <v>7886</v>
      </c>
      <c r="M228" s="3559">
        <v>2100</v>
      </c>
      <c r="N228" s="3543" t="s">
        <v>7887</v>
      </c>
      <c r="O228" s="158"/>
      <c r="P228" s="3553"/>
      <c r="Q228" s="3554" t="s">
        <v>7284</v>
      </c>
    </row>
    <row r="229" spans="1:17" s="3546" customFormat="1" ht="58.6" hidden="1" customHeight="1">
      <c r="A229" s="3536"/>
      <c r="B229" s="3537" t="str">
        <f t="shared" si="7"/>
        <v>2000003521</v>
      </c>
      <c r="C229" s="158" t="s">
        <v>6113</v>
      </c>
      <c r="D229" s="3548"/>
      <c r="E229" s="3540" t="s">
        <v>7875</v>
      </c>
      <c r="F229" s="158" t="s">
        <v>16</v>
      </c>
      <c r="G229" s="3540"/>
      <c r="H229" s="1253" t="s">
        <v>7851</v>
      </c>
      <c r="I229" s="3540" t="s">
        <v>7249</v>
      </c>
      <c r="J229" s="3600" t="s">
        <v>65</v>
      </c>
      <c r="K229" s="3606" t="s">
        <v>136</v>
      </c>
      <c r="L229" s="3556" t="s">
        <v>7888</v>
      </c>
      <c r="M229" s="3607">
        <v>2308</v>
      </c>
      <c r="N229" s="3543" t="s">
        <v>7727</v>
      </c>
      <c r="O229" s="3538"/>
      <c r="P229" s="3544" t="s">
        <v>7723</v>
      </c>
      <c r="Q229" s="3545" t="s">
        <v>7284</v>
      </c>
    </row>
    <row r="230" spans="1:17" s="3555" customFormat="1" ht="58.6" hidden="1" customHeight="1">
      <c r="A230" s="1242"/>
      <c r="B230" s="3547" t="str">
        <f t="shared" si="7"/>
        <v>2000003520</v>
      </c>
      <c r="C230" s="158" t="s">
        <v>6113</v>
      </c>
      <c r="D230" s="3548"/>
      <c r="E230" s="3540" t="s">
        <v>7875</v>
      </c>
      <c r="F230" s="158" t="s">
        <v>16</v>
      </c>
      <c r="G230" s="1244"/>
      <c r="H230" s="1253" t="s">
        <v>7851</v>
      </c>
      <c r="I230" s="3540" t="s">
        <v>7249</v>
      </c>
      <c r="J230" s="3549" t="s">
        <v>65</v>
      </c>
      <c r="K230" s="3606" t="s">
        <v>136</v>
      </c>
      <c r="L230" s="3550" t="s">
        <v>7889</v>
      </c>
      <c r="M230" s="3551">
        <v>2000</v>
      </c>
      <c r="N230" s="1244" t="s">
        <v>7890</v>
      </c>
      <c r="O230" s="158"/>
      <c r="P230" s="3544" t="s">
        <v>7723</v>
      </c>
      <c r="Q230" s="3554" t="s">
        <v>7284</v>
      </c>
    </row>
    <row r="231" spans="1:17" s="3546" customFormat="1" ht="58.6" customHeight="1">
      <c r="A231" s="3536"/>
      <c r="B231" s="3537" t="str">
        <f t="shared" si="7"/>
        <v>2000003627</v>
      </c>
      <c r="C231" s="158" t="s">
        <v>6113</v>
      </c>
      <c r="D231" s="3548"/>
      <c r="E231" s="3540" t="s">
        <v>7875</v>
      </c>
      <c r="F231" s="158" t="s">
        <v>16</v>
      </c>
      <c r="G231" s="3540"/>
      <c r="H231" s="1253" t="s">
        <v>7851</v>
      </c>
      <c r="I231" s="3604" t="s">
        <v>7249</v>
      </c>
      <c r="J231" s="3540" t="s">
        <v>65</v>
      </c>
      <c r="K231" s="3606" t="s">
        <v>136</v>
      </c>
      <c r="L231" s="3568" t="s">
        <v>7891</v>
      </c>
      <c r="M231" s="3542">
        <v>4000</v>
      </c>
      <c r="N231" s="3540" t="s">
        <v>7892</v>
      </c>
      <c r="O231" s="3538"/>
      <c r="P231" s="3544" t="s">
        <v>7819</v>
      </c>
      <c r="Q231" s="3545" t="s">
        <v>7284</v>
      </c>
    </row>
    <row r="232" spans="1:17" s="3555" customFormat="1" ht="58.6" hidden="1" customHeight="1">
      <c r="A232" s="1242"/>
      <c r="B232" s="3547" t="str">
        <f t="shared" si="7"/>
        <v>2000003554</v>
      </c>
      <c r="C232" s="158" t="s">
        <v>6113</v>
      </c>
      <c r="D232" s="3548"/>
      <c r="E232" s="3540" t="s">
        <v>7875</v>
      </c>
      <c r="F232" s="158" t="s">
        <v>16</v>
      </c>
      <c r="G232" s="1244"/>
      <c r="H232" s="1253" t="s">
        <v>7851</v>
      </c>
      <c r="I232" s="1244" t="s">
        <v>7881</v>
      </c>
      <c r="J232" s="1244" t="s">
        <v>65</v>
      </c>
      <c r="K232" s="3606" t="s">
        <v>136</v>
      </c>
      <c r="L232" s="1252" t="s">
        <v>7893</v>
      </c>
      <c r="M232" s="3559">
        <f>3100-1168</f>
        <v>1932</v>
      </c>
      <c r="N232" s="1244" t="s">
        <v>7894</v>
      </c>
      <c r="O232" s="158"/>
      <c r="P232" s="3553" t="s">
        <v>7884</v>
      </c>
      <c r="Q232" s="3554" t="s">
        <v>7284</v>
      </c>
    </row>
    <row r="233" spans="1:17" s="3555" customFormat="1" ht="58.6" hidden="1" customHeight="1">
      <c r="A233" s="1242"/>
      <c r="B233" s="3547" t="str">
        <f t="shared" si="7"/>
        <v>2000003556</v>
      </c>
      <c r="C233" s="158" t="s">
        <v>6113</v>
      </c>
      <c r="D233" s="3548"/>
      <c r="E233" s="3540" t="s">
        <v>7875</v>
      </c>
      <c r="F233" s="158" t="s">
        <v>16</v>
      </c>
      <c r="G233" s="1244"/>
      <c r="H233" s="1253" t="s">
        <v>7851</v>
      </c>
      <c r="I233" s="1244" t="s">
        <v>7355</v>
      </c>
      <c r="J233" s="1244" t="s">
        <v>65</v>
      </c>
      <c r="K233" s="3606" t="s">
        <v>136</v>
      </c>
      <c r="L233" s="1252" t="s">
        <v>7895</v>
      </c>
      <c r="M233" s="3559">
        <v>1650</v>
      </c>
      <c r="N233" s="1244" t="s">
        <v>7896</v>
      </c>
      <c r="O233" s="158"/>
      <c r="P233" s="3553" t="s">
        <v>106</v>
      </c>
      <c r="Q233" s="3554" t="s">
        <v>7284</v>
      </c>
    </row>
    <row r="234" spans="1:17" s="3555" customFormat="1" ht="58.6" hidden="1" customHeight="1">
      <c r="A234" s="1242"/>
      <c r="B234" s="3547" t="str">
        <f t="shared" si="7"/>
        <v>2000003553</v>
      </c>
      <c r="C234" s="158" t="s">
        <v>6113</v>
      </c>
      <c r="D234" s="3548"/>
      <c r="E234" s="3540" t="s">
        <v>7875</v>
      </c>
      <c r="F234" s="158" t="s">
        <v>16</v>
      </c>
      <c r="G234" s="1244"/>
      <c r="H234" s="1253" t="s">
        <v>7851</v>
      </c>
      <c r="I234" s="3604" t="s">
        <v>7897</v>
      </c>
      <c r="J234" s="1244" t="s">
        <v>65</v>
      </c>
      <c r="K234" s="3606" t="s">
        <v>136</v>
      </c>
      <c r="L234" s="1252" t="s">
        <v>7898</v>
      </c>
      <c r="M234" s="3559">
        <v>3000</v>
      </c>
      <c r="N234" s="1244" t="s">
        <v>7899</v>
      </c>
      <c r="O234" s="158"/>
      <c r="P234" s="3553" t="s">
        <v>106</v>
      </c>
      <c r="Q234" s="3563" t="s">
        <v>7284</v>
      </c>
    </row>
    <row r="235" spans="1:17" s="3555" customFormat="1" ht="58.6" hidden="1" customHeight="1">
      <c r="A235" s="1242"/>
      <c r="B235" s="3547" t="str">
        <f t="shared" si="7"/>
        <v>2000003613</v>
      </c>
      <c r="C235" s="158" t="s">
        <v>6113</v>
      </c>
      <c r="D235" s="3548"/>
      <c r="E235" s="3540" t="s">
        <v>7875</v>
      </c>
      <c r="F235" s="158" t="s">
        <v>16</v>
      </c>
      <c r="G235" s="1244"/>
      <c r="H235" s="1253" t="s">
        <v>7851</v>
      </c>
      <c r="I235" s="3604" t="s">
        <v>7897</v>
      </c>
      <c r="J235" s="3549" t="s">
        <v>65</v>
      </c>
      <c r="K235" s="3606" t="s">
        <v>136</v>
      </c>
      <c r="L235" s="3550" t="s">
        <v>7900</v>
      </c>
      <c r="M235" s="3551">
        <v>3400</v>
      </c>
      <c r="N235" s="1244" t="s">
        <v>7901</v>
      </c>
      <c r="O235" s="158"/>
      <c r="P235" s="3553" t="s">
        <v>106</v>
      </c>
      <c r="Q235" s="3563" t="s">
        <v>7284</v>
      </c>
    </row>
    <row r="236" spans="1:17" s="3555" customFormat="1" ht="58.6" customHeight="1">
      <c r="A236" s="1242"/>
      <c r="B236" s="3547" t="str">
        <f t="shared" si="7"/>
        <v>2000003602</v>
      </c>
      <c r="C236" s="158" t="s">
        <v>6113</v>
      </c>
      <c r="D236" s="3548"/>
      <c r="E236" s="1244"/>
      <c r="F236" s="158" t="s">
        <v>16</v>
      </c>
      <c r="G236" s="1244"/>
      <c r="H236" s="1253" t="s">
        <v>7851</v>
      </c>
      <c r="I236" s="3604" t="s">
        <v>7902</v>
      </c>
      <c r="J236" s="1244" t="s">
        <v>65</v>
      </c>
      <c r="K236" s="1244" t="s">
        <v>4171</v>
      </c>
      <c r="L236" s="1252" t="s">
        <v>7903</v>
      </c>
      <c r="M236" s="3559">
        <v>153</v>
      </c>
      <c r="N236" s="3557" t="s">
        <v>7904</v>
      </c>
      <c r="O236" s="158"/>
      <c r="P236" s="3553" t="s">
        <v>7819</v>
      </c>
      <c r="Q236" s="3554" t="s">
        <v>7284</v>
      </c>
    </row>
    <row r="237" spans="1:17" s="3555" customFormat="1" ht="58.6" customHeight="1">
      <c r="A237" s="1242"/>
      <c r="B237" s="3547" t="str">
        <f t="shared" si="7"/>
        <v>2000003600</v>
      </c>
      <c r="C237" s="158" t="s">
        <v>6113</v>
      </c>
      <c r="D237" s="3548"/>
      <c r="E237" s="1244"/>
      <c r="F237" s="158" t="s">
        <v>16</v>
      </c>
      <c r="G237" s="1244"/>
      <c r="H237" s="1253" t="s">
        <v>7851</v>
      </c>
      <c r="I237" s="3604" t="s">
        <v>7902</v>
      </c>
      <c r="J237" s="1244" t="s">
        <v>65</v>
      </c>
      <c r="K237" s="1244" t="s">
        <v>4171</v>
      </c>
      <c r="L237" s="1252" t="s">
        <v>7905</v>
      </c>
      <c r="M237" s="3559">
        <v>4847</v>
      </c>
      <c r="N237" s="1244" t="s">
        <v>7906</v>
      </c>
      <c r="O237" s="158"/>
      <c r="P237" s="3553" t="s">
        <v>7819</v>
      </c>
      <c r="Q237" s="3554" t="s">
        <v>7284</v>
      </c>
    </row>
    <row r="238" spans="1:17" s="3546" customFormat="1" ht="58.6" hidden="1" customHeight="1">
      <c r="A238" s="3536"/>
      <c r="B238" s="3537" t="str">
        <f t="shared" si="7"/>
        <v>2400001354</v>
      </c>
      <c r="C238" s="3608" t="s">
        <v>7907</v>
      </c>
      <c r="D238" s="3539">
        <v>35400</v>
      </c>
      <c r="E238" s="3540" t="s">
        <v>7814</v>
      </c>
      <c r="F238" s="3538" t="s">
        <v>39</v>
      </c>
      <c r="G238" s="3540"/>
      <c r="H238" s="3540"/>
      <c r="I238" s="3540"/>
      <c r="J238" s="3540" t="s">
        <v>65</v>
      </c>
      <c r="K238" s="3540" t="s">
        <v>7908</v>
      </c>
      <c r="L238" s="3609" t="s">
        <v>7909</v>
      </c>
      <c r="M238" s="3542">
        <v>35400</v>
      </c>
      <c r="N238" s="3540" t="s">
        <v>7910</v>
      </c>
      <c r="O238" s="3538"/>
      <c r="P238" s="3544"/>
      <c r="Q238" s="3545" t="s">
        <v>7284</v>
      </c>
    </row>
    <row r="239" spans="1:17" s="3555" customFormat="1" ht="58.6" hidden="1" customHeight="1">
      <c r="A239" s="1242"/>
      <c r="B239" s="3547" t="str">
        <f t="shared" si="7"/>
        <v>2000003563</v>
      </c>
      <c r="C239" s="3538" t="s">
        <v>3996</v>
      </c>
      <c r="D239" s="3539">
        <v>12900</v>
      </c>
      <c r="E239" s="3540" t="s">
        <v>7911</v>
      </c>
      <c r="F239" s="3538" t="s">
        <v>16</v>
      </c>
      <c r="G239" s="1244"/>
      <c r="H239" s="1244"/>
      <c r="I239" s="1244" t="s">
        <v>7249</v>
      </c>
      <c r="J239" s="1244" t="s">
        <v>65</v>
      </c>
      <c r="K239" s="1244" t="s">
        <v>66</v>
      </c>
      <c r="L239" s="161" t="s">
        <v>7912</v>
      </c>
      <c r="M239" s="3559">
        <v>1300</v>
      </c>
      <c r="N239" s="1244" t="s">
        <v>7913</v>
      </c>
      <c r="O239" s="158"/>
      <c r="P239" s="3553"/>
      <c r="Q239" s="3554" t="s">
        <v>7284</v>
      </c>
    </row>
    <row r="240" spans="1:17" s="3555" customFormat="1" ht="58.6" customHeight="1">
      <c r="A240" s="1242"/>
      <c r="B240" s="3547" t="str">
        <f t="shared" si="7"/>
        <v>2000003564</v>
      </c>
      <c r="C240" s="158" t="s">
        <v>3996</v>
      </c>
      <c r="D240" s="3548"/>
      <c r="E240" s="3540" t="s">
        <v>7911</v>
      </c>
      <c r="F240" s="158" t="s">
        <v>16</v>
      </c>
      <c r="G240" s="1244"/>
      <c r="H240" s="1244"/>
      <c r="I240" s="1244" t="s">
        <v>7249</v>
      </c>
      <c r="J240" s="1244" t="s">
        <v>65</v>
      </c>
      <c r="K240" s="1244" t="s">
        <v>66</v>
      </c>
      <c r="L240" s="161" t="s">
        <v>7914</v>
      </c>
      <c r="M240" s="3559">
        <v>1630</v>
      </c>
      <c r="N240" s="3557" t="s">
        <v>7915</v>
      </c>
      <c r="O240" s="158"/>
      <c r="P240" s="3553"/>
      <c r="Q240" s="3554" t="s">
        <v>7284</v>
      </c>
    </row>
    <row r="241" spans="1:35" s="3555" customFormat="1" ht="58.6" customHeight="1">
      <c r="A241" s="1242"/>
      <c r="B241" s="3547" t="str">
        <f t="shared" si="7"/>
        <v>2000003559</v>
      </c>
      <c r="C241" s="158" t="s">
        <v>3996</v>
      </c>
      <c r="D241" s="3548"/>
      <c r="E241" s="3540" t="s">
        <v>7911</v>
      </c>
      <c r="F241" s="158" t="s">
        <v>16</v>
      </c>
      <c r="G241" s="1244"/>
      <c r="H241" s="1244"/>
      <c r="I241" s="3604" t="s">
        <v>7255</v>
      </c>
      <c r="J241" s="3549" t="s">
        <v>65</v>
      </c>
      <c r="K241" s="1244" t="s">
        <v>1179</v>
      </c>
      <c r="L241" s="3550" t="s">
        <v>7256</v>
      </c>
      <c r="M241" s="3551">
        <v>9970</v>
      </c>
      <c r="N241" s="1244" t="s">
        <v>7916</v>
      </c>
      <c r="O241" s="158"/>
      <c r="P241" s="3553" t="s">
        <v>7258</v>
      </c>
      <c r="Q241" s="3554" t="s">
        <v>7284</v>
      </c>
    </row>
    <row r="242" spans="1:35" s="2740" customFormat="1" ht="58.6" hidden="1" customHeight="1">
      <c r="A242" s="2732"/>
      <c r="B242" s="3351" t="str">
        <f t="shared" ref="B242:B263" si="8">TEXT(LEFT(L242,10),"0000000000")</f>
        <v>2000003485</v>
      </c>
      <c r="C242" s="2733" t="s">
        <v>2509</v>
      </c>
      <c r="D242" s="3432"/>
      <c r="E242" s="2735"/>
      <c r="F242" s="2733"/>
      <c r="G242" s="2735"/>
      <c r="H242" s="2735" t="s">
        <v>292</v>
      </c>
      <c r="I242" s="2735" t="s">
        <v>7249</v>
      </c>
      <c r="J242" s="3349" t="s">
        <v>65</v>
      </c>
      <c r="K242" s="2735" t="s">
        <v>275</v>
      </c>
      <c r="L242" s="3350" t="s">
        <v>7917</v>
      </c>
      <c r="M242" s="2737">
        <v>1660</v>
      </c>
      <c r="N242" s="3460" t="s">
        <v>7499</v>
      </c>
      <c r="O242" s="2733"/>
      <c r="P242" s="2738"/>
      <c r="Q242" s="3352" t="s">
        <v>7252</v>
      </c>
    </row>
    <row r="243" spans="1:35" s="2740" customFormat="1" ht="58.6" hidden="1" customHeight="1">
      <c r="A243" s="2732"/>
      <c r="B243" s="3351" t="str">
        <f t="shared" si="8"/>
        <v>2000003486</v>
      </c>
      <c r="C243" s="2733" t="s">
        <v>2509</v>
      </c>
      <c r="D243" s="3432"/>
      <c r="E243" s="2735"/>
      <c r="F243" s="2733"/>
      <c r="G243" s="2735"/>
      <c r="H243" s="2735" t="s">
        <v>292</v>
      </c>
      <c r="I243" s="2735" t="s">
        <v>7249</v>
      </c>
      <c r="J243" s="3349" t="s">
        <v>65</v>
      </c>
      <c r="K243" s="2735" t="s">
        <v>275</v>
      </c>
      <c r="L243" s="3350" t="s">
        <v>7918</v>
      </c>
      <c r="M243" s="2737">
        <v>1000</v>
      </c>
      <c r="N243" s="3460" t="s">
        <v>7499</v>
      </c>
      <c r="O243" s="2733"/>
      <c r="P243" s="2738"/>
      <c r="Q243" s="3352" t="s">
        <v>7252</v>
      </c>
    </row>
    <row r="244" spans="1:35" s="2740" customFormat="1" ht="58.6" hidden="1" customHeight="1">
      <c r="A244" s="2732"/>
      <c r="B244" s="3351" t="str">
        <f t="shared" si="8"/>
        <v>2000003487</v>
      </c>
      <c r="C244" s="2733" t="s">
        <v>2509</v>
      </c>
      <c r="D244" s="3432"/>
      <c r="E244" s="2735"/>
      <c r="F244" s="2733"/>
      <c r="G244" s="2735"/>
      <c r="H244" s="2735" t="s">
        <v>292</v>
      </c>
      <c r="I244" s="2735" t="s">
        <v>7249</v>
      </c>
      <c r="J244" s="3349" t="s">
        <v>65</v>
      </c>
      <c r="K244" s="2735" t="s">
        <v>275</v>
      </c>
      <c r="L244" s="3350" t="s">
        <v>7919</v>
      </c>
      <c r="M244" s="2737">
        <v>1250</v>
      </c>
      <c r="N244" s="3460" t="s">
        <v>7499</v>
      </c>
      <c r="O244" s="2733"/>
      <c r="P244" s="2738"/>
      <c r="Q244" s="3352" t="s">
        <v>7252</v>
      </c>
    </row>
    <row r="245" spans="1:35" s="2740" customFormat="1" ht="58.6" hidden="1" customHeight="1">
      <c r="A245" s="2732"/>
      <c r="B245" s="3351" t="str">
        <f t="shared" si="8"/>
        <v>2000003510</v>
      </c>
      <c r="C245" s="2733" t="s">
        <v>2509</v>
      </c>
      <c r="D245" s="3432"/>
      <c r="E245" s="2735"/>
      <c r="F245" s="2733"/>
      <c r="G245" s="2735"/>
      <c r="H245" s="2735" t="s">
        <v>292</v>
      </c>
      <c r="I245" s="2735" t="s">
        <v>7249</v>
      </c>
      <c r="J245" s="3349" t="s">
        <v>65</v>
      </c>
      <c r="K245" s="2735" t="s">
        <v>275</v>
      </c>
      <c r="L245" s="3350" t="s">
        <v>7920</v>
      </c>
      <c r="M245" s="2737">
        <v>600</v>
      </c>
      <c r="N245" s="3460" t="s">
        <v>7499</v>
      </c>
      <c r="O245" s="2733"/>
      <c r="P245" s="2738"/>
      <c r="Q245" s="3352" t="s">
        <v>7252</v>
      </c>
    </row>
    <row r="246" spans="1:35" s="2740" customFormat="1" ht="58.6" hidden="1" customHeight="1">
      <c r="A246" s="2732"/>
      <c r="B246" s="3351" t="str">
        <f t="shared" si="8"/>
        <v>2000003604</v>
      </c>
      <c r="C246" s="2733" t="s">
        <v>2509</v>
      </c>
      <c r="D246" s="3432"/>
      <c r="E246" s="2735"/>
      <c r="F246" s="2733"/>
      <c r="G246" s="2735"/>
      <c r="H246" s="2735"/>
      <c r="I246" s="2735" t="s">
        <v>7249</v>
      </c>
      <c r="J246" s="3349" t="s">
        <v>65</v>
      </c>
      <c r="K246" s="2735" t="s">
        <v>275</v>
      </c>
      <c r="L246" s="3350" t="s">
        <v>7921</v>
      </c>
      <c r="M246" s="2737">
        <v>400</v>
      </c>
      <c r="N246" s="3460" t="s">
        <v>7499</v>
      </c>
      <c r="O246" s="2733"/>
      <c r="P246" s="2738"/>
      <c r="Q246" s="3352" t="s">
        <v>7252</v>
      </c>
    </row>
    <row r="247" spans="1:35" s="2740" customFormat="1" ht="58.6" hidden="1" customHeight="1">
      <c r="A247" s="2732"/>
      <c r="B247" s="3351" t="str">
        <f t="shared" si="8"/>
        <v>2000003489</v>
      </c>
      <c r="C247" s="2733" t="s">
        <v>2509</v>
      </c>
      <c r="D247" s="3432"/>
      <c r="E247" s="2735"/>
      <c r="F247" s="2733"/>
      <c r="G247" s="2735"/>
      <c r="H247" s="2735"/>
      <c r="I247" s="2735"/>
      <c r="J247" s="3349" t="s">
        <v>65</v>
      </c>
      <c r="K247" s="2735" t="s">
        <v>1653</v>
      </c>
      <c r="L247" s="3350" t="s">
        <v>7922</v>
      </c>
      <c r="M247" s="2737">
        <v>200</v>
      </c>
      <c r="N247" s="3460" t="s">
        <v>7499</v>
      </c>
      <c r="O247" s="2733"/>
      <c r="P247" s="2738"/>
      <c r="Q247" s="3352" t="s">
        <v>7370</v>
      </c>
    </row>
    <row r="248" spans="1:35" s="2740" customFormat="1" ht="58.6" hidden="1" customHeight="1">
      <c r="A248" s="2732"/>
      <c r="B248" s="3351" t="str">
        <f t="shared" si="8"/>
        <v>2000003488</v>
      </c>
      <c r="C248" s="2733" t="s">
        <v>2509</v>
      </c>
      <c r="D248" s="3432"/>
      <c r="E248" s="2735"/>
      <c r="F248" s="2733"/>
      <c r="G248" s="2735"/>
      <c r="H248" s="2735"/>
      <c r="I248" s="2735" t="s">
        <v>7249</v>
      </c>
      <c r="J248" s="3349" t="s">
        <v>65</v>
      </c>
      <c r="K248" s="2735" t="s">
        <v>1653</v>
      </c>
      <c r="L248" s="3350" t="s">
        <v>7923</v>
      </c>
      <c r="M248" s="2737">
        <v>500</v>
      </c>
      <c r="N248" s="3460" t="s">
        <v>7499</v>
      </c>
      <c r="O248" s="2733"/>
      <c r="P248" s="2738"/>
      <c r="Q248" s="3352" t="s">
        <v>7370</v>
      </c>
    </row>
    <row r="249" spans="1:35" s="2740" customFormat="1" ht="58.6" hidden="1" customHeight="1">
      <c r="A249" s="2732"/>
      <c r="B249" s="3351" t="str">
        <f t="shared" si="8"/>
        <v>2000003263</v>
      </c>
      <c r="C249" s="2733" t="s">
        <v>2509</v>
      </c>
      <c r="D249" s="3432"/>
      <c r="E249" s="2735"/>
      <c r="F249" s="2733"/>
      <c r="G249" s="2735"/>
      <c r="H249" s="2735" t="s">
        <v>292</v>
      </c>
      <c r="I249" s="2735" t="s">
        <v>7249</v>
      </c>
      <c r="J249" s="3349" t="s">
        <v>65</v>
      </c>
      <c r="K249" s="2735" t="s">
        <v>1653</v>
      </c>
      <c r="L249" s="3350" t="s">
        <v>7924</v>
      </c>
      <c r="M249" s="2737">
        <v>650</v>
      </c>
      <c r="N249" s="3460" t="s">
        <v>7499</v>
      </c>
      <c r="O249" s="2733"/>
      <c r="P249" s="2738"/>
      <c r="Q249" s="3352" t="s">
        <v>7252</v>
      </c>
    </row>
    <row r="250" spans="1:35" s="3184" customFormat="1" ht="58.6" hidden="1" customHeight="1">
      <c r="A250" s="2732"/>
      <c r="B250" s="3351" t="str">
        <f t="shared" si="8"/>
        <v>2000003458</v>
      </c>
      <c r="C250" s="2733" t="s">
        <v>2509</v>
      </c>
      <c r="D250" s="3432"/>
      <c r="E250" s="2735"/>
      <c r="F250" s="2733"/>
      <c r="G250" s="2735"/>
      <c r="H250" s="2735"/>
      <c r="I250" s="2735" t="s">
        <v>7249</v>
      </c>
      <c r="J250" s="3349" t="s">
        <v>65</v>
      </c>
      <c r="K250" s="2735" t="s">
        <v>275</v>
      </c>
      <c r="L250" s="3350" t="s">
        <v>7925</v>
      </c>
      <c r="M250" s="2737">
        <v>675</v>
      </c>
      <c r="N250" s="3460" t="s">
        <v>7499</v>
      </c>
      <c r="O250" s="2733"/>
      <c r="P250" s="2738"/>
      <c r="Q250" s="3352" t="s">
        <v>7284</v>
      </c>
      <c r="R250" s="2740"/>
      <c r="S250" s="2740"/>
      <c r="T250" s="2740"/>
      <c r="U250" s="2740"/>
      <c r="V250" s="2740"/>
      <c r="W250" s="2740"/>
      <c r="X250" s="2740"/>
      <c r="Y250" s="2740"/>
      <c r="Z250" s="2740"/>
      <c r="AA250" s="2740"/>
      <c r="AB250" s="2740"/>
      <c r="AC250" s="2740"/>
      <c r="AD250" s="2740"/>
      <c r="AE250" s="2740"/>
      <c r="AF250" s="2740"/>
      <c r="AG250" s="2740"/>
      <c r="AH250" s="2740"/>
      <c r="AI250" s="2740"/>
    </row>
    <row r="251" spans="1:35" s="3201" customFormat="1" ht="58.6" customHeight="1">
      <c r="A251" s="3407"/>
      <c r="B251" s="3351" t="str">
        <f t="shared" si="8"/>
        <v>2200002300</v>
      </c>
      <c r="C251" s="2733" t="s">
        <v>2509</v>
      </c>
      <c r="D251" s="3432"/>
      <c r="E251" s="3487" t="s">
        <v>7926</v>
      </c>
      <c r="F251" s="2733"/>
      <c r="G251" s="2735"/>
      <c r="H251" s="2735"/>
      <c r="I251" s="2735" t="s">
        <v>7249</v>
      </c>
      <c r="J251" s="3349" t="s">
        <v>65</v>
      </c>
      <c r="K251" s="2735" t="s">
        <v>275</v>
      </c>
      <c r="L251" s="3350" t="s">
        <v>7927</v>
      </c>
      <c r="M251" s="2737">
        <v>181</v>
      </c>
      <c r="N251" s="3460" t="s">
        <v>7928</v>
      </c>
      <c r="O251" s="2733"/>
      <c r="P251" s="2738"/>
      <c r="Q251" s="3408" t="s">
        <v>7284</v>
      </c>
      <c r="R251" s="2912"/>
      <c r="S251" s="2912"/>
      <c r="T251" s="2912"/>
      <c r="U251" s="2912"/>
      <c r="V251" s="2912"/>
      <c r="W251" s="2912"/>
      <c r="X251" s="2912"/>
      <c r="Y251" s="2912"/>
      <c r="Z251" s="2912"/>
      <c r="AA251" s="2912"/>
      <c r="AB251" s="2912"/>
      <c r="AC251" s="2912"/>
      <c r="AD251" s="2912"/>
      <c r="AE251" s="2912"/>
      <c r="AF251" s="2912"/>
      <c r="AG251" s="2912"/>
      <c r="AH251" s="2912"/>
      <c r="AI251" s="2912"/>
    </row>
    <row r="252" spans="1:35" s="3201" customFormat="1" ht="58.6" hidden="1" customHeight="1">
      <c r="A252" s="3407"/>
      <c r="B252" s="3351" t="str">
        <f t="shared" si="8"/>
        <v>2200002301</v>
      </c>
      <c r="C252" s="2733" t="s">
        <v>2509</v>
      </c>
      <c r="D252" s="3432"/>
      <c r="E252" s="3487" t="s">
        <v>7926</v>
      </c>
      <c r="F252" s="2733"/>
      <c r="G252" s="2735"/>
      <c r="H252" s="2735"/>
      <c r="I252" s="2735" t="s">
        <v>7249</v>
      </c>
      <c r="J252" s="3349" t="s">
        <v>65</v>
      </c>
      <c r="K252" s="2735" t="s">
        <v>275</v>
      </c>
      <c r="L252" s="3350" t="s">
        <v>7929</v>
      </c>
      <c r="M252" s="2737">
        <v>500</v>
      </c>
      <c r="N252" s="3461" t="s">
        <v>7499</v>
      </c>
      <c r="O252" s="2733"/>
      <c r="P252" s="2738"/>
      <c r="Q252" s="3352" t="s">
        <v>7252</v>
      </c>
      <c r="R252" s="2912"/>
      <c r="S252" s="2912"/>
      <c r="T252" s="2912"/>
      <c r="U252" s="2912"/>
      <c r="V252" s="2912"/>
      <c r="W252" s="2912"/>
      <c r="X252" s="2912"/>
      <c r="Y252" s="2912"/>
      <c r="Z252" s="2912"/>
      <c r="AA252" s="2912"/>
      <c r="AB252" s="2912"/>
      <c r="AC252" s="2912"/>
      <c r="AD252" s="2912"/>
      <c r="AE252" s="2912"/>
      <c r="AF252" s="2912"/>
      <c r="AG252" s="2912"/>
      <c r="AH252" s="2912"/>
      <c r="AI252" s="2912"/>
    </row>
    <row r="253" spans="1:35" s="8" customFormat="1" ht="58.6" hidden="1" customHeight="1">
      <c r="A253" s="3407"/>
      <c r="B253" s="3351" t="str">
        <f t="shared" si="8"/>
        <v>2000003481</v>
      </c>
      <c r="C253" s="2733" t="s">
        <v>2509</v>
      </c>
      <c r="D253" s="3432"/>
      <c r="E253" s="2735"/>
      <c r="F253" s="2733"/>
      <c r="G253" s="2735"/>
      <c r="H253" s="2735" t="s">
        <v>292</v>
      </c>
      <c r="I253" s="2735" t="s">
        <v>7249</v>
      </c>
      <c r="J253" s="3349" t="s">
        <v>65</v>
      </c>
      <c r="K253" s="2735" t="s">
        <v>65</v>
      </c>
      <c r="L253" s="3350" t="s">
        <v>7930</v>
      </c>
      <c r="M253" s="2737">
        <v>800</v>
      </c>
      <c r="N253" s="3461" t="s">
        <v>7499</v>
      </c>
      <c r="O253" s="2733"/>
      <c r="P253" s="2738" t="s">
        <v>7931</v>
      </c>
      <c r="Q253" s="3352" t="s">
        <v>7284</v>
      </c>
      <c r="R253" s="2912"/>
      <c r="S253" s="2912"/>
      <c r="T253" s="2912"/>
      <c r="U253" s="2912"/>
      <c r="V253" s="2912"/>
      <c r="W253" s="2912"/>
      <c r="X253" s="2912"/>
      <c r="Y253" s="2912"/>
      <c r="Z253" s="2912"/>
      <c r="AA253" s="2912"/>
      <c r="AB253" s="2912"/>
      <c r="AC253" s="2912"/>
      <c r="AD253" s="2912"/>
      <c r="AE253" s="2912"/>
      <c r="AF253" s="2912"/>
      <c r="AG253" s="2912"/>
      <c r="AH253" s="2912"/>
      <c r="AI253" s="2912"/>
    </row>
    <row r="254" spans="1:35" s="8" customFormat="1" ht="58.6" hidden="1" customHeight="1">
      <c r="A254" s="3407"/>
      <c r="B254" s="3351" t="str">
        <f t="shared" si="8"/>
        <v>2200002276</v>
      </c>
      <c r="C254" s="2733" t="s">
        <v>2509</v>
      </c>
      <c r="D254" s="3432"/>
      <c r="E254" s="3487" t="s">
        <v>7932</v>
      </c>
      <c r="F254" s="2733"/>
      <c r="G254" s="2735"/>
      <c r="H254" s="2735"/>
      <c r="I254" s="2735" t="s">
        <v>7249</v>
      </c>
      <c r="J254" s="3349" t="s">
        <v>65</v>
      </c>
      <c r="K254" s="2735" t="s">
        <v>275</v>
      </c>
      <c r="L254" s="3350" t="s">
        <v>7933</v>
      </c>
      <c r="M254" s="2737">
        <v>1183</v>
      </c>
      <c r="N254" s="3461" t="s">
        <v>7934</v>
      </c>
      <c r="O254" s="2733"/>
      <c r="P254" s="2738"/>
      <c r="Q254" s="3352" t="s">
        <v>7284</v>
      </c>
      <c r="R254" s="2912"/>
      <c r="S254" s="2912"/>
      <c r="T254" s="2912"/>
      <c r="U254" s="2912"/>
      <c r="V254" s="2912"/>
      <c r="W254" s="2912"/>
      <c r="X254" s="2912"/>
      <c r="Y254" s="2912"/>
      <c r="Z254" s="2912"/>
      <c r="AA254" s="2912"/>
      <c r="AB254" s="2912"/>
      <c r="AC254" s="2912"/>
      <c r="AD254" s="2912"/>
      <c r="AE254" s="2912"/>
      <c r="AF254" s="2912"/>
      <c r="AG254" s="2912"/>
      <c r="AH254" s="2912"/>
      <c r="AI254" s="2912"/>
    </row>
    <row r="255" spans="1:35" s="3179" customFormat="1" ht="58.6" hidden="1" customHeight="1">
      <c r="A255" s="3407"/>
      <c r="B255" s="3351" t="str">
        <f t="shared" si="8"/>
        <v>2000003607</v>
      </c>
      <c r="C255" s="2733" t="s">
        <v>2509</v>
      </c>
      <c r="D255" s="3432"/>
      <c r="E255" s="3487"/>
      <c r="F255" s="2733"/>
      <c r="G255" s="2735"/>
      <c r="H255" s="2735"/>
      <c r="I255" s="2735"/>
      <c r="J255" s="3349" t="s">
        <v>65</v>
      </c>
      <c r="K255" s="2735" t="s">
        <v>275</v>
      </c>
      <c r="L255" s="3350" t="s">
        <v>7935</v>
      </c>
      <c r="M255" s="2737">
        <v>1008</v>
      </c>
      <c r="N255" s="3461" t="s">
        <v>7936</v>
      </c>
      <c r="O255" s="2733"/>
      <c r="P255" s="2738" t="s">
        <v>7271</v>
      </c>
      <c r="Q255" s="3352" t="s">
        <v>7272</v>
      </c>
      <c r="R255" s="2912"/>
      <c r="S255" s="2912"/>
      <c r="T255" s="2912"/>
      <c r="U255" s="2912"/>
      <c r="V255" s="2912"/>
      <c r="W255" s="2912"/>
      <c r="X255" s="2912"/>
      <c r="Y255" s="2912"/>
      <c r="Z255" s="2912"/>
      <c r="AA255" s="2912"/>
      <c r="AB255" s="2912"/>
      <c r="AC255" s="2912"/>
      <c r="AD255" s="2912"/>
      <c r="AE255" s="2912"/>
      <c r="AF255" s="2912"/>
      <c r="AG255" s="2912"/>
      <c r="AH255" s="2912"/>
      <c r="AI255" s="2912"/>
    </row>
    <row r="256" spans="1:35" s="3179" customFormat="1" ht="58.6" hidden="1" customHeight="1">
      <c r="A256" s="3407"/>
      <c r="B256" s="3351" t="str">
        <f t="shared" si="8"/>
        <v>2000003608</v>
      </c>
      <c r="C256" s="2733" t="s">
        <v>2509</v>
      </c>
      <c r="D256" s="3432"/>
      <c r="E256" s="3487"/>
      <c r="F256" s="2733"/>
      <c r="G256" s="2735"/>
      <c r="H256" s="2735"/>
      <c r="I256" s="2735"/>
      <c r="J256" s="3349" t="s">
        <v>65</v>
      </c>
      <c r="K256" s="2735" t="s">
        <v>275</v>
      </c>
      <c r="L256" s="3350" t="s">
        <v>7937</v>
      </c>
      <c r="M256" s="2737">
        <v>2072</v>
      </c>
      <c r="N256" s="3461" t="s">
        <v>7938</v>
      </c>
      <c r="O256" s="2733"/>
      <c r="P256" s="2738" t="s">
        <v>7271</v>
      </c>
      <c r="Q256" s="3352" t="s">
        <v>7272</v>
      </c>
      <c r="R256" s="2912"/>
      <c r="S256" s="2912"/>
      <c r="T256" s="2912"/>
      <c r="U256" s="2912"/>
      <c r="V256" s="2912"/>
      <c r="W256" s="2912"/>
      <c r="X256" s="2912"/>
      <c r="Y256" s="2912"/>
      <c r="Z256" s="2912"/>
      <c r="AA256" s="2912"/>
      <c r="AB256" s="2912"/>
      <c r="AC256" s="2912"/>
      <c r="AD256" s="2912"/>
      <c r="AE256" s="2912"/>
      <c r="AF256" s="2912"/>
      <c r="AG256" s="2912"/>
      <c r="AH256" s="2912"/>
      <c r="AI256" s="2912"/>
    </row>
    <row r="257" spans="1:35" s="8" customFormat="1" ht="58.6" customHeight="1">
      <c r="A257" s="3407"/>
      <c r="B257" s="3351" t="str">
        <f t="shared" si="8"/>
        <v>2200002277</v>
      </c>
      <c r="C257" s="2733" t="s">
        <v>2509</v>
      </c>
      <c r="D257" s="3432"/>
      <c r="E257" s="3487" t="s">
        <v>7939</v>
      </c>
      <c r="F257" s="2733"/>
      <c r="G257" s="2735"/>
      <c r="H257" s="2735"/>
      <c r="I257" s="2735" t="s">
        <v>7249</v>
      </c>
      <c r="J257" s="3349" t="s">
        <v>65</v>
      </c>
      <c r="K257" s="2735" t="s">
        <v>275</v>
      </c>
      <c r="L257" s="3350" t="s">
        <v>7940</v>
      </c>
      <c r="M257" s="2737">
        <v>419</v>
      </c>
      <c r="N257" s="3461" t="s">
        <v>7941</v>
      </c>
      <c r="O257" s="2733"/>
      <c r="P257" s="2738"/>
      <c r="Q257" s="3352" t="s">
        <v>7284</v>
      </c>
      <c r="R257" s="2912"/>
      <c r="S257" s="2912"/>
      <c r="T257" s="2912"/>
      <c r="U257" s="2912"/>
      <c r="V257" s="2912"/>
      <c r="W257" s="2912"/>
      <c r="X257" s="2912"/>
      <c r="Y257" s="2912"/>
      <c r="Z257" s="2912"/>
      <c r="AA257" s="2912"/>
      <c r="AB257" s="2912"/>
      <c r="AC257" s="2912"/>
      <c r="AD257" s="2912"/>
      <c r="AE257" s="2912"/>
      <c r="AF257" s="2912"/>
      <c r="AG257" s="2912"/>
      <c r="AH257" s="2912"/>
      <c r="AI257" s="2912"/>
    </row>
    <row r="258" spans="1:35" ht="58.6" customHeight="1">
      <c r="A258" s="3277"/>
      <c r="B258" s="3473" t="str">
        <f t="shared" si="8"/>
        <v>2200002349</v>
      </c>
      <c r="C258" s="1895" t="s">
        <v>6893</v>
      </c>
      <c r="D258" s="3474">
        <v>4150</v>
      </c>
      <c r="E258" s="2114" t="s">
        <v>7280</v>
      </c>
      <c r="F258" s="1895" t="s">
        <v>24</v>
      </c>
      <c r="G258" s="2114"/>
      <c r="H258" s="2114"/>
      <c r="I258" s="2114"/>
      <c r="J258" s="2114" t="s">
        <v>65</v>
      </c>
      <c r="K258" s="2114" t="s">
        <v>213</v>
      </c>
      <c r="L258" s="2501" t="s">
        <v>7397</v>
      </c>
      <c r="M258" s="2500">
        <v>2562</v>
      </c>
      <c r="N258" s="3464" t="s">
        <v>7942</v>
      </c>
      <c r="O258" s="1895"/>
      <c r="P258" s="2618"/>
      <c r="Q258" s="3618" t="s">
        <v>7252</v>
      </c>
      <c r="R258" s="2167"/>
      <c r="S258" s="2167"/>
      <c r="T258" s="2167"/>
      <c r="U258" s="2167"/>
      <c r="V258" s="2167"/>
      <c r="W258" s="2167"/>
      <c r="X258" s="2167"/>
      <c r="Y258" s="2167"/>
      <c r="Z258" s="2167"/>
      <c r="AA258" s="2167"/>
      <c r="AB258" s="2167"/>
      <c r="AC258" s="2167"/>
      <c r="AD258" s="2167"/>
      <c r="AE258" s="2167"/>
      <c r="AF258" s="2167"/>
      <c r="AG258" s="2167"/>
      <c r="AH258" s="2167"/>
      <c r="AI258" s="2167"/>
    </row>
    <row r="259" spans="1:35" ht="58.6" hidden="1" customHeight="1">
      <c r="B259" s="2884" t="str">
        <f t="shared" si="8"/>
        <v>2200002351</v>
      </c>
      <c r="C259" s="102" t="s">
        <v>6893</v>
      </c>
      <c r="F259" s="102" t="s">
        <v>24</v>
      </c>
      <c r="J259" s="109" t="s">
        <v>65</v>
      </c>
      <c r="K259" s="109" t="s">
        <v>213</v>
      </c>
      <c r="L259" s="696" t="s">
        <v>7943</v>
      </c>
      <c r="M259" s="2216">
        <v>1588</v>
      </c>
      <c r="N259" s="3464" t="s">
        <v>7538</v>
      </c>
      <c r="P259" s="143"/>
      <c r="Q259" s="1776"/>
    </row>
    <row r="260" spans="1:35" ht="58.6" hidden="1" customHeight="1">
      <c r="B260" s="2884" t="str">
        <f t="shared" si="8"/>
        <v>2000003629</v>
      </c>
      <c r="C260" s="2542" t="s">
        <v>7944</v>
      </c>
      <c r="D260" s="3666">
        <v>4450</v>
      </c>
      <c r="E260" s="1216" t="s">
        <v>7280</v>
      </c>
      <c r="F260" s="2542" t="s">
        <v>26</v>
      </c>
      <c r="H260" s="1772"/>
      <c r="I260" s="109" t="s">
        <v>7249</v>
      </c>
      <c r="J260" s="109" t="s">
        <v>65</v>
      </c>
      <c r="K260" s="109" t="s">
        <v>117</v>
      </c>
      <c r="L260" s="3499" t="s">
        <v>7945</v>
      </c>
      <c r="M260" s="2216">
        <v>3200</v>
      </c>
      <c r="N260" s="3464" t="s">
        <v>7946</v>
      </c>
    </row>
    <row r="261" spans="1:35" ht="58.6" customHeight="1">
      <c r="A261" s="3277"/>
      <c r="B261" s="3473" t="str">
        <f t="shared" si="8"/>
        <v>2000003624</v>
      </c>
      <c r="C261" s="2542" t="s">
        <v>7944</v>
      </c>
      <c r="D261" s="3666"/>
      <c r="E261" s="1216"/>
      <c r="F261" s="2542" t="s">
        <v>26</v>
      </c>
      <c r="G261" s="2114"/>
      <c r="H261" s="2114"/>
      <c r="I261" s="3571" t="s">
        <v>7268</v>
      </c>
      <c r="J261" s="3475" t="s">
        <v>65</v>
      </c>
      <c r="K261" s="2114" t="s">
        <v>117</v>
      </c>
      <c r="L261" s="2173" t="s">
        <v>7269</v>
      </c>
      <c r="M261" s="2500">
        <f>4450-3177</f>
        <v>1273</v>
      </c>
      <c r="N261" s="2114" t="s">
        <v>7270</v>
      </c>
      <c r="O261" s="1895"/>
      <c r="P261" s="2501" t="s">
        <v>7271</v>
      </c>
      <c r="Q261" s="3477" t="s">
        <v>7272</v>
      </c>
      <c r="R261" s="2167"/>
      <c r="S261" s="2167"/>
      <c r="T261" s="2167"/>
      <c r="U261" s="2167"/>
      <c r="V261" s="2167"/>
      <c r="W261" s="2167"/>
      <c r="X261" s="2167"/>
      <c r="Y261" s="2167"/>
      <c r="Z261" s="2167"/>
      <c r="AA261" s="2167"/>
      <c r="AB261" s="2167"/>
      <c r="AC261" s="2167"/>
      <c r="AD261" s="2167"/>
      <c r="AE261" s="2167"/>
      <c r="AF261" s="2167"/>
      <c r="AG261" s="2167"/>
      <c r="AH261" s="2167"/>
      <c r="AI261" s="2167"/>
    </row>
    <row r="262" spans="1:35" ht="58.6" hidden="1" customHeight="1">
      <c r="A262" s="3277"/>
      <c r="B262" s="3473" t="str">
        <f t="shared" si="8"/>
        <v>2000003615</v>
      </c>
      <c r="C262" s="1895" t="s">
        <v>7673</v>
      </c>
      <c r="D262" s="2252">
        <v>4700</v>
      </c>
      <c r="E262" s="1895" t="s">
        <v>7947</v>
      </c>
      <c r="F262" s="102" t="s">
        <v>16</v>
      </c>
      <c r="G262" s="2114"/>
      <c r="H262" s="2114"/>
      <c r="I262" s="3344" t="s">
        <v>7249</v>
      </c>
      <c r="J262" s="2114" t="s">
        <v>65</v>
      </c>
      <c r="K262" s="2114" t="s">
        <v>106</v>
      </c>
      <c r="L262" s="2173" t="s">
        <v>7948</v>
      </c>
      <c r="M262" s="2500">
        <v>2500</v>
      </c>
      <c r="N262" s="109" t="s">
        <v>7949</v>
      </c>
      <c r="O262" s="1895"/>
      <c r="P262" s="2389" t="s">
        <v>7287</v>
      </c>
      <c r="Q262" s="3477"/>
      <c r="R262" s="2167"/>
      <c r="S262" s="2167"/>
      <c r="T262" s="2167"/>
      <c r="U262" s="2167"/>
      <c r="V262" s="2167"/>
      <c r="W262" s="2167"/>
      <c r="X262" s="2167"/>
      <c r="Y262" s="2167"/>
      <c r="Z262" s="2167"/>
      <c r="AA262" s="2167"/>
      <c r="AB262" s="2167"/>
      <c r="AC262" s="2167"/>
      <c r="AD262" s="2167"/>
      <c r="AE262" s="2167"/>
      <c r="AF262" s="2167"/>
      <c r="AG262" s="2167"/>
      <c r="AH262" s="2167"/>
      <c r="AI262" s="2167"/>
    </row>
    <row r="263" spans="1:35" ht="58.6" hidden="1" customHeight="1">
      <c r="B263" s="2884" t="str">
        <f t="shared" si="8"/>
        <v>2000003616</v>
      </c>
      <c r="C263" s="1895" t="s">
        <v>7673</v>
      </c>
      <c r="D263" s="104"/>
      <c r="F263" s="102" t="s">
        <v>16</v>
      </c>
      <c r="I263" s="3566" t="s">
        <v>7348</v>
      </c>
      <c r="J263" s="109" t="s">
        <v>65</v>
      </c>
      <c r="K263" s="109" t="s">
        <v>106</v>
      </c>
      <c r="L263" s="696" t="s">
        <v>7950</v>
      </c>
      <c r="M263" s="2644">
        <v>2300</v>
      </c>
      <c r="N263" s="2446" t="s">
        <v>7951</v>
      </c>
    </row>
  </sheetData>
  <autoFilter ref="A3:AI263" xr:uid="{DD385387-0778-406B-BE47-1387A6C4D5B5}">
    <filterColumn colId="13">
      <filters>
        <filter val="HRC 1 -  đã map 3523 tấn_x000a_HÀNG HÓA OK"/>
        <filter val="HRC 1  - T10.5 - đã map 5k2_x000a_đã đủ hàng cho tàu này"/>
        <filter val="HRC 1  - T10.5 - đã map 5k9_x000a_đã đủ hàng cho tàu này"/>
        <filter val="HRC 1 - đã map 10k1_x000a_T11.3 dự kiến 26-27/11 nk"/>
        <filter val="HRC 1 - đã map 11k8_x000a_dự kiến 26-27/11 nk đủ"/>
        <filter val="HRC 1 - đã map 11k8_x000a_dự kiến 27/11 nk đủ"/>
        <filter val="HRC 1 - đã map 1400t_x000a_T11.2 1k7 dự kiến 19-20/11 nk (Sỹ ơi 18  tàu xong hàng rùi SOS)"/>
        <filter val="HRC 1 - ĐÃ MAP 1k5_x000a_Dự kiến 01- 02/12 nk đủ"/>
        <filter val="HRC 1 - ĐÃ MAP 244 tấn_x000a_HÀNG HÓA OK"/>
        <filter val="HRC 1 - ĐÃ MAP 2448 TẤN_x000a_HÀNG HÓA OK"/>
        <filter val="HRC 1  ĐÃ MAP 2938 tấn _x000a_HÀNG HÓA OK"/>
        <filter val="HRC 1 - ĐÃ MAP 4410 TẤN tách SO_x000a_HÀNG HÓA OK"/>
        <filter val="HRC 1 - đã map 675 tấn_x000a_HÀNG HÓA OK"/>
        <filter val="HRC 1 - HÀNG HÓA OK"/>
        <filter val="HRC 1 - HÀNG HÓA OK - ĐÃ MAP 3147"/>
        <filter val="HRC 1 - HÀNG HÓA OK - MAP 9488"/>
        <filter val="HRC 1 - HÀNG HÓA OK_x000a_ đã map 3271 tấn"/>
        <filter val="HRC 1 - HÀNG HÓA OK_x000a_1038 tấn"/>
        <filter val="HRC 1 - HÀNG HÓA OK_x000a_153 Tấn"/>
        <filter val="HRC 1 - HÀNG HÓA OK_x000a_1628"/>
        <filter val="HRC 1 - HÀNG HÓA OK_x000a_181 tấn"/>
        <filter val="HRC 1 - HÀNG HÓA OK_x000a_1985 tấn"/>
        <filter val="HRC 1 - HÀNG HÓA OK_x000a_20 tấn"/>
        <filter val="HRC 1 - HÀNG HÓA OK_x000a_260 tấn"/>
        <filter val="HRC 1 - HÀNG HÓA OK_x000a_328 tấn"/>
        <filter val="HRC 1 - HÀNG HÓA OK_x000a_4987 tấn"/>
        <filter val="HRC 1 - HÀNG HÓA OK_x000a_89 tấn"/>
        <filter val="HRC 1 - HÀNG HÓA OK_x000a_ĐÃ MAP 4166 TẤN"/>
        <filter val="HRC 1 - HÀNG HÓA OK_x000a_SPOT"/>
        <filter val="HRC 1 - HÀNG HÓA OK_x000a_SPOT 67 tấn"/>
        <filter val="HRC 1 - HÀNG HÓA OK_x000a_SPOT map 916 tấn"/>
        <filter val="HRC 1 - HÀNG HÓA OK, đã map 1586"/>
        <filter val="HRC 1 - HÀNG HÓA OK, đã map 536t"/>
        <filter val="HRC 1 - T11.4 đã map 200 tấn_x000a_HÀNG HÓA OK"/>
        <filter val="HRC 1 - T11.4 đã map 4k7_x000a_dự kiến 4-5/12 nk"/>
        <filter val="HRC 1 - T11.4 đã map 628 tấn_x000a_HÀNG HÓA OK"/>
        <filter val="HRC 1 - T11.4 ĐÃ MAP 830 Tấn_x000a_dự kiến 26-27/11 nk trước 3k, còn lại 1k5 dự kiến 28-29 nk."/>
        <filter val="HRC 1 - T11.4_x000a_dự kiến 27-28 nk trước 2k5, còn lại 2k 2-3/12 nk"/>
        <filter val="HRC 1 - T11.4_x000a_dự kiến 30/11-01/12 nk"/>
        <filter val="HRC 1 - T11.4_x000a_dự kiến 30/11-1/12 nk"/>
        <filter val="HRC 1 đã map 4126 tấn_x000a_HÀNG HÓA OK _x000a_CÒN HÀNG NHƯNG ƯU TIÊN MAP ÂM"/>
        <filter val="HRC 1 ĐÃ MAP 5243 tấn_x000a_HÀNG HÓA OK"/>
        <filter val="HRC 1 ĐÃ MAP 6K5_x000a_HÀNG HÓA OK"/>
        <filter val="HRC 1_x000a_T11.4 dự kiến 03-04/12 nk"/>
        <filter val="SPOT HRC 1 - HÀNG HÓA OK"/>
        <filter val="SPOT HRC 1 - HÀNG HÓA OK_x000a_1246 TẤN"/>
        <filter val="SPOT HRC 1_x000a_HÀNG HÓA OK"/>
        <filter val="SPOT HRC 1_x000a_HÀNG HÓA OK_x000a_419 tấn"/>
        <filter val="Stock HRC 1_x000a_HÀNG HÓA OK 957 tấn"/>
        <filter val="Stock HRC 1_x000a_HÀNG HÓA OK 999 tấn"/>
      </filters>
    </filterColumn>
  </autoFilter>
  <mergeCells count="22">
    <mergeCell ref="A142:A147"/>
    <mergeCell ref="A139:A141"/>
    <mergeCell ref="A129:A138"/>
    <mergeCell ref="A83:A92"/>
    <mergeCell ref="A93:A101"/>
    <mergeCell ref="A79:A81"/>
    <mergeCell ref="A65:A66"/>
    <mergeCell ref="A68:A70"/>
    <mergeCell ref="A72:A74"/>
    <mergeCell ref="A75:A76"/>
    <mergeCell ref="A77:A78"/>
    <mergeCell ref="A63:A64"/>
    <mergeCell ref="A51:A53"/>
    <mergeCell ref="A57:A60"/>
    <mergeCell ref="A1:Q1"/>
    <mergeCell ref="A61:A62"/>
    <mergeCell ref="S2:V2"/>
    <mergeCell ref="A4:A14"/>
    <mergeCell ref="A15:A29"/>
    <mergeCell ref="A30:A41"/>
    <mergeCell ref="A42:A49"/>
    <mergeCell ref="A2:C2"/>
  </mergeCells>
  <conditionalFormatting sqref="B4:B14">
    <cfRule type="duplicateValues" dxfId="356" priority="44"/>
    <cfRule type="duplicateValues" dxfId="355" priority="45"/>
    <cfRule type="duplicateValues" dxfId="354" priority="46"/>
    <cfRule type="duplicateValues" dxfId="353" priority="47"/>
    <cfRule type="duplicateValues" dxfId="352" priority="48"/>
    <cfRule type="duplicateValues" dxfId="351" priority="49"/>
    <cfRule type="duplicateValues" dxfId="350" priority="50"/>
    <cfRule type="duplicateValues" dxfId="349" priority="51"/>
    <cfRule type="duplicateValues" dxfId="348" priority="52"/>
  </conditionalFormatting>
  <conditionalFormatting sqref="B6">
    <cfRule type="duplicateValues" dxfId="347" priority="40"/>
    <cfRule type="duplicateValues" dxfId="346" priority="41"/>
    <cfRule type="duplicateValues" dxfId="345" priority="42"/>
    <cfRule type="duplicateValues" dxfId="344" priority="43"/>
  </conditionalFormatting>
  <conditionalFormatting sqref="B56">
    <cfRule type="duplicateValues" dxfId="343" priority="75"/>
    <cfRule type="duplicateValues" dxfId="342" priority="76"/>
    <cfRule type="duplicateValues" dxfId="341" priority="77"/>
    <cfRule type="duplicateValues" dxfId="340" priority="78"/>
    <cfRule type="duplicateValues" dxfId="339" priority="83"/>
  </conditionalFormatting>
  <conditionalFormatting sqref="B60">
    <cfRule type="duplicateValues" dxfId="338" priority="62"/>
    <cfRule type="duplicateValues" dxfId="337" priority="63"/>
    <cfRule type="duplicateValues" dxfId="336" priority="64"/>
    <cfRule type="duplicateValues" dxfId="335" priority="65"/>
    <cfRule type="duplicateValues" dxfId="334" priority="66"/>
    <cfRule type="duplicateValues" dxfId="333" priority="67"/>
    <cfRule type="duplicateValues" dxfId="332" priority="68"/>
    <cfRule type="duplicateValues" dxfId="331" priority="69"/>
    <cfRule type="duplicateValues" dxfId="330" priority="70"/>
    <cfRule type="duplicateValues" dxfId="329" priority="71"/>
    <cfRule type="duplicateValues" dxfId="328" priority="72"/>
    <cfRule type="duplicateValues" dxfId="327" priority="73"/>
    <cfRule type="duplicateValues" dxfId="326" priority="74"/>
  </conditionalFormatting>
  <conditionalFormatting sqref="B177:B179">
    <cfRule type="duplicateValues" dxfId="325" priority="4"/>
  </conditionalFormatting>
  <conditionalFormatting sqref="B241">
    <cfRule type="duplicateValues" dxfId="324" priority="40614"/>
  </conditionalFormatting>
  <conditionalFormatting sqref="B258:B259">
    <cfRule type="duplicateValues" dxfId="323" priority="40622"/>
  </conditionalFormatting>
  <conditionalFormatting sqref="B260:B261">
    <cfRule type="duplicateValues" dxfId="322" priority="2"/>
  </conditionalFormatting>
  <conditionalFormatting sqref="B262:B263">
    <cfRule type="duplicateValues" dxfId="321" priority="1"/>
  </conditionalFormatting>
  <conditionalFormatting sqref="B264:B1048576 B242:B257 B57:B59 B15:B55 B1:B3 B61:B176 B180:B240">
    <cfRule type="duplicateValues" dxfId="320" priority="40615"/>
  </conditionalFormatting>
  <conditionalFormatting sqref="L118">
    <cfRule type="duplicateValues" dxfId="319" priority="23"/>
    <cfRule type="duplicateValues" dxfId="318" priority="24"/>
    <cfRule type="duplicateValues" dxfId="317" priority="25"/>
    <cfRule type="duplicateValues" dxfId="316" priority="26"/>
    <cfRule type="duplicateValues" dxfId="315" priority="27"/>
  </conditionalFormatting>
  <conditionalFormatting sqref="L207:L208 L210:L211 L227:L228">
    <cfRule type="containsText" dxfId="314" priority="11" operator="containsText" text="Chưa chốt cơ cấu">
      <formula>NOT(ISERROR(SEARCH("Chưa chốt cơ cấu",L207)))</formula>
    </cfRule>
  </conditionalFormatting>
  <conditionalFormatting sqref="S42">
    <cfRule type="duplicateValues" dxfId="313" priority="274"/>
    <cfRule type="duplicateValues" dxfId="312" priority="275"/>
    <cfRule type="duplicateValues" dxfId="311" priority="276"/>
    <cfRule type="duplicateValues" dxfId="310" priority="277"/>
  </conditionalFormatting>
  <conditionalFormatting sqref="S50">
    <cfRule type="duplicateValues" dxfId="309" priority="36"/>
    <cfRule type="duplicateValues" dxfId="308" priority="37"/>
    <cfRule type="duplicateValues" dxfId="307" priority="38"/>
    <cfRule type="duplicateValues" dxfId="306" priority="39"/>
  </conditionalFormatting>
  <conditionalFormatting sqref="S55">
    <cfRule type="duplicateValues" dxfId="305" priority="159"/>
    <cfRule type="duplicateValues" dxfId="304" priority="160"/>
    <cfRule type="duplicateValues" dxfId="303" priority="161"/>
    <cfRule type="duplicateValues" dxfId="302" priority="162"/>
  </conditionalFormatting>
  <conditionalFormatting sqref="S61">
    <cfRule type="duplicateValues" dxfId="301" priority="180"/>
    <cfRule type="duplicateValues" dxfId="300" priority="181"/>
    <cfRule type="duplicateValues" dxfId="299" priority="182"/>
    <cfRule type="duplicateValues" dxfId="298" priority="183"/>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L138" activePane="bottomRight" state="frozen"/>
      <selection pane="topRight"/>
      <selection pane="bottomLeft"/>
      <selection pane="bottomRight" activeCell="M22" sqref="M22"/>
    </sheetView>
  </sheetViews>
  <sheetFormatPr defaultColWidth="32.125" defaultRowHeight="58.6" customHeight="1"/>
  <cols>
    <col min="1" max="1" width="7.625" style="738" customWidth="1"/>
    <col min="2" max="2" width="25" style="763" customWidth="1"/>
    <col min="3" max="3" width="37.375" style="3" customWidth="1"/>
    <col min="4" max="4" width="17.375" style="2023" customWidth="1"/>
    <col min="5" max="5" width="19" style="271" customWidth="1"/>
    <col min="6" max="6" width="32.125" style="1" customWidth="1"/>
    <col min="7" max="7" width="19.375" style="271" customWidth="1"/>
    <col min="8" max="8" width="15.875" style="271" customWidth="1"/>
    <col min="9" max="9" width="27.875" style="271" customWidth="1"/>
    <col min="10" max="10" width="32.125" style="271" customWidth="1"/>
    <col min="11" max="11" width="27.375" style="271" customWidth="1"/>
    <col min="12" max="12" width="88.125" style="9" customWidth="1"/>
    <col min="13" max="13" width="25.625" style="2924" customWidth="1"/>
    <col min="14" max="14" width="63.125" style="1" customWidth="1"/>
    <col min="15" max="15" width="23.125" style="1" customWidth="1"/>
    <col min="16" max="16" width="66" style="2260" customWidth="1"/>
    <col min="17" max="17" width="45.125" style="3145" customWidth="1"/>
    <col min="18" max="16384" width="32.125" style="3"/>
  </cols>
  <sheetData>
    <row r="1" spans="1:35" ht="74.25" customHeight="1">
      <c r="A1" s="3865" t="s">
        <v>7952</v>
      </c>
      <c r="B1" s="3866"/>
      <c r="C1" s="3866"/>
      <c r="D1" s="3866"/>
      <c r="E1" s="3866"/>
      <c r="F1" s="3866"/>
      <c r="G1" s="3866"/>
      <c r="H1" s="3866"/>
      <c r="I1" s="3866"/>
      <c r="J1" s="3866"/>
      <c r="K1" s="3866"/>
      <c r="L1" s="3866"/>
      <c r="M1" s="3866"/>
      <c r="N1" s="3866"/>
      <c r="O1" s="3866"/>
      <c r="P1" s="3866"/>
      <c r="Q1" s="3790"/>
    </row>
    <row r="2" spans="1:35" s="2709" customFormat="1" ht="58.6" customHeight="1">
      <c r="A2" s="3867" t="s">
        <v>5208</v>
      </c>
      <c r="B2" s="3868"/>
      <c r="C2" s="3868"/>
      <c r="D2" s="3044">
        <f>SUBTOTAL(9,D4:D2695)</f>
        <v>537510</v>
      </c>
      <c r="E2" s="2887"/>
      <c r="F2" s="2885"/>
      <c r="G2" s="2886" t="s">
        <v>5209</v>
      </c>
      <c r="H2" s="2886"/>
      <c r="I2" s="2887"/>
      <c r="J2" s="2887"/>
      <c r="K2" s="2888"/>
      <c r="L2" s="2889">
        <f ca="1">TODAY()</f>
        <v>45988</v>
      </c>
      <c r="M2" s="3044">
        <f>SUBTOTAL(9,M4:M2695)</f>
        <v>538446</v>
      </c>
      <c r="N2" s="2890" t="s">
        <v>7235</v>
      </c>
      <c r="O2" s="2999"/>
      <c r="P2" s="2926"/>
      <c r="Q2" s="3314" t="s">
        <v>0</v>
      </c>
      <c r="R2" s="3"/>
      <c r="S2" s="3862" t="s">
        <v>7236</v>
      </c>
      <c r="T2" s="3862"/>
      <c r="U2" s="3862"/>
      <c r="V2" s="3862"/>
      <c r="W2" s="3"/>
      <c r="X2" s="3"/>
      <c r="Y2" s="3"/>
      <c r="Z2" s="3"/>
      <c r="AA2" s="3"/>
    </row>
    <row r="3" spans="1:35" s="2709" customFormat="1" ht="58.6" customHeight="1">
      <c r="A3" s="3219" t="s">
        <v>48</v>
      </c>
      <c r="B3" s="3133" t="s">
        <v>5213</v>
      </c>
      <c r="C3" s="3134" t="s">
        <v>5214</v>
      </c>
      <c r="D3" s="3208" t="s">
        <v>5215</v>
      </c>
      <c r="E3" s="3134" t="s">
        <v>3430</v>
      </c>
      <c r="F3" s="3135" t="s">
        <v>52</v>
      </c>
      <c r="G3" s="3134" t="s">
        <v>3431</v>
      </c>
      <c r="H3" s="3134" t="s">
        <v>7238</v>
      </c>
      <c r="I3" s="3136" t="s">
        <v>7239</v>
      </c>
      <c r="J3" s="3134" t="s">
        <v>7240</v>
      </c>
      <c r="K3" s="3134" t="s">
        <v>56</v>
      </c>
      <c r="L3" s="3137" t="s">
        <v>7241</v>
      </c>
      <c r="M3" s="3138" t="s">
        <v>5218</v>
      </c>
      <c r="N3" s="3139" t="s">
        <v>7953</v>
      </c>
      <c r="O3" s="3140" t="s">
        <v>5220</v>
      </c>
      <c r="P3" s="3141" t="s">
        <v>58</v>
      </c>
      <c r="Q3" s="3315" t="s">
        <v>5221</v>
      </c>
      <c r="R3" s="2709" t="s">
        <v>7243</v>
      </c>
      <c r="S3" s="2705" t="s">
        <v>5223</v>
      </c>
      <c r="T3" s="2705" t="s">
        <v>7244</v>
      </c>
      <c r="U3" s="2705" t="s">
        <v>7245</v>
      </c>
      <c r="V3" s="2705" t="s">
        <v>7246</v>
      </c>
    </row>
    <row r="4" spans="1:35" s="2150" customFormat="1" ht="58.6" customHeight="1">
      <c r="A4" s="3776">
        <v>1</v>
      </c>
      <c r="B4" s="3189" t="str">
        <f t="shared" ref="B4:B35" si="0">TEXT(LEFT(L4,10),"0000000000")</f>
        <v>2200002207</v>
      </c>
      <c r="C4" s="1902" t="s">
        <v>7954</v>
      </c>
      <c r="D4" s="2607">
        <v>2950</v>
      </c>
      <c r="E4" s="1902" t="s">
        <v>7955</v>
      </c>
      <c r="F4" s="1902" t="s">
        <v>22</v>
      </c>
      <c r="G4" s="1921" t="s">
        <v>7956</v>
      </c>
      <c r="H4" s="1921" t="s">
        <v>7957</v>
      </c>
      <c r="I4" s="2279" t="s">
        <v>7249</v>
      </c>
      <c r="J4" s="1902" t="s">
        <v>65</v>
      </c>
      <c r="K4" s="1921" t="s">
        <v>142</v>
      </c>
      <c r="L4" s="1862" t="s">
        <v>7958</v>
      </c>
      <c r="M4" s="3041">
        <v>1311</v>
      </c>
      <c r="N4" s="2907" t="s">
        <v>7959</v>
      </c>
      <c r="O4" s="1902"/>
      <c r="P4" s="1745"/>
      <c r="Q4" s="3232">
        <v>1</v>
      </c>
    </row>
    <row r="5" spans="1:35" s="1548" customFormat="1" ht="58.6" customHeight="1">
      <c r="A5" s="3776"/>
      <c r="B5" s="3189" t="str">
        <f t="shared" si="0"/>
        <v>2200002208</v>
      </c>
      <c r="C5" s="1493" t="s">
        <v>134</v>
      </c>
      <c r="D5" s="1494"/>
      <c r="E5" s="1902"/>
      <c r="F5" s="1493" t="s">
        <v>22</v>
      </c>
      <c r="G5" s="1495"/>
      <c r="H5" s="1495"/>
      <c r="I5" s="1568" t="s">
        <v>7249</v>
      </c>
      <c r="J5" s="1493" t="s">
        <v>65</v>
      </c>
      <c r="K5" s="1495" t="s">
        <v>142</v>
      </c>
      <c r="L5" s="1496" t="s">
        <v>7960</v>
      </c>
      <c r="M5" s="3037">
        <v>1485</v>
      </c>
      <c r="N5" s="2907" t="s">
        <v>7961</v>
      </c>
      <c r="O5" s="1493"/>
      <c r="P5" s="2590"/>
      <c r="Q5" s="3232">
        <v>1</v>
      </c>
    </row>
    <row r="6" spans="1:35" s="1467" customFormat="1" ht="58.6" customHeight="1">
      <c r="A6" s="3776"/>
      <c r="B6" s="3189" t="str">
        <f t="shared" si="0"/>
        <v>2200002197</v>
      </c>
      <c r="C6" s="1493" t="s">
        <v>134</v>
      </c>
      <c r="D6" s="2607"/>
      <c r="E6" s="1921"/>
      <c r="F6" s="1493" t="s">
        <v>22</v>
      </c>
      <c r="G6" s="1495"/>
      <c r="H6" s="1495"/>
      <c r="I6" s="1568" t="s">
        <v>7249</v>
      </c>
      <c r="J6" s="1495" t="s">
        <v>1653</v>
      </c>
      <c r="K6" s="1495" t="s">
        <v>142</v>
      </c>
      <c r="L6" s="1547" t="s">
        <v>7962</v>
      </c>
      <c r="M6" s="3037">
        <v>154</v>
      </c>
      <c r="N6" s="2196" t="s">
        <v>7959</v>
      </c>
      <c r="O6" s="1493"/>
      <c r="P6" s="1548"/>
      <c r="Q6" s="3232">
        <v>1</v>
      </c>
      <c r="R6" s="1748">
        <v>3</v>
      </c>
    </row>
    <row r="7" spans="1:35" s="2150" customFormat="1" ht="58.6" customHeight="1">
      <c r="A7" s="3864">
        <v>2</v>
      </c>
      <c r="B7" s="3189" t="str">
        <f t="shared" si="0"/>
        <v>2400001285</v>
      </c>
      <c r="C7" s="3019" t="s">
        <v>7963</v>
      </c>
      <c r="D7" s="3209">
        <v>3000</v>
      </c>
      <c r="E7" s="3021" t="s">
        <v>7964</v>
      </c>
      <c r="F7" s="3019" t="s">
        <v>3460</v>
      </c>
      <c r="G7" s="3021" t="s">
        <v>7965</v>
      </c>
      <c r="H7" s="3237" t="s">
        <v>7966</v>
      </c>
      <c r="I7" s="3021" t="s">
        <v>7967</v>
      </c>
      <c r="J7" s="3019" t="s">
        <v>65</v>
      </c>
      <c r="K7" s="3021" t="s">
        <v>6137</v>
      </c>
      <c r="L7" s="2904" t="s">
        <v>7968</v>
      </c>
      <c r="M7" s="3036">
        <v>1000</v>
      </c>
      <c r="N7" s="2196" t="s">
        <v>6593</v>
      </c>
      <c r="O7" s="3019"/>
      <c r="P7" s="3023"/>
      <c r="Q7" s="3232">
        <v>1</v>
      </c>
    </row>
    <row r="8" spans="1:35" s="1548" customFormat="1" ht="58.6" customHeight="1">
      <c r="A8" s="3864"/>
      <c r="B8" s="3189" t="str">
        <f t="shared" si="0"/>
        <v>2400001286</v>
      </c>
      <c r="C8" s="3009" t="s">
        <v>3898</v>
      </c>
      <c r="D8" s="3210"/>
      <c r="E8" s="3021"/>
      <c r="F8" s="3009" t="s">
        <v>3460</v>
      </c>
      <c r="G8" s="3007"/>
      <c r="H8" s="3007"/>
      <c r="I8" s="3021" t="s">
        <v>7967</v>
      </c>
      <c r="J8" s="3009" t="s">
        <v>65</v>
      </c>
      <c r="K8" s="3007" t="s">
        <v>6137</v>
      </c>
      <c r="L8" s="2878" t="s">
        <v>7969</v>
      </c>
      <c r="M8" s="3040">
        <v>1000</v>
      </c>
      <c r="N8" s="2196" t="s">
        <v>6593</v>
      </c>
      <c r="O8" s="3019"/>
      <c r="P8" s="3023"/>
      <c r="Q8" s="3232">
        <v>1</v>
      </c>
      <c r="R8" s="2150"/>
      <c r="S8" s="2150"/>
      <c r="T8" s="2150"/>
      <c r="U8" s="2150"/>
      <c r="V8" s="2150"/>
      <c r="W8" s="2150"/>
      <c r="X8" s="2150"/>
      <c r="Y8" s="2150"/>
      <c r="Z8" s="2150"/>
      <c r="AA8" s="2150"/>
      <c r="AB8" s="2150"/>
    </row>
    <row r="9" spans="1:35" s="1548" customFormat="1" ht="58.6" customHeight="1">
      <c r="A9" s="3864"/>
      <c r="B9" s="3189" t="str">
        <f t="shared" si="0"/>
        <v>2400001287</v>
      </c>
      <c r="C9" s="3009" t="s">
        <v>3898</v>
      </c>
      <c r="D9" s="3210"/>
      <c r="E9" s="3021"/>
      <c r="F9" s="3009" t="s">
        <v>3460</v>
      </c>
      <c r="G9" s="3007"/>
      <c r="H9" s="3007"/>
      <c r="I9" s="3021" t="s">
        <v>7967</v>
      </c>
      <c r="J9" s="3009" t="s">
        <v>65</v>
      </c>
      <c r="K9" s="3007" t="s">
        <v>6137</v>
      </c>
      <c r="L9" s="2878" t="s">
        <v>7970</v>
      </c>
      <c r="M9" s="3040">
        <v>1000</v>
      </c>
      <c r="N9" s="2196" t="s">
        <v>6593</v>
      </c>
      <c r="O9" s="3019"/>
      <c r="P9" s="3023"/>
      <c r="Q9" s="3232">
        <v>1</v>
      </c>
      <c r="R9" s="2150"/>
      <c r="S9" s="2150"/>
      <c r="T9" s="2150"/>
      <c r="U9" s="2150"/>
      <c r="V9" s="2150"/>
      <c r="W9" s="2150"/>
      <c r="X9" s="2150"/>
      <c r="Y9" s="2150"/>
      <c r="Z9" s="2150"/>
      <c r="AA9" s="2150"/>
      <c r="AB9" s="2150"/>
    </row>
    <row r="10" spans="1:35" s="2150" customFormat="1" ht="70.5" customHeight="1">
      <c r="A10" s="3863">
        <v>3</v>
      </c>
      <c r="B10" s="3189" t="str">
        <f t="shared" si="0"/>
        <v>2200002220</v>
      </c>
      <c r="C10" s="3019" t="s">
        <v>3464</v>
      </c>
      <c r="D10" s="3209">
        <v>3700</v>
      </c>
      <c r="E10" s="3021" t="s">
        <v>7971</v>
      </c>
      <c r="F10" s="3009" t="s">
        <v>24</v>
      </c>
      <c r="G10" s="3021"/>
      <c r="H10" s="3021"/>
      <c r="I10" s="3007" t="s">
        <v>7249</v>
      </c>
      <c r="J10" s="3009" t="s">
        <v>65</v>
      </c>
      <c r="K10" s="3007" t="s">
        <v>142</v>
      </c>
      <c r="L10" s="2878" t="s">
        <v>7972</v>
      </c>
      <c r="M10" s="3040">
        <v>458</v>
      </c>
      <c r="N10" s="2907" t="s">
        <v>7625</v>
      </c>
      <c r="O10" s="3019"/>
      <c r="P10" s="3206"/>
      <c r="Q10" s="3306">
        <v>1</v>
      </c>
    </row>
    <row r="11" spans="1:35" s="1467" customFormat="1" ht="58.6" customHeight="1">
      <c r="A11" s="3863"/>
      <c r="B11" s="3189" t="str">
        <f t="shared" si="0"/>
        <v>2200002221</v>
      </c>
      <c r="C11" s="3009" t="s">
        <v>3464</v>
      </c>
      <c r="D11" s="3210"/>
      <c r="E11" s="3021"/>
      <c r="F11" s="3009" t="s">
        <v>24</v>
      </c>
      <c r="G11" s="3007"/>
      <c r="H11" s="3007"/>
      <c r="I11" s="1495" t="s">
        <v>7249</v>
      </c>
      <c r="J11" s="1495" t="s">
        <v>65</v>
      </c>
      <c r="K11" s="3007" t="s">
        <v>142</v>
      </c>
      <c r="L11" s="2878" t="s">
        <v>7973</v>
      </c>
      <c r="M11" s="3040">
        <v>3242</v>
      </c>
      <c r="N11" s="2907" t="s">
        <v>7974</v>
      </c>
      <c r="O11" s="3009"/>
      <c r="P11" s="3010"/>
      <c r="Q11" s="3306" t="s">
        <v>7252</v>
      </c>
      <c r="AD11" s="1548"/>
      <c r="AE11" s="1548"/>
      <c r="AF11" s="1548"/>
      <c r="AG11" s="1548"/>
      <c r="AH11" s="1548"/>
    </row>
    <row r="12" spans="1:35" s="2150" customFormat="1" ht="58.6" customHeight="1">
      <c r="A12" s="3784">
        <v>4</v>
      </c>
      <c r="B12" s="3189" t="str">
        <f t="shared" si="0"/>
        <v>2000003344</v>
      </c>
      <c r="C12" s="3019" t="s">
        <v>97</v>
      </c>
      <c r="D12" s="1494">
        <v>4620</v>
      </c>
      <c r="E12" s="1921" t="s">
        <v>7955</v>
      </c>
      <c r="F12" s="1493" t="s">
        <v>18</v>
      </c>
      <c r="G12" s="1495" t="s">
        <v>7975</v>
      </c>
      <c r="H12" s="1748" t="s">
        <v>7976</v>
      </c>
      <c r="I12" s="3058" t="s">
        <v>7249</v>
      </c>
      <c r="J12" s="3009" t="s">
        <v>65</v>
      </c>
      <c r="K12" s="1921" t="s">
        <v>117</v>
      </c>
      <c r="L12" s="2162" t="s">
        <v>7977</v>
      </c>
      <c r="M12" s="3067">
        <v>1450</v>
      </c>
      <c r="N12" s="2907" t="s">
        <v>7407</v>
      </c>
      <c r="O12" s="1493"/>
      <c r="P12" s="2590"/>
      <c r="Q12" s="3232" t="s">
        <v>7252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6" customHeight="1">
      <c r="A13" s="3784"/>
      <c r="B13" s="3189" t="str">
        <f t="shared" si="0"/>
        <v>2000003341</v>
      </c>
      <c r="C13" s="3009" t="s">
        <v>97</v>
      </c>
      <c r="D13" s="1494"/>
      <c r="E13" s="1921"/>
      <c r="F13" s="1493" t="s">
        <v>18</v>
      </c>
      <c r="G13" s="1495"/>
      <c r="H13" s="1495"/>
      <c r="I13" s="3058" t="s">
        <v>7249</v>
      </c>
      <c r="J13" s="3009" t="s">
        <v>65</v>
      </c>
      <c r="K13" s="1495" t="s">
        <v>117</v>
      </c>
      <c r="L13" s="3233" t="s">
        <v>7978</v>
      </c>
      <c r="M13" s="3212">
        <v>850</v>
      </c>
      <c r="N13" s="2907" t="s">
        <v>7979</v>
      </c>
      <c r="O13" s="1493"/>
      <c r="P13" s="2590"/>
      <c r="Q13" s="3234" t="s">
        <v>7252</v>
      </c>
      <c r="R13" s="1559"/>
      <c r="S13" s="1559"/>
      <c r="T13" s="1559"/>
      <c r="U13" s="1559"/>
      <c r="V13" s="1559"/>
      <c r="AD13" s="1467"/>
      <c r="AE13" s="1467"/>
      <c r="AF13" s="1467"/>
      <c r="AG13" s="1467"/>
      <c r="AH13" s="1467"/>
      <c r="AI13" s="1467"/>
    </row>
    <row r="14" spans="1:35" s="2150" customFormat="1" ht="58.6" customHeight="1">
      <c r="A14" s="3784"/>
      <c r="B14" s="3189" t="str">
        <f t="shared" si="0"/>
        <v>2000003372</v>
      </c>
      <c r="C14" s="3009" t="s">
        <v>97</v>
      </c>
      <c r="D14" s="3210"/>
      <c r="E14" s="3007"/>
      <c r="F14" s="1493" t="s">
        <v>18</v>
      </c>
      <c r="G14" s="3007"/>
      <c r="H14" s="3007"/>
      <c r="I14" s="3058" t="s">
        <v>7249</v>
      </c>
      <c r="J14" s="3009" t="s">
        <v>65</v>
      </c>
      <c r="K14" s="3007" t="s">
        <v>117</v>
      </c>
      <c r="L14" s="3235" t="s">
        <v>7980</v>
      </c>
      <c r="M14" s="3236">
        <v>400</v>
      </c>
      <c r="N14" s="2907" t="s">
        <v>5392</v>
      </c>
      <c r="O14" s="3019"/>
      <c r="P14" s="3206"/>
      <c r="Q14" s="3306">
        <v>1</v>
      </c>
    </row>
    <row r="15" spans="1:35" s="2150" customFormat="1" ht="58.6" customHeight="1">
      <c r="A15" s="3784"/>
      <c r="B15" s="3189" t="str">
        <f t="shared" si="0"/>
        <v>2000003389</v>
      </c>
      <c r="C15" s="3009" t="s">
        <v>97</v>
      </c>
      <c r="D15" s="3210"/>
      <c r="E15" s="3007"/>
      <c r="F15" s="1493" t="s">
        <v>18</v>
      </c>
      <c r="G15" s="3007"/>
      <c r="H15" s="3007"/>
      <c r="I15" s="3058" t="s">
        <v>7249</v>
      </c>
      <c r="J15" s="3009" t="s">
        <v>65</v>
      </c>
      <c r="K15" s="3007" t="s">
        <v>117</v>
      </c>
      <c r="L15" s="3235" t="s">
        <v>7981</v>
      </c>
      <c r="M15" s="3236">
        <v>1400</v>
      </c>
      <c r="N15" s="2907" t="s">
        <v>7479</v>
      </c>
      <c r="O15" s="3019"/>
      <c r="P15" s="3206"/>
      <c r="Q15" s="3306">
        <v>1</v>
      </c>
    </row>
    <row r="16" spans="1:35" s="2150" customFormat="1" ht="58.6" customHeight="1">
      <c r="A16" s="3784"/>
      <c r="B16" s="3189" t="str">
        <f t="shared" si="0"/>
        <v>2000003390</v>
      </c>
      <c r="C16" s="3009" t="s">
        <v>97</v>
      </c>
      <c r="D16" s="3210"/>
      <c r="E16" s="3007"/>
      <c r="F16" s="1493" t="s">
        <v>18</v>
      </c>
      <c r="G16" s="3007"/>
      <c r="H16" s="3007"/>
      <c r="I16" s="3058" t="s">
        <v>7249</v>
      </c>
      <c r="J16" s="3009" t="s">
        <v>65</v>
      </c>
      <c r="K16" s="3007" t="s">
        <v>117</v>
      </c>
      <c r="L16" s="3235" t="s">
        <v>7982</v>
      </c>
      <c r="M16" s="3236">
        <v>520</v>
      </c>
      <c r="N16" s="2907" t="s">
        <v>5392</v>
      </c>
      <c r="O16" s="3019"/>
      <c r="P16" s="3206"/>
      <c r="Q16" s="3306">
        <v>1</v>
      </c>
    </row>
    <row r="17" spans="1:34" s="2150" customFormat="1" ht="58.6" customHeight="1">
      <c r="A17" s="3864">
        <v>5</v>
      </c>
      <c r="B17" s="3189" t="str">
        <f t="shared" si="0"/>
        <v>2200002214</v>
      </c>
      <c r="C17" s="1921" t="s">
        <v>3595</v>
      </c>
      <c r="D17" s="3238">
        <v>4300</v>
      </c>
      <c r="E17" s="3021" t="s">
        <v>7983</v>
      </c>
      <c r="F17" s="1902" t="s">
        <v>26</v>
      </c>
      <c r="G17" s="3021" t="s">
        <v>7956</v>
      </c>
      <c r="H17" s="3021" t="s">
        <v>7984</v>
      </c>
      <c r="I17" s="1495" t="s">
        <v>7780</v>
      </c>
      <c r="J17" s="1902" t="s">
        <v>65</v>
      </c>
      <c r="K17" s="2187" t="s">
        <v>1000</v>
      </c>
      <c r="L17" s="1862" t="s">
        <v>7985</v>
      </c>
      <c r="M17" s="2583">
        <v>2400</v>
      </c>
      <c r="N17" s="2907" t="s">
        <v>7986</v>
      </c>
      <c r="O17" s="3019"/>
      <c r="P17" s="3023"/>
      <c r="Q17" s="3306">
        <v>1</v>
      </c>
      <c r="R17" s="2643"/>
      <c r="S17" s="2643"/>
      <c r="T17" s="2643"/>
      <c r="U17" s="2643"/>
      <c r="V17" s="2643"/>
      <c r="W17" s="2643"/>
      <c r="X17" s="2643"/>
      <c r="Y17" s="2643"/>
      <c r="Z17" s="2643"/>
      <c r="AA17" s="2643"/>
      <c r="AB17" s="2643"/>
      <c r="AC17" s="2643"/>
    </row>
    <row r="18" spans="1:34" s="1548" customFormat="1" ht="58.6" customHeight="1">
      <c r="A18" s="3864"/>
      <c r="B18" s="3189" t="str">
        <f t="shared" si="0"/>
        <v>2000003349</v>
      </c>
      <c r="C18" s="3287" t="s">
        <v>3595</v>
      </c>
      <c r="D18" s="3240"/>
      <c r="E18" s="3007"/>
      <c r="F18" s="1493" t="s">
        <v>26</v>
      </c>
      <c r="G18" s="3007"/>
      <c r="H18" s="3007"/>
      <c r="I18" s="3058" t="s">
        <v>7249</v>
      </c>
      <c r="J18" s="1902" t="s">
        <v>65</v>
      </c>
      <c r="K18" s="2187" t="s">
        <v>1000</v>
      </c>
      <c r="L18" s="3241" t="s">
        <v>7987</v>
      </c>
      <c r="M18" s="3040">
        <v>1000</v>
      </c>
      <c r="N18" s="2907" t="s">
        <v>7407</v>
      </c>
      <c r="O18" s="3009"/>
      <c r="P18" s="3010"/>
      <c r="Q18" s="3306">
        <v>1</v>
      </c>
      <c r="R18" s="1467"/>
      <c r="S18" s="1467"/>
      <c r="T18" s="1467"/>
      <c r="U18" s="1467"/>
      <c r="V18" s="1467"/>
      <c r="W18" s="1467"/>
      <c r="X18" s="1467"/>
      <c r="Y18" s="1467"/>
      <c r="Z18" s="1467"/>
      <c r="AA18" s="1467"/>
      <c r="AB18" s="1467"/>
      <c r="AC18" s="1467"/>
    </row>
    <row r="19" spans="1:34" s="1548" customFormat="1" ht="58.6" customHeight="1">
      <c r="A19" s="3864"/>
      <c r="B19" s="3189" t="str">
        <f t="shared" si="0"/>
        <v>2000003379</v>
      </c>
      <c r="C19" s="3287" t="s">
        <v>3595</v>
      </c>
      <c r="D19" s="1668"/>
      <c r="E19" s="1495"/>
      <c r="F19" s="1493" t="s">
        <v>26</v>
      </c>
      <c r="G19" s="1495"/>
      <c r="H19" s="1495"/>
      <c r="I19" s="3058" t="s">
        <v>7249</v>
      </c>
      <c r="J19" s="1902" t="s">
        <v>65</v>
      </c>
      <c r="K19" s="2187" t="s">
        <v>1000</v>
      </c>
      <c r="L19" s="1600" t="s">
        <v>7988</v>
      </c>
      <c r="M19" s="2357">
        <v>400</v>
      </c>
      <c r="N19" s="2907" t="s">
        <v>7499</v>
      </c>
      <c r="O19" s="1493"/>
      <c r="P19" s="1859"/>
      <c r="Q19" s="3306">
        <v>1</v>
      </c>
      <c r="R19" s="1852"/>
    </row>
    <row r="20" spans="1:34" s="1467" customFormat="1" ht="58.6" customHeight="1">
      <c r="A20" s="3864"/>
      <c r="B20" s="3189" t="str">
        <f t="shared" si="0"/>
        <v>2200002215</v>
      </c>
      <c r="C20" s="3287" t="s">
        <v>3595</v>
      </c>
      <c r="D20" s="1668"/>
      <c r="E20" s="1495"/>
      <c r="F20" s="1493" t="s">
        <v>26</v>
      </c>
      <c r="G20" s="1495"/>
      <c r="H20" s="1495"/>
      <c r="I20" s="1495" t="s">
        <v>7780</v>
      </c>
      <c r="J20" s="1902" t="s">
        <v>65</v>
      </c>
      <c r="K20" s="2187" t="s">
        <v>1000</v>
      </c>
      <c r="L20" s="1600" t="s">
        <v>7989</v>
      </c>
      <c r="M20" s="2357">
        <v>211</v>
      </c>
      <c r="N20" s="2907" t="s">
        <v>7990</v>
      </c>
      <c r="O20" s="1493"/>
      <c r="P20" s="1859"/>
      <c r="Q20" s="3306" t="s">
        <v>7252</v>
      </c>
      <c r="R20" s="1852"/>
    </row>
    <row r="21" spans="1:34" s="1467" customFormat="1" ht="58.6" customHeight="1">
      <c r="A21" s="3864"/>
      <c r="B21" s="3189" t="str">
        <f t="shared" si="0"/>
        <v>2200002150</v>
      </c>
      <c r="C21" s="3287" t="s">
        <v>3595</v>
      </c>
      <c r="D21" s="1668"/>
      <c r="E21" s="1495"/>
      <c r="F21" s="1493" t="s">
        <v>26</v>
      </c>
      <c r="G21" s="1495"/>
      <c r="H21" s="1495"/>
      <c r="I21" s="1495" t="s">
        <v>7780</v>
      </c>
      <c r="J21" s="1902" t="s">
        <v>65</v>
      </c>
      <c r="K21" s="2187" t="s">
        <v>1000</v>
      </c>
      <c r="L21" s="2875" t="s">
        <v>7991</v>
      </c>
      <c r="M21" s="3242">
        <v>285</v>
      </c>
      <c r="N21" s="2907" t="s">
        <v>7992</v>
      </c>
      <c r="O21" s="1493"/>
      <c r="P21" s="1859"/>
      <c r="Q21" s="3306" t="s">
        <v>7252</v>
      </c>
      <c r="R21" s="1852"/>
    </row>
    <row r="22" spans="1:34" s="2643" customFormat="1" ht="58.6" customHeight="1">
      <c r="A22" s="3776">
        <v>6</v>
      </c>
      <c r="B22" s="3189" t="str">
        <f t="shared" si="0"/>
        <v>2000003339</v>
      </c>
      <c r="C22" s="3019" t="s">
        <v>5579</v>
      </c>
      <c r="D22" s="3209">
        <v>4200</v>
      </c>
      <c r="E22" s="3021" t="s">
        <v>7971</v>
      </c>
      <c r="F22" s="1902" t="s">
        <v>20</v>
      </c>
      <c r="G22" s="3027" t="s">
        <v>7993</v>
      </c>
      <c r="H22" s="3021" t="s">
        <v>7994</v>
      </c>
      <c r="I22" s="1921" t="s">
        <v>7249</v>
      </c>
      <c r="J22" s="1921" t="s">
        <v>65</v>
      </c>
      <c r="K22" s="3021" t="s">
        <v>117</v>
      </c>
      <c r="L22" s="2904" t="s">
        <v>7995</v>
      </c>
      <c r="M22" s="3036">
        <v>737</v>
      </c>
      <c r="N22" s="2907" t="s">
        <v>6186</v>
      </c>
      <c r="O22" s="3019"/>
      <c r="P22" s="3019"/>
      <c r="Q22" s="3306" t="s">
        <v>7252</v>
      </c>
      <c r="R22" s="3228"/>
    </row>
    <row r="23" spans="1:34" s="1467" customFormat="1" ht="58.6" customHeight="1">
      <c r="A23" s="3776"/>
      <c r="B23" s="3189" t="str">
        <f t="shared" si="0"/>
        <v>2000003373</v>
      </c>
      <c r="C23" s="3009" t="s">
        <v>5579</v>
      </c>
      <c r="D23" s="3210"/>
      <c r="E23" s="3021"/>
      <c r="F23" s="1493" t="s">
        <v>20</v>
      </c>
      <c r="G23" s="3008"/>
      <c r="H23" s="3007"/>
      <c r="I23" s="1495" t="s">
        <v>7249</v>
      </c>
      <c r="J23" s="3019" t="s">
        <v>65</v>
      </c>
      <c r="K23" s="3021" t="s">
        <v>117</v>
      </c>
      <c r="L23" s="3229" t="s">
        <v>7996</v>
      </c>
      <c r="M23" s="3230">
        <v>2000</v>
      </c>
      <c r="N23" s="2907" t="s">
        <v>6186</v>
      </c>
      <c r="O23" s="3009"/>
      <c r="P23" s="3009"/>
      <c r="Q23" s="3306" t="s">
        <v>7252</v>
      </c>
      <c r="R23" s="3231"/>
    </row>
    <row r="24" spans="1:34" s="1467" customFormat="1" ht="67.599999999999994" customHeight="1">
      <c r="A24" s="3776"/>
      <c r="B24" s="3189" t="str">
        <f t="shared" si="0"/>
        <v>2200002221</v>
      </c>
      <c r="C24" s="3009" t="s">
        <v>5579</v>
      </c>
      <c r="D24" s="3210"/>
      <c r="E24" s="3021"/>
      <c r="F24" s="1493" t="s">
        <v>20</v>
      </c>
      <c r="G24" s="3008"/>
      <c r="H24" s="3007"/>
      <c r="I24" s="3007" t="s">
        <v>7249</v>
      </c>
      <c r="J24" s="3009" t="s">
        <v>65</v>
      </c>
      <c r="K24" s="3007" t="s">
        <v>142</v>
      </c>
      <c r="L24" s="2878" t="s">
        <v>7997</v>
      </c>
      <c r="M24" s="3040">
        <v>1450</v>
      </c>
      <c r="N24" s="2907" t="s">
        <v>7974</v>
      </c>
      <c r="O24" s="3009"/>
      <c r="P24" s="3009"/>
      <c r="Q24" s="3306" t="s">
        <v>7252</v>
      </c>
      <c r="R24" s="3231"/>
    </row>
    <row r="25" spans="1:34" s="2643" customFormat="1" ht="58.6" customHeight="1">
      <c r="A25" s="3776">
        <v>7</v>
      </c>
      <c r="B25" s="3189" t="str">
        <f t="shared" si="0"/>
        <v>2000003368</v>
      </c>
      <c r="C25" s="3019" t="s">
        <v>7998</v>
      </c>
      <c r="D25" s="2607">
        <v>3250</v>
      </c>
      <c r="E25" s="3021" t="s">
        <v>7999</v>
      </c>
      <c r="F25" s="3019" t="s">
        <v>24</v>
      </c>
      <c r="G25" s="1921" t="s">
        <v>8000</v>
      </c>
      <c r="H25" s="3269" t="s">
        <v>8001</v>
      </c>
      <c r="I25" s="1921" t="s">
        <v>7249</v>
      </c>
      <c r="J25" s="1902" t="s">
        <v>65</v>
      </c>
      <c r="K25" s="3152" t="s">
        <v>5400</v>
      </c>
      <c r="L25" s="3270" t="s">
        <v>8002</v>
      </c>
      <c r="M25" s="3036">
        <v>1284</v>
      </c>
      <c r="N25" s="2907" t="s">
        <v>8003</v>
      </c>
      <c r="O25" s="1902"/>
      <c r="P25" s="1745"/>
      <c r="Q25" s="3232">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6" customHeight="1">
      <c r="A26" s="3776"/>
      <c r="B26" s="3189" t="str">
        <f t="shared" si="0"/>
        <v>2000003188</v>
      </c>
      <c r="C26" s="3009" t="s">
        <v>7998</v>
      </c>
      <c r="D26" s="1826"/>
      <c r="E26" s="3021"/>
      <c r="F26" s="3009" t="s">
        <v>24</v>
      </c>
      <c r="G26" s="1495"/>
      <c r="H26" s="1495"/>
      <c r="I26" s="1495" t="s">
        <v>7249</v>
      </c>
      <c r="J26" s="1493" t="s">
        <v>65</v>
      </c>
      <c r="K26" s="1495" t="s">
        <v>5400</v>
      </c>
      <c r="L26" s="2878" t="s">
        <v>8004</v>
      </c>
      <c r="M26" s="3037">
        <v>1800</v>
      </c>
      <c r="N26" s="2907" t="s">
        <v>8005</v>
      </c>
      <c r="O26" s="1493">
        <v>1700</v>
      </c>
      <c r="P26" s="2590"/>
      <c r="Q26" s="3232">
        <v>1</v>
      </c>
      <c r="R26" s="1790"/>
      <c r="S26" s="1790"/>
    </row>
    <row r="27" spans="1:34" s="1548" customFormat="1" ht="58.6" customHeight="1">
      <c r="A27" s="3776"/>
      <c r="B27" s="3189" t="str">
        <f t="shared" si="0"/>
        <v>2000003186</v>
      </c>
      <c r="C27" s="3009" t="s">
        <v>7998</v>
      </c>
      <c r="D27" s="1826"/>
      <c r="E27" s="3021"/>
      <c r="F27" s="3009" t="s">
        <v>24</v>
      </c>
      <c r="G27" s="1495"/>
      <c r="H27" s="1495"/>
      <c r="I27" s="1495" t="s">
        <v>7249</v>
      </c>
      <c r="J27" s="1493" t="s">
        <v>65</v>
      </c>
      <c r="K27" s="1495" t="s">
        <v>5400</v>
      </c>
      <c r="L27" s="2878" t="s">
        <v>8006</v>
      </c>
      <c r="M27" s="3037">
        <v>100</v>
      </c>
      <c r="N27" s="2907" t="s">
        <v>7499</v>
      </c>
      <c r="O27" s="3009"/>
      <c r="P27" s="2590"/>
      <c r="Q27" s="3232">
        <v>1</v>
      </c>
      <c r="R27" s="1790"/>
      <c r="S27" s="1790"/>
      <c r="T27" s="1493"/>
      <c r="U27" s="1493"/>
      <c r="V27" s="1493"/>
    </row>
    <row r="28" spans="1:34" s="1467" customFormat="1" ht="58.6" customHeight="1">
      <c r="A28" s="3776"/>
      <c r="B28" s="3189" t="str">
        <f t="shared" si="0"/>
        <v>2000003254</v>
      </c>
      <c r="C28" s="3009" t="s">
        <v>7998</v>
      </c>
      <c r="D28" s="1494"/>
      <c r="E28" s="3021"/>
      <c r="F28" s="3009" t="s">
        <v>24</v>
      </c>
      <c r="G28" s="1495"/>
      <c r="H28" s="1495"/>
      <c r="I28" s="1495" t="s">
        <v>7249</v>
      </c>
      <c r="J28" s="1493" t="s">
        <v>65</v>
      </c>
      <c r="K28" s="1495" t="s">
        <v>5400</v>
      </c>
      <c r="L28" s="3233" t="s">
        <v>8007</v>
      </c>
      <c r="M28" s="3037">
        <v>131</v>
      </c>
      <c r="N28" s="2907" t="s">
        <v>7499</v>
      </c>
      <c r="O28" s="1493"/>
      <c r="P28" s="2590"/>
      <c r="Q28" s="3232">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6" customHeight="1">
      <c r="A29" s="3216">
        <v>8</v>
      </c>
      <c r="B29" s="3189" t="str">
        <f t="shared" si="0"/>
        <v>2000003380</v>
      </c>
      <c r="C29" s="3019" t="s">
        <v>3499</v>
      </c>
      <c r="D29" s="3210">
        <v>4000</v>
      </c>
      <c r="E29" s="3021" t="s">
        <v>7971</v>
      </c>
      <c r="F29" s="3009" t="s">
        <v>20</v>
      </c>
      <c r="G29" s="3007" t="s">
        <v>8008</v>
      </c>
      <c r="H29" s="3007"/>
      <c r="I29" s="1495" t="s">
        <v>7249</v>
      </c>
      <c r="J29" s="3009" t="s">
        <v>65</v>
      </c>
      <c r="K29" s="3007" t="s">
        <v>294</v>
      </c>
      <c r="L29" s="2878" t="s">
        <v>8009</v>
      </c>
      <c r="M29" s="3217">
        <v>4000</v>
      </c>
      <c r="N29" s="2907" t="s">
        <v>6593</v>
      </c>
      <c r="O29" s="3009">
        <v>1000</v>
      </c>
      <c r="P29" s="3218"/>
      <c r="Q29" s="3306">
        <v>1</v>
      </c>
    </row>
    <row r="30" spans="1:34" s="2150" customFormat="1" ht="70.5" customHeight="1">
      <c r="A30" s="3863">
        <v>9</v>
      </c>
      <c r="B30" s="3189" t="str">
        <f t="shared" si="0"/>
        <v>2000003378</v>
      </c>
      <c r="C30" s="3019" t="s">
        <v>3534</v>
      </c>
      <c r="D30" s="3209">
        <v>9280</v>
      </c>
      <c r="E30" s="3021" t="s">
        <v>8010</v>
      </c>
      <c r="F30" s="3019" t="s">
        <v>14</v>
      </c>
      <c r="G30" s="1921" t="s">
        <v>8011</v>
      </c>
      <c r="H30" s="1921" t="s">
        <v>7957</v>
      </c>
      <c r="I30" s="3021" t="s">
        <v>7249</v>
      </c>
      <c r="J30" s="3019" t="s">
        <v>65</v>
      </c>
      <c r="K30" s="3021" t="s">
        <v>106</v>
      </c>
      <c r="L30" s="3229" t="s">
        <v>8012</v>
      </c>
      <c r="M30" s="3272">
        <v>375</v>
      </c>
      <c r="N30" s="2196" t="s">
        <v>6593</v>
      </c>
      <c r="O30" s="3019"/>
      <c r="P30" s="3206"/>
      <c r="Q30" s="3306">
        <v>1</v>
      </c>
    </row>
    <row r="31" spans="1:34" s="1467" customFormat="1" ht="58.6" customHeight="1">
      <c r="A31" s="3863"/>
      <c r="B31" s="3189" t="str">
        <f t="shared" si="0"/>
        <v>2000003375</v>
      </c>
      <c r="C31" s="3009" t="s">
        <v>3534</v>
      </c>
      <c r="D31" s="3210"/>
      <c r="E31" s="3021"/>
      <c r="F31" s="3009" t="s">
        <v>14</v>
      </c>
      <c r="G31" s="3007"/>
      <c r="H31" s="3007"/>
      <c r="I31" s="3021" t="s">
        <v>7249</v>
      </c>
      <c r="J31" s="1493" t="s">
        <v>65</v>
      </c>
      <c r="K31" s="3155" t="s">
        <v>106</v>
      </c>
      <c r="L31" s="3213" t="s">
        <v>8013</v>
      </c>
      <c r="M31" s="3040">
        <v>1044</v>
      </c>
      <c r="N31" s="2907" t="s">
        <v>7407</v>
      </c>
      <c r="O31" s="3009"/>
      <c r="P31" s="3010"/>
      <c r="Q31" s="3232">
        <v>1</v>
      </c>
    </row>
    <row r="32" spans="1:34" s="2150" customFormat="1" ht="58.6" customHeight="1">
      <c r="A32" s="3863"/>
      <c r="B32" s="3189" t="str">
        <f t="shared" si="0"/>
        <v>2000003413</v>
      </c>
      <c r="C32" s="3009" t="s">
        <v>3534</v>
      </c>
      <c r="D32" s="3209"/>
      <c r="E32" s="3021"/>
      <c r="F32" s="3009" t="s">
        <v>14</v>
      </c>
      <c r="G32" s="3021"/>
      <c r="H32" s="3021"/>
      <c r="I32" s="3021" t="s">
        <v>7249</v>
      </c>
      <c r="J32" s="1902" t="s">
        <v>65</v>
      </c>
      <c r="K32" s="3152" t="s">
        <v>106</v>
      </c>
      <c r="L32" s="3186" t="s">
        <v>8014</v>
      </c>
      <c r="M32" s="3036">
        <v>2600</v>
      </c>
      <c r="N32" s="2196" t="s">
        <v>6593</v>
      </c>
      <c r="O32" s="3019"/>
      <c r="P32" s="3023"/>
      <c r="Q32" s="3306">
        <v>1</v>
      </c>
      <c r="R32" s="2643"/>
      <c r="S32" s="2643"/>
      <c r="T32" s="2643"/>
      <c r="U32" s="2643"/>
      <c r="V32" s="2643"/>
      <c r="W32" s="2643"/>
      <c r="X32" s="2643"/>
      <c r="Y32" s="2643"/>
      <c r="Z32" s="2643"/>
      <c r="AA32" s="2643"/>
      <c r="AB32" s="2643"/>
      <c r="AC32" s="2643"/>
    </row>
    <row r="33" spans="1:35" s="1548" customFormat="1" ht="58.6" customHeight="1">
      <c r="A33" s="3863"/>
      <c r="B33" s="3189" t="str">
        <f t="shared" si="0"/>
        <v>2000003386</v>
      </c>
      <c r="C33" s="3009" t="s">
        <v>3534</v>
      </c>
      <c r="D33" s="2757"/>
      <c r="F33" s="3009" t="s">
        <v>14</v>
      </c>
      <c r="H33" s="3007"/>
      <c r="I33" s="3275" t="s">
        <v>7249</v>
      </c>
      <c r="J33" s="3009" t="s">
        <v>65</v>
      </c>
      <c r="K33" s="3007" t="s">
        <v>106</v>
      </c>
      <c r="L33" s="2878" t="s">
        <v>8015</v>
      </c>
      <c r="M33" s="3040">
        <v>500</v>
      </c>
      <c r="N33" s="2196" t="s">
        <v>6593</v>
      </c>
      <c r="O33" s="3009"/>
      <c r="P33" s="3120"/>
      <c r="Q33" s="3306">
        <v>1</v>
      </c>
      <c r="R33" s="1467"/>
      <c r="S33" s="1467"/>
      <c r="T33" s="1467"/>
      <c r="U33" s="1467"/>
      <c r="V33" s="1467"/>
      <c r="W33" s="1467"/>
      <c r="X33" s="1467"/>
      <c r="Y33" s="1467"/>
      <c r="Z33" s="1467"/>
      <c r="AA33" s="1467"/>
      <c r="AB33" s="1467"/>
      <c r="AC33" s="1467"/>
    </row>
    <row r="34" spans="1:35" s="1467" customFormat="1" ht="58.6" customHeight="1">
      <c r="A34" s="3863"/>
      <c r="B34" s="3189" t="str">
        <f t="shared" si="0"/>
        <v>2000003369</v>
      </c>
      <c r="C34" s="3009" t="s">
        <v>8016</v>
      </c>
      <c r="D34" s="1494"/>
      <c r="E34" s="1495"/>
      <c r="F34" s="3009" t="s">
        <v>14</v>
      </c>
      <c r="G34" s="1495"/>
      <c r="H34" s="1495"/>
      <c r="I34" s="1624" t="s">
        <v>7249</v>
      </c>
      <c r="J34" s="1493" t="s">
        <v>65</v>
      </c>
      <c r="K34" s="1495" t="s">
        <v>164</v>
      </c>
      <c r="L34" s="1547" t="s">
        <v>8017</v>
      </c>
      <c r="M34" s="3037">
        <v>1700</v>
      </c>
      <c r="N34" s="2196" t="s">
        <v>6593</v>
      </c>
      <c r="O34" s="1493"/>
      <c r="P34" s="3224"/>
      <c r="Q34" s="3306">
        <v>1</v>
      </c>
      <c r="R34" s="3225"/>
      <c r="S34" s="3053"/>
      <c r="T34" s="1474"/>
      <c r="U34" s="3226"/>
      <c r="V34" s="1634"/>
      <c r="W34" s="1474"/>
      <c r="X34" s="2024"/>
      <c r="Y34" s="2024"/>
      <c r="Z34" s="1493"/>
      <c r="AA34" s="1495"/>
      <c r="AB34" s="1551"/>
      <c r="AC34" s="3227"/>
    </row>
    <row r="35" spans="1:35" s="2150" customFormat="1" ht="58.6" customHeight="1">
      <c r="A35" s="3863"/>
      <c r="B35" s="3189" t="str">
        <f t="shared" si="0"/>
        <v>2000003309</v>
      </c>
      <c r="C35" s="3009" t="s">
        <v>8016</v>
      </c>
      <c r="D35" s="3210"/>
      <c r="E35" s="3021"/>
      <c r="F35" s="3009" t="s">
        <v>14</v>
      </c>
      <c r="G35" s="3007"/>
      <c r="H35" s="3007"/>
      <c r="I35" s="3007" t="s">
        <v>7249</v>
      </c>
      <c r="J35" s="3009" t="s">
        <v>65</v>
      </c>
      <c r="K35" s="3007" t="s">
        <v>164</v>
      </c>
      <c r="L35" s="2878" t="s">
        <v>8018</v>
      </c>
      <c r="M35" s="3040">
        <v>3000</v>
      </c>
      <c r="N35" s="2196" t="s">
        <v>5392</v>
      </c>
      <c r="O35" s="3009"/>
      <c r="P35" s="3120"/>
      <c r="Q35" s="3306">
        <v>1</v>
      </c>
      <c r="R35" s="1467"/>
      <c r="S35" s="1467"/>
      <c r="T35" s="1467"/>
      <c r="U35" s="1467"/>
      <c r="V35" s="1467"/>
      <c r="W35" s="1467"/>
      <c r="X35" s="1467"/>
      <c r="Y35" s="1467"/>
      <c r="Z35" s="1467"/>
      <c r="AA35" s="1467"/>
      <c r="AB35" s="1467"/>
    </row>
    <row r="36" spans="1:35" s="1467" customFormat="1" ht="58.6" customHeight="1">
      <c r="A36" s="3863">
        <v>10</v>
      </c>
      <c r="B36" s="3189" t="str">
        <f t="shared" ref="B36:B67" si="1">TEXT(LEFT(L36,10),"0000000000")</f>
        <v>2000003364</v>
      </c>
      <c r="C36" s="3019" t="s">
        <v>3316</v>
      </c>
      <c r="D36" s="2607">
        <v>10500</v>
      </c>
      <c r="E36" s="3021" t="s">
        <v>8019</v>
      </c>
      <c r="F36" s="3019" t="s">
        <v>16</v>
      </c>
      <c r="G36" s="1921" t="s">
        <v>8020</v>
      </c>
      <c r="H36" s="1921" t="s">
        <v>8021</v>
      </c>
      <c r="I36" s="1921" t="s">
        <v>7249</v>
      </c>
      <c r="J36" s="3019" t="s">
        <v>65</v>
      </c>
      <c r="K36" s="1921" t="s">
        <v>164</v>
      </c>
      <c r="L36" s="2194" t="s">
        <v>8022</v>
      </c>
      <c r="M36" s="3041">
        <v>2040</v>
      </c>
      <c r="N36" s="2907" t="s">
        <v>7407</v>
      </c>
      <c r="O36" s="1902"/>
      <c r="P36" s="1745"/>
      <c r="Q36" s="3232">
        <v>1</v>
      </c>
      <c r="R36" s="2643"/>
      <c r="S36" s="2643"/>
      <c r="T36" s="2643"/>
      <c r="U36" s="2643"/>
      <c r="V36" s="2643"/>
    </row>
    <row r="37" spans="1:35" s="1548" customFormat="1" ht="58.6" customHeight="1">
      <c r="A37" s="3863"/>
      <c r="B37" s="3189" t="str">
        <f t="shared" si="1"/>
        <v>2000003308</v>
      </c>
      <c r="C37" s="3009" t="s">
        <v>3316</v>
      </c>
      <c r="D37" s="3210"/>
      <c r="E37" s="3021"/>
      <c r="F37" s="3009" t="s">
        <v>16</v>
      </c>
      <c r="G37" s="3007"/>
      <c r="H37" s="3007"/>
      <c r="I37" s="3007" t="s">
        <v>7249</v>
      </c>
      <c r="J37" s="3009" t="s">
        <v>65</v>
      </c>
      <c r="K37" s="3007" t="s">
        <v>164</v>
      </c>
      <c r="L37" s="2878" t="s">
        <v>8023</v>
      </c>
      <c r="M37" s="3040">
        <v>1096</v>
      </c>
      <c r="N37" s="2196" t="s">
        <v>5392</v>
      </c>
      <c r="O37" s="3009"/>
      <c r="P37" s="3120"/>
      <c r="Q37" s="3306">
        <v>1</v>
      </c>
      <c r="R37" s="1467"/>
      <c r="S37" s="1467"/>
      <c r="T37" s="1467"/>
      <c r="U37" s="1467"/>
      <c r="V37" s="1467"/>
      <c r="W37" s="1467"/>
      <c r="X37" s="1467"/>
      <c r="Y37" s="1467"/>
      <c r="Z37" s="1467"/>
      <c r="AA37" s="1467"/>
      <c r="AB37" s="1467"/>
      <c r="AC37" s="1467"/>
    </row>
    <row r="38" spans="1:35" s="1467" customFormat="1" ht="58.6" customHeight="1">
      <c r="A38" s="3863"/>
      <c r="B38" s="3189" t="str">
        <f t="shared" si="1"/>
        <v>2000003307</v>
      </c>
      <c r="C38" s="3009" t="s">
        <v>3316</v>
      </c>
      <c r="D38" s="3210"/>
      <c r="E38" s="3021"/>
      <c r="F38" s="3009" t="s">
        <v>16</v>
      </c>
      <c r="G38" s="3007"/>
      <c r="H38" s="3007"/>
      <c r="I38" s="3007" t="s">
        <v>7249</v>
      </c>
      <c r="J38" s="3009" t="s">
        <v>65</v>
      </c>
      <c r="K38" s="3007" t="s">
        <v>164</v>
      </c>
      <c r="L38" s="2878" t="s">
        <v>8024</v>
      </c>
      <c r="M38" s="3040">
        <v>2375</v>
      </c>
      <c r="N38" s="2907" t="s">
        <v>7536</v>
      </c>
      <c r="O38" s="3009"/>
      <c r="P38" s="3009"/>
      <c r="Q38" s="1748">
        <v>1</v>
      </c>
      <c r="R38" s="3045"/>
    </row>
    <row r="39" spans="1:35" s="1467" customFormat="1" ht="58.6" customHeight="1">
      <c r="A39" s="3863"/>
      <c r="B39" s="3189" t="str">
        <f t="shared" si="1"/>
        <v>2000003369</v>
      </c>
      <c r="C39" s="3009" t="s">
        <v>3316</v>
      </c>
      <c r="D39" s="1494"/>
      <c r="E39" s="1495"/>
      <c r="F39" s="3009" t="s">
        <v>16</v>
      </c>
      <c r="G39" s="1495"/>
      <c r="H39" s="1495"/>
      <c r="I39" s="1624" t="s">
        <v>7249</v>
      </c>
      <c r="J39" s="1493" t="s">
        <v>65</v>
      </c>
      <c r="K39" s="1495" t="s">
        <v>164</v>
      </c>
      <c r="L39" s="1547" t="s">
        <v>8025</v>
      </c>
      <c r="M39" s="3037">
        <v>4200</v>
      </c>
      <c r="N39" s="2196" t="s">
        <v>6593</v>
      </c>
      <c r="O39" s="1493"/>
      <c r="P39" s="3224"/>
      <c r="Q39" s="3306">
        <v>1</v>
      </c>
      <c r="R39" s="3225"/>
      <c r="S39" s="3053"/>
      <c r="T39" s="1474"/>
      <c r="U39" s="3226"/>
      <c r="V39" s="1634"/>
      <c r="W39" s="1474"/>
      <c r="X39" s="2024"/>
      <c r="Y39" s="2024"/>
      <c r="Z39" s="1493"/>
      <c r="AA39" s="1495"/>
      <c r="AB39" s="1551"/>
      <c r="AC39" s="3227"/>
    </row>
    <row r="40" spans="1:35" s="1548" customFormat="1" ht="58.6" customHeight="1">
      <c r="A40" s="3863"/>
      <c r="B40" s="3189" t="str">
        <f t="shared" si="1"/>
        <v>2000003240</v>
      </c>
      <c r="C40" s="3009" t="s">
        <v>3316</v>
      </c>
      <c r="D40" s="2607"/>
      <c r="E40" s="1921"/>
      <c r="F40" s="3009" t="s">
        <v>16</v>
      </c>
      <c r="G40" s="1921"/>
      <c r="H40" s="1921"/>
      <c r="I40" s="3094" t="s">
        <v>7249</v>
      </c>
      <c r="J40" s="1902" t="s">
        <v>65</v>
      </c>
      <c r="K40" s="1921" t="s">
        <v>4386</v>
      </c>
      <c r="L40" s="2904" t="s">
        <v>8026</v>
      </c>
      <c r="M40" s="3041">
        <v>170</v>
      </c>
      <c r="N40" s="2196" t="s">
        <v>6593</v>
      </c>
      <c r="O40" s="3009"/>
      <c r="P40" s="3120"/>
      <c r="Q40" s="3306" t="s">
        <v>7252</v>
      </c>
      <c r="R40" s="1467"/>
      <c r="S40" s="1467"/>
      <c r="T40" s="1467"/>
      <c r="U40" s="1467"/>
      <c r="V40" s="1467"/>
      <c r="W40" s="1467"/>
      <c r="X40" s="1467"/>
      <c r="Y40" s="1467"/>
      <c r="Z40" s="1467"/>
      <c r="AA40" s="1467"/>
      <c r="AB40" s="1467"/>
      <c r="AC40" s="1467"/>
    </row>
    <row r="41" spans="1:35" s="1548" customFormat="1" ht="58.6" customHeight="1">
      <c r="A41" s="3863"/>
      <c r="B41" s="3189" t="str">
        <f t="shared" si="1"/>
        <v>2000003242</v>
      </c>
      <c r="C41" s="3009" t="s">
        <v>3316</v>
      </c>
      <c r="D41" s="1494"/>
      <c r="E41" s="1921"/>
      <c r="F41" s="3009" t="s">
        <v>16</v>
      </c>
      <c r="G41" s="1495"/>
      <c r="H41" s="1495"/>
      <c r="I41" s="1495" t="s">
        <v>7249</v>
      </c>
      <c r="J41" s="1493" t="s">
        <v>65</v>
      </c>
      <c r="K41" s="1495" t="s">
        <v>4386</v>
      </c>
      <c r="L41" s="2878" t="s">
        <v>8027</v>
      </c>
      <c r="M41" s="3037">
        <v>620</v>
      </c>
      <c r="N41" s="2196" t="s">
        <v>6593</v>
      </c>
      <c r="O41" s="3009"/>
      <c r="P41" s="3120"/>
      <c r="Q41" s="3306" t="s">
        <v>7252</v>
      </c>
      <c r="R41" s="1467"/>
      <c r="S41" s="1467"/>
      <c r="T41" s="1467"/>
      <c r="U41" s="1467"/>
      <c r="V41" s="1467"/>
      <c r="W41" s="1467"/>
      <c r="X41" s="1467"/>
      <c r="Y41" s="1467"/>
      <c r="Z41" s="1467"/>
      <c r="AA41" s="1467"/>
      <c r="AB41" s="1467"/>
      <c r="AC41" s="1467"/>
    </row>
    <row r="42" spans="1:35" s="2643" customFormat="1" ht="58.6" customHeight="1">
      <c r="A42" s="3847">
        <v>11</v>
      </c>
      <c r="B42" s="3258" t="str">
        <f t="shared" si="1"/>
        <v>2200002219</v>
      </c>
      <c r="C42" s="3261" t="s">
        <v>234</v>
      </c>
      <c r="D42" s="3209">
        <v>11900</v>
      </c>
      <c r="E42" s="3273" t="s">
        <v>8019</v>
      </c>
      <c r="F42" s="3019" t="s">
        <v>14</v>
      </c>
      <c r="G42" s="1921" t="s">
        <v>8028</v>
      </c>
      <c r="H42" s="1921" t="s">
        <v>8029</v>
      </c>
      <c r="I42" s="3094" t="s">
        <v>7249</v>
      </c>
      <c r="J42" s="1902" t="s">
        <v>65</v>
      </c>
      <c r="K42" s="1921" t="s">
        <v>1179</v>
      </c>
      <c r="L42" s="3186" t="s">
        <v>8030</v>
      </c>
      <c r="M42" s="3040">
        <v>258</v>
      </c>
      <c r="N42" s="3021" t="s">
        <v>7990</v>
      </c>
      <c r="O42" s="1902"/>
      <c r="P42" s="1911"/>
      <c r="Q42" s="3316" t="s">
        <v>7252</v>
      </c>
      <c r="R42" s="2263"/>
    </row>
    <row r="43" spans="1:35" s="2643" customFormat="1" ht="58.6" customHeight="1">
      <c r="A43" s="3848"/>
      <c r="B43" s="3258" t="str">
        <f t="shared" si="1"/>
        <v>2200002212</v>
      </c>
      <c r="C43" s="3007" t="s">
        <v>234</v>
      </c>
      <c r="D43" s="3240"/>
      <c r="E43" s="3007"/>
      <c r="F43" s="3009" t="s">
        <v>14</v>
      </c>
      <c r="G43" s="1495"/>
      <c r="H43" s="1495"/>
      <c r="I43" s="1495" t="s">
        <v>7780</v>
      </c>
      <c r="J43" s="1493" t="s">
        <v>65</v>
      </c>
      <c r="K43" s="1495" t="s">
        <v>1179</v>
      </c>
      <c r="L43" s="1600" t="s">
        <v>8031</v>
      </c>
      <c r="M43" s="2357">
        <v>1600</v>
      </c>
      <c r="N43" s="3021" t="s">
        <v>7407</v>
      </c>
      <c r="O43" s="1902"/>
      <c r="P43" s="1911"/>
      <c r="Q43" s="3316" t="s">
        <v>7252</v>
      </c>
      <c r="R43" s="2263"/>
    </row>
    <row r="44" spans="1:35" s="2643" customFormat="1" ht="58.6" customHeight="1">
      <c r="A44" s="3848"/>
      <c r="B44" s="3258" t="str">
        <f t="shared" si="1"/>
        <v>2000003355</v>
      </c>
      <c r="C44" s="3007" t="s">
        <v>234</v>
      </c>
      <c r="D44" s="3240"/>
      <c r="E44" s="3007"/>
      <c r="F44" s="3009" t="s">
        <v>14</v>
      </c>
      <c r="G44" s="1495"/>
      <c r="H44" s="1495"/>
      <c r="I44" s="1495" t="s">
        <v>7780</v>
      </c>
      <c r="J44" s="1493" t="s">
        <v>65</v>
      </c>
      <c r="K44" s="1495" t="s">
        <v>1179</v>
      </c>
      <c r="L44" s="3213" t="s">
        <v>8032</v>
      </c>
      <c r="M44" s="3040">
        <v>9200</v>
      </c>
      <c r="N44" s="3021" t="s">
        <v>7407</v>
      </c>
      <c r="O44" s="1493"/>
      <c r="P44" s="1547"/>
      <c r="Q44" s="3316" t="s">
        <v>7252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8" customHeight="1">
      <c r="A45" s="3849"/>
      <c r="B45" s="3258" t="str">
        <f t="shared" si="1"/>
        <v>2000003387</v>
      </c>
      <c r="C45" s="3007" t="s">
        <v>234</v>
      </c>
      <c r="D45" s="3240"/>
      <c r="E45" s="3007"/>
      <c r="F45" s="3009" t="s">
        <v>14</v>
      </c>
      <c r="G45" s="1495"/>
      <c r="H45" s="1495"/>
      <c r="I45" s="3058" t="s">
        <v>7249</v>
      </c>
      <c r="J45" s="1493" t="s">
        <v>65</v>
      </c>
      <c r="K45" s="1495" t="s">
        <v>1179</v>
      </c>
      <c r="L45" s="3241" t="s">
        <v>8033</v>
      </c>
      <c r="M45" s="3217">
        <v>800</v>
      </c>
      <c r="N45" s="1921" t="s">
        <v>5392</v>
      </c>
      <c r="O45" s="1493"/>
      <c r="P45" s="1547"/>
      <c r="Q45" s="3316" t="s">
        <v>7252</v>
      </c>
      <c r="R45" s="1545"/>
    </row>
    <row r="46" spans="1:35" s="2122" customFormat="1" ht="58.6" customHeight="1">
      <c r="A46" s="3784">
        <v>12</v>
      </c>
      <c r="B46" s="3258" t="str">
        <f t="shared" si="1"/>
        <v>2000003311</v>
      </c>
      <c r="C46" s="3025" t="s">
        <v>5335</v>
      </c>
      <c r="D46" s="1868">
        <v>4350</v>
      </c>
      <c r="E46" s="2118" t="s">
        <v>8010</v>
      </c>
      <c r="F46" s="1630" t="s">
        <v>14</v>
      </c>
      <c r="G46" s="1851" t="s">
        <v>8034</v>
      </c>
      <c r="H46" s="3149" t="s">
        <v>8035</v>
      </c>
      <c r="I46" s="1851" t="s">
        <v>7249</v>
      </c>
      <c r="J46" s="3028" t="s">
        <v>65</v>
      </c>
      <c r="K46" s="1851" t="s">
        <v>117</v>
      </c>
      <c r="L46" s="1628" t="s">
        <v>8036</v>
      </c>
      <c r="M46" s="3123">
        <v>2866</v>
      </c>
      <c r="N46" s="2196" t="s">
        <v>5392</v>
      </c>
      <c r="O46" s="1630"/>
      <c r="P46" s="2603"/>
      <c r="Q46" s="3317">
        <v>1</v>
      </c>
      <c r="R46" s="1882"/>
      <c r="S46" s="1882"/>
      <c r="T46" s="1883"/>
      <c r="U46" s="1883"/>
      <c r="V46" s="1883"/>
      <c r="W46" s="1883"/>
      <c r="X46" s="1883"/>
      <c r="Y46" s="1883"/>
      <c r="Z46" s="1883"/>
      <c r="AA46" s="1883"/>
      <c r="AB46" s="1883"/>
      <c r="AC46" s="1883"/>
    </row>
    <row r="47" spans="1:35" s="2643" customFormat="1" ht="58.6" customHeight="1">
      <c r="A47" s="3784"/>
      <c r="B47" s="3189" t="str">
        <f t="shared" si="1"/>
        <v>2200002221</v>
      </c>
      <c r="C47" s="3009" t="s">
        <v>5335</v>
      </c>
      <c r="D47" s="2483"/>
      <c r="E47" s="1495"/>
      <c r="F47" s="1493" t="s">
        <v>14</v>
      </c>
      <c r="G47" s="1495"/>
      <c r="H47" s="1495"/>
      <c r="I47" s="1495" t="s">
        <v>7249</v>
      </c>
      <c r="J47" s="1493" t="s">
        <v>65</v>
      </c>
      <c r="K47" s="1495" t="s">
        <v>142</v>
      </c>
      <c r="L47" s="2878" t="s">
        <v>7973</v>
      </c>
      <c r="M47" s="3217">
        <v>1405</v>
      </c>
      <c r="N47" s="2907" t="s">
        <v>7974</v>
      </c>
      <c r="O47" s="1493"/>
      <c r="P47" s="1843"/>
      <c r="Q47" s="3306" t="s">
        <v>7252</v>
      </c>
      <c r="R47" s="3053"/>
    </row>
    <row r="48" spans="1:35" s="2150" customFormat="1" ht="58.6" customHeight="1">
      <c r="A48" s="3216">
        <v>13</v>
      </c>
      <c r="B48" s="3189" t="str">
        <f t="shared" si="1"/>
        <v>2000003402</v>
      </c>
      <c r="C48" s="3019" t="s">
        <v>3499</v>
      </c>
      <c r="D48" s="3209">
        <v>4000</v>
      </c>
      <c r="E48" s="3021" t="s">
        <v>7999</v>
      </c>
      <c r="F48" s="3019" t="s">
        <v>20</v>
      </c>
      <c r="G48" s="3021" t="s">
        <v>8037</v>
      </c>
      <c r="H48" s="3021" t="s">
        <v>8038</v>
      </c>
      <c r="I48" s="3271" t="s">
        <v>7249</v>
      </c>
      <c r="J48" s="3019" t="s">
        <v>65</v>
      </c>
      <c r="K48" s="3021" t="s">
        <v>117</v>
      </c>
      <c r="L48" s="2904" t="s">
        <v>8039</v>
      </c>
      <c r="M48" s="3272">
        <v>4000</v>
      </c>
      <c r="N48" s="2907" t="s">
        <v>5392</v>
      </c>
      <c r="O48" s="3019"/>
      <c r="P48" s="3206"/>
      <c r="Q48" s="3306">
        <v>1</v>
      </c>
    </row>
    <row r="49" spans="1:29" s="1548" customFormat="1" ht="58.6" customHeight="1">
      <c r="A49" s="3863">
        <v>14</v>
      </c>
      <c r="B49" s="3189" t="str">
        <f t="shared" si="1"/>
        <v>2000003371</v>
      </c>
      <c r="C49" s="3019" t="s">
        <v>252</v>
      </c>
      <c r="D49" s="3209">
        <v>4000</v>
      </c>
      <c r="E49" s="3021" t="s">
        <v>7999</v>
      </c>
      <c r="F49" s="3019" t="s">
        <v>20</v>
      </c>
      <c r="G49" s="3021" t="s">
        <v>8011</v>
      </c>
      <c r="H49" s="3021" t="s">
        <v>8038</v>
      </c>
      <c r="I49" s="3065" t="s">
        <v>7249</v>
      </c>
      <c r="J49" s="3019" t="s">
        <v>65</v>
      </c>
      <c r="K49" s="3021" t="s">
        <v>117</v>
      </c>
      <c r="L49" s="3274" t="s">
        <v>8040</v>
      </c>
      <c r="M49" s="3230">
        <v>1000</v>
      </c>
      <c r="N49" s="2907" t="s">
        <v>5392</v>
      </c>
      <c r="O49" s="3009"/>
      <c r="P49" s="3218"/>
      <c r="Q49" s="3306">
        <v>1</v>
      </c>
    </row>
    <row r="50" spans="1:29" s="2150" customFormat="1" ht="58.6" customHeight="1">
      <c r="A50" s="3863"/>
      <c r="B50" s="3189" t="str">
        <f t="shared" si="1"/>
        <v>2000003372</v>
      </c>
      <c r="C50" s="3009" t="s">
        <v>252</v>
      </c>
      <c r="D50" s="3210"/>
      <c r="E50" s="3007"/>
      <c r="F50" s="3009" t="s">
        <v>20</v>
      </c>
      <c r="G50" s="3007"/>
      <c r="H50" s="3007"/>
      <c r="I50" s="3058" t="s">
        <v>7249</v>
      </c>
      <c r="J50" s="3009" t="s">
        <v>65</v>
      </c>
      <c r="K50" s="3007" t="s">
        <v>117</v>
      </c>
      <c r="L50" s="3235" t="s">
        <v>7980</v>
      </c>
      <c r="M50" s="3236">
        <v>1000</v>
      </c>
      <c r="N50" s="2907" t="s">
        <v>5392</v>
      </c>
      <c r="O50" s="3019"/>
      <c r="P50" s="3206"/>
      <c r="Q50" s="3306">
        <v>1</v>
      </c>
    </row>
    <row r="51" spans="1:29" s="2150" customFormat="1" ht="58.6" customHeight="1">
      <c r="A51" s="3863"/>
      <c r="B51" s="3189" t="str">
        <f t="shared" si="1"/>
        <v>2000003389</v>
      </c>
      <c r="C51" s="3009" t="s">
        <v>252</v>
      </c>
      <c r="D51" s="3210"/>
      <c r="E51" s="3007"/>
      <c r="F51" s="3009" t="s">
        <v>20</v>
      </c>
      <c r="G51" s="3007"/>
      <c r="H51" s="3007"/>
      <c r="I51" s="3058" t="s">
        <v>7249</v>
      </c>
      <c r="J51" s="3009" t="s">
        <v>65</v>
      </c>
      <c r="K51" s="3007" t="s">
        <v>117</v>
      </c>
      <c r="L51" s="3235" t="s">
        <v>8041</v>
      </c>
      <c r="M51" s="3236">
        <v>1700</v>
      </c>
      <c r="N51" s="2907" t="s">
        <v>7479</v>
      </c>
      <c r="O51" s="3019"/>
      <c r="P51" s="3206"/>
      <c r="Q51" s="3306">
        <v>1</v>
      </c>
    </row>
    <row r="52" spans="1:29" s="2150" customFormat="1" ht="58.6" customHeight="1">
      <c r="A52" s="3863"/>
      <c r="B52" s="3189" t="str">
        <f t="shared" si="1"/>
        <v>2000003390</v>
      </c>
      <c r="C52" s="3009" t="s">
        <v>252</v>
      </c>
      <c r="D52" s="3210"/>
      <c r="E52" s="3007"/>
      <c r="F52" s="3009" t="s">
        <v>20</v>
      </c>
      <c r="G52" s="3007"/>
      <c r="H52" s="3007"/>
      <c r="I52" s="3058" t="s">
        <v>7249</v>
      </c>
      <c r="J52" s="3009" t="s">
        <v>65</v>
      </c>
      <c r="K52" s="3007" t="s">
        <v>117</v>
      </c>
      <c r="L52" s="3235" t="s">
        <v>8042</v>
      </c>
      <c r="M52" s="3236">
        <v>480</v>
      </c>
      <c r="N52" s="2907" t="s">
        <v>7572</v>
      </c>
      <c r="O52" s="3019"/>
      <c r="P52" s="3206"/>
      <c r="Q52" s="3306">
        <v>1</v>
      </c>
    </row>
    <row r="53" spans="1:29" s="2150" customFormat="1" ht="58.6" customHeight="1">
      <c r="A53" s="3863">
        <v>15</v>
      </c>
      <c r="B53" s="3189" t="str">
        <f t="shared" si="1"/>
        <v>2000003383</v>
      </c>
      <c r="C53" s="3285" t="s">
        <v>3156</v>
      </c>
      <c r="D53" s="3286">
        <v>9800</v>
      </c>
      <c r="E53" s="3021" t="s">
        <v>8043</v>
      </c>
      <c r="F53" s="3019" t="s">
        <v>18</v>
      </c>
      <c r="G53" s="3021" t="s">
        <v>8044</v>
      </c>
      <c r="H53" s="3026" t="s">
        <v>8045</v>
      </c>
      <c r="I53" s="3007" t="s">
        <v>7249</v>
      </c>
      <c r="J53" s="3019" t="s">
        <v>65</v>
      </c>
      <c r="K53" s="3021" t="s">
        <v>66</v>
      </c>
      <c r="L53" s="3206" t="s">
        <v>8046</v>
      </c>
      <c r="M53" s="3272">
        <v>5800</v>
      </c>
      <c r="N53" s="2907" t="s">
        <v>5392</v>
      </c>
      <c r="O53" s="3019"/>
      <c r="P53" s="1745"/>
      <c r="Q53" s="3306">
        <v>1</v>
      </c>
      <c r="R53" s="2643"/>
      <c r="S53" s="2643"/>
      <c r="T53" s="2643"/>
      <c r="U53" s="2643"/>
      <c r="V53" s="2643"/>
      <c r="W53" s="2643"/>
      <c r="X53" s="2643"/>
      <c r="Y53" s="2643"/>
      <c r="Z53" s="2643"/>
      <c r="AA53" s="2643"/>
      <c r="AB53" s="2643"/>
      <c r="AC53" s="2643"/>
    </row>
    <row r="54" spans="1:29" s="2660" customFormat="1" ht="58.6" customHeight="1">
      <c r="A54" s="3863"/>
      <c r="B54" s="3189" t="str">
        <f t="shared" si="1"/>
        <v>2000003391</v>
      </c>
      <c r="C54" s="3287" t="s">
        <v>3156</v>
      </c>
      <c r="D54" s="3288"/>
      <c r="E54" s="3021" t="s">
        <v>8043</v>
      </c>
      <c r="F54" s="3282" t="s">
        <v>18</v>
      </c>
      <c r="G54" s="3121"/>
      <c r="H54" s="3121"/>
      <c r="I54" s="3121" t="s">
        <v>7249</v>
      </c>
      <c r="J54" s="1782" t="s">
        <v>65</v>
      </c>
      <c r="K54" s="3121" t="s">
        <v>1179</v>
      </c>
      <c r="L54" s="3233" t="s">
        <v>8047</v>
      </c>
      <c r="M54" s="3289">
        <v>4000</v>
      </c>
      <c r="N54" s="2907" t="s">
        <v>5392</v>
      </c>
      <c r="O54" s="3280"/>
      <c r="P54" s="1784"/>
      <c r="Q54" s="3284" t="s">
        <v>7252</v>
      </c>
    </row>
    <row r="55" spans="1:29" s="2676" customFormat="1" ht="58.6" customHeight="1">
      <c r="A55" s="3869">
        <v>16</v>
      </c>
      <c r="B55" s="3278" t="str">
        <f t="shared" si="1"/>
        <v>2000003404</v>
      </c>
      <c r="C55" s="2180" t="s">
        <v>3361</v>
      </c>
      <c r="D55" s="2664">
        <v>8850</v>
      </c>
      <c r="E55" s="2180" t="s">
        <v>8048</v>
      </c>
      <c r="F55" s="2667" t="s">
        <v>26</v>
      </c>
      <c r="G55" s="3279" t="s">
        <v>8049</v>
      </c>
      <c r="H55" s="2180" t="s">
        <v>7966</v>
      </c>
      <c r="I55" s="1560" t="s">
        <v>7249</v>
      </c>
      <c r="J55" s="3280" t="s">
        <v>65</v>
      </c>
      <c r="K55" s="3101" t="s">
        <v>1179</v>
      </c>
      <c r="L55" s="1862" t="s">
        <v>8050</v>
      </c>
      <c r="M55" s="2665">
        <v>3570</v>
      </c>
      <c r="N55" s="2907" t="s">
        <v>8051</v>
      </c>
      <c r="O55" s="2667"/>
      <c r="P55" s="2666"/>
      <c r="Q55" s="3284" t="s">
        <v>7252</v>
      </c>
      <c r="R55" s="2660"/>
      <c r="S55" s="2660"/>
      <c r="T55" s="2660"/>
      <c r="U55" s="2660"/>
      <c r="V55" s="2660"/>
      <c r="W55" s="2660"/>
      <c r="X55" s="2660"/>
      <c r="Y55" s="2660"/>
      <c r="Z55" s="2660"/>
      <c r="AA55" s="2660"/>
    </row>
    <row r="56" spans="1:29" s="1785" customFormat="1" ht="58.6" customHeight="1">
      <c r="A56" s="3869"/>
      <c r="B56" s="3281" t="str">
        <f t="shared" si="1"/>
        <v>2000003435</v>
      </c>
      <c r="C56" s="1780" t="s">
        <v>3361</v>
      </c>
      <c r="D56" s="1783"/>
      <c r="E56" s="1780"/>
      <c r="F56" s="1782" t="s">
        <v>26</v>
      </c>
      <c r="G56" s="1748"/>
      <c r="H56" s="1780"/>
      <c r="I56" s="1560" t="s">
        <v>7249</v>
      </c>
      <c r="J56" s="3282" t="s">
        <v>65</v>
      </c>
      <c r="K56" s="3121" t="s">
        <v>1179</v>
      </c>
      <c r="L56" s="1496" t="s">
        <v>8052</v>
      </c>
      <c r="M56" s="3283">
        <v>5280</v>
      </c>
      <c r="N56" s="2907" t="s">
        <v>7407</v>
      </c>
      <c r="O56" s="1782"/>
      <c r="P56" s="1784"/>
      <c r="Q56" s="3284" t="s">
        <v>7252</v>
      </c>
      <c r="R56" s="1821"/>
      <c r="S56" s="1821"/>
      <c r="T56" s="1821"/>
      <c r="U56" s="1821"/>
      <c r="V56" s="1821"/>
      <c r="W56" s="1821"/>
      <c r="X56" s="1821"/>
      <c r="Y56" s="1821"/>
      <c r="Z56" s="1821"/>
      <c r="AA56" s="1821"/>
    </row>
    <row r="57" spans="1:29" s="1548" customFormat="1" ht="58.6" customHeight="1">
      <c r="A57" s="3216">
        <v>17</v>
      </c>
      <c r="B57" s="3189" t="str">
        <f t="shared" si="1"/>
        <v>2000003402</v>
      </c>
      <c r="C57" s="3009" t="s">
        <v>3947</v>
      </c>
      <c r="D57" s="3210">
        <v>4300</v>
      </c>
      <c r="E57" s="3007" t="s">
        <v>8053</v>
      </c>
      <c r="F57" s="3009" t="s">
        <v>22</v>
      </c>
      <c r="G57" s="3007" t="s">
        <v>8054</v>
      </c>
      <c r="H57" s="3007" t="s">
        <v>8055</v>
      </c>
      <c r="I57" s="3295" t="s">
        <v>7249</v>
      </c>
      <c r="J57" s="3009" t="s">
        <v>65</v>
      </c>
      <c r="K57" s="3007" t="s">
        <v>117</v>
      </c>
      <c r="L57" s="2878" t="s">
        <v>8039</v>
      </c>
      <c r="M57" s="3217">
        <v>4300</v>
      </c>
      <c r="N57" s="2907" t="s">
        <v>5392</v>
      </c>
      <c r="O57" s="3009"/>
      <c r="P57" s="3218"/>
      <c r="Q57" s="3306">
        <v>1</v>
      </c>
    </row>
    <row r="58" spans="1:29" s="1548" customFormat="1" ht="70.5" customHeight="1">
      <c r="A58" s="3863">
        <v>18</v>
      </c>
      <c r="B58" s="3189" t="str">
        <f t="shared" si="1"/>
        <v>2000003380</v>
      </c>
      <c r="C58" s="3019" t="s">
        <v>4824</v>
      </c>
      <c r="D58" s="3210">
        <v>5820</v>
      </c>
      <c r="E58" s="3007" t="s">
        <v>8056</v>
      </c>
      <c r="F58" s="3009" t="s">
        <v>18</v>
      </c>
      <c r="G58" s="3007" t="s">
        <v>8057</v>
      </c>
      <c r="H58" s="3007" t="s">
        <v>7966</v>
      </c>
      <c r="I58" s="3007" t="s">
        <v>7249</v>
      </c>
      <c r="J58" s="3009" t="s">
        <v>65</v>
      </c>
      <c r="K58" s="3007" t="s">
        <v>294</v>
      </c>
      <c r="L58" s="2878" t="s">
        <v>8058</v>
      </c>
      <c r="M58" s="3217">
        <v>800</v>
      </c>
      <c r="N58" s="2196" t="s">
        <v>6593</v>
      </c>
      <c r="O58" s="3009"/>
      <c r="P58" s="3218"/>
      <c r="Q58" s="3306">
        <v>1</v>
      </c>
    </row>
    <row r="59" spans="1:29" s="1548" customFormat="1" ht="58.6" customHeight="1">
      <c r="A59" s="3863"/>
      <c r="B59" s="3290" t="str">
        <f t="shared" si="1"/>
        <v>2000003381</v>
      </c>
      <c r="C59" s="3009" t="s">
        <v>4824</v>
      </c>
      <c r="D59" s="3210"/>
      <c r="E59" s="3007"/>
      <c r="F59" s="3009" t="s">
        <v>18</v>
      </c>
      <c r="G59" s="3007"/>
      <c r="H59" s="3007"/>
      <c r="I59" s="3007" t="s">
        <v>7249</v>
      </c>
      <c r="J59" s="3009" t="s">
        <v>65</v>
      </c>
      <c r="K59" s="3007" t="s">
        <v>294</v>
      </c>
      <c r="L59" s="2878" t="s">
        <v>8059</v>
      </c>
      <c r="M59" s="3217">
        <v>5483</v>
      </c>
      <c r="N59" s="3016" t="s">
        <v>7407</v>
      </c>
      <c r="O59" s="3009"/>
      <c r="P59" s="3218"/>
      <c r="Q59" s="3306">
        <v>1</v>
      </c>
    </row>
    <row r="60" spans="1:29" s="2150" customFormat="1" ht="58.6" customHeight="1">
      <c r="A60" s="2436">
        <v>19</v>
      </c>
      <c r="B60" s="3189" t="str">
        <f t="shared" si="1"/>
        <v>2200002232</v>
      </c>
      <c r="C60" s="1902" t="s">
        <v>114</v>
      </c>
      <c r="D60" s="2179">
        <v>3720</v>
      </c>
      <c r="E60" s="1902" t="s">
        <v>8060</v>
      </c>
      <c r="F60" s="1902" t="s">
        <v>22</v>
      </c>
      <c r="G60" s="1921" t="s">
        <v>8061</v>
      </c>
      <c r="H60" s="3021" t="s">
        <v>8062</v>
      </c>
      <c r="I60" s="1921" t="s">
        <v>7249</v>
      </c>
      <c r="J60" s="1902" t="s">
        <v>65</v>
      </c>
      <c r="K60" s="1921" t="s">
        <v>142</v>
      </c>
      <c r="L60" s="3195" t="s">
        <v>8063</v>
      </c>
      <c r="M60" s="3079">
        <v>3720</v>
      </c>
      <c r="N60" s="2907" t="s">
        <v>7407</v>
      </c>
      <c r="O60" s="2429"/>
      <c r="P60" s="1745"/>
      <c r="Q60" s="3306" t="s">
        <v>7252</v>
      </c>
      <c r="AC60" s="2643"/>
    </row>
    <row r="61" spans="1:29" s="2643" customFormat="1" ht="58.6" customHeight="1">
      <c r="A61" s="3863">
        <v>20</v>
      </c>
      <c r="B61" s="3258" t="str">
        <f t="shared" si="1"/>
        <v>2000003405</v>
      </c>
      <c r="C61" s="3021" t="s">
        <v>7701</v>
      </c>
      <c r="D61" s="3296">
        <v>10650</v>
      </c>
      <c r="E61" s="3027" t="s">
        <v>7999</v>
      </c>
      <c r="F61" s="3167" t="s">
        <v>16</v>
      </c>
      <c r="G61" s="3021" t="s">
        <v>8064</v>
      </c>
      <c r="H61" s="2261" t="s">
        <v>7966</v>
      </c>
      <c r="I61" s="1543" t="s">
        <v>7249</v>
      </c>
      <c r="J61" s="3167" t="s">
        <v>65</v>
      </c>
      <c r="K61" s="2187" t="s">
        <v>1179</v>
      </c>
      <c r="L61" s="1862" t="s">
        <v>8065</v>
      </c>
      <c r="M61" s="3283">
        <v>2950</v>
      </c>
      <c r="N61" s="2907" t="s">
        <v>7407</v>
      </c>
      <c r="O61" s="2263"/>
      <c r="P61" s="2565"/>
      <c r="Q61" s="3318" t="s">
        <v>7252</v>
      </c>
      <c r="R61" s="2626"/>
    </row>
    <row r="62" spans="1:29" s="2643" customFormat="1" ht="58.6" customHeight="1">
      <c r="A62" s="3863"/>
      <c r="B62" s="3258" t="str">
        <f t="shared" si="1"/>
        <v>2000003346</v>
      </c>
      <c r="C62" s="3007" t="s">
        <v>7701</v>
      </c>
      <c r="D62" s="3296"/>
      <c r="E62" s="3027"/>
      <c r="F62" s="3009" t="s">
        <v>16</v>
      </c>
      <c r="G62" s="2187"/>
      <c r="H62" s="2187"/>
      <c r="I62" s="1543" t="s">
        <v>7249</v>
      </c>
      <c r="J62" s="3009" t="s">
        <v>65</v>
      </c>
      <c r="K62" s="2187" t="s">
        <v>1179</v>
      </c>
      <c r="L62" s="3213" t="s">
        <v>8066</v>
      </c>
      <c r="M62" s="3040">
        <v>700</v>
      </c>
      <c r="N62" s="2196" t="s">
        <v>6593</v>
      </c>
      <c r="O62" s="2263"/>
      <c r="P62" s="2565"/>
      <c r="Q62" s="3319" t="s">
        <v>7252</v>
      </c>
      <c r="R62" s="2626"/>
    </row>
    <row r="63" spans="1:29" s="2150" customFormat="1" ht="58.6" customHeight="1">
      <c r="A63" s="3863"/>
      <c r="B63" s="3189" t="str">
        <f t="shared" si="1"/>
        <v>2000003357</v>
      </c>
      <c r="C63" s="3291" t="s">
        <v>7701</v>
      </c>
      <c r="D63" s="3209"/>
      <c r="E63" s="3021"/>
      <c r="F63" s="3009" t="s">
        <v>16</v>
      </c>
      <c r="G63" s="1921"/>
      <c r="H63" s="1921"/>
      <c r="I63" s="1543" t="s">
        <v>7249</v>
      </c>
      <c r="J63" s="3009" t="s">
        <v>65</v>
      </c>
      <c r="K63" s="2187" t="s">
        <v>1179</v>
      </c>
      <c r="L63" s="3213" t="s">
        <v>8067</v>
      </c>
      <c r="M63" s="3297">
        <v>7000</v>
      </c>
      <c r="N63" s="2907" t="s">
        <v>6593</v>
      </c>
      <c r="O63" s="1902"/>
      <c r="P63" s="1775"/>
      <c r="Q63" s="3319" t="s">
        <v>7252</v>
      </c>
      <c r="R63" s="2429"/>
    </row>
    <row r="64" spans="1:29" s="2150" customFormat="1" ht="58.6" customHeight="1">
      <c r="A64" s="3850">
        <v>21</v>
      </c>
      <c r="B64" s="3021" t="str">
        <f t="shared" si="1"/>
        <v>2200002162</v>
      </c>
      <c r="C64" s="3239" t="s">
        <v>7656</v>
      </c>
      <c r="D64" s="3209">
        <v>10750</v>
      </c>
      <c r="E64" s="3021" t="s">
        <v>7955</v>
      </c>
      <c r="F64" s="3019" t="s">
        <v>16</v>
      </c>
      <c r="G64" s="3021" t="s">
        <v>8068</v>
      </c>
      <c r="H64" s="3026" t="s">
        <v>8069</v>
      </c>
      <c r="I64" s="1921" t="s">
        <v>7780</v>
      </c>
      <c r="J64" s="1902" t="s">
        <v>65</v>
      </c>
      <c r="K64" s="3101" t="s">
        <v>1000</v>
      </c>
      <c r="L64" s="3118" t="s">
        <v>8070</v>
      </c>
      <c r="M64" s="3040">
        <v>8372</v>
      </c>
      <c r="N64" s="2907" t="s">
        <v>7407</v>
      </c>
      <c r="O64" s="3019"/>
      <c r="P64" s="3206"/>
      <c r="Q64" s="3319" t="s">
        <v>7252</v>
      </c>
    </row>
    <row r="65" spans="1:35" s="2643" customFormat="1" ht="58.6" customHeight="1">
      <c r="A65" s="3851"/>
      <c r="B65" s="3007" t="str">
        <f t="shared" si="1"/>
        <v>2000003395</v>
      </c>
      <c r="C65" s="3291" t="s">
        <v>7656</v>
      </c>
      <c r="D65" s="3210"/>
      <c r="E65" s="3007"/>
      <c r="F65" s="3028" t="s">
        <v>16</v>
      </c>
      <c r="G65" s="3007"/>
      <c r="H65" s="3007"/>
      <c r="I65" s="1543" t="s">
        <v>7249</v>
      </c>
      <c r="J65" s="3009" t="s">
        <v>65</v>
      </c>
      <c r="K65" s="1495" t="s">
        <v>1000</v>
      </c>
      <c r="L65" s="1496" t="s">
        <v>8071</v>
      </c>
      <c r="M65" s="3283">
        <v>850</v>
      </c>
      <c r="N65" s="2907" t="s">
        <v>6593</v>
      </c>
      <c r="O65" s="3009"/>
      <c r="P65" s="3218"/>
      <c r="Q65" s="3319" t="s">
        <v>7252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6" customHeight="1">
      <c r="A66" s="3851"/>
      <c r="B66" s="3021" t="str">
        <f t="shared" si="1"/>
        <v>2200002199</v>
      </c>
      <c r="C66" s="3291" t="s">
        <v>7656</v>
      </c>
      <c r="D66" s="3292"/>
      <c r="E66" s="3149"/>
      <c r="F66" s="3028" t="s">
        <v>16</v>
      </c>
      <c r="G66" s="3149"/>
      <c r="H66" s="3149"/>
      <c r="I66" s="2187"/>
      <c r="J66" s="3009" t="s">
        <v>65</v>
      </c>
      <c r="K66" s="1495" t="s">
        <v>1000</v>
      </c>
      <c r="L66" s="2878" t="s">
        <v>8072</v>
      </c>
      <c r="M66" s="3217">
        <v>200</v>
      </c>
      <c r="N66" s="3293" t="s">
        <v>7990</v>
      </c>
      <c r="O66" s="3025"/>
      <c r="P66" s="3294"/>
      <c r="Q66" s="3319" t="s">
        <v>7252</v>
      </c>
    </row>
    <row r="67" spans="1:35" s="2643" customFormat="1" ht="58.6" customHeight="1">
      <c r="A67" s="3851"/>
      <c r="B67" s="3021" t="str">
        <f t="shared" si="1"/>
        <v>2200002213</v>
      </c>
      <c r="C67" s="3291" t="s">
        <v>7656</v>
      </c>
      <c r="D67" s="3292"/>
      <c r="E67" s="3149"/>
      <c r="F67" s="3028" t="s">
        <v>16</v>
      </c>
      <c r="G67" s="3149"/>
      <c r="H67" s="3149"/>
      <c r="I67" s="1543" t="s">
        <v>7780</v>
      </c>
      <c r="J67" s="3009" t="s">
        <v>65</v>
      </c>
      <c r="K67" s="1495" t="s">
        <v>1000</v>
      </c>
      <c r="L67" s="1497" t="s">
        <v>8073</v>
      </c>
      <c r="M67" s="2361">
        <v>165</v>
      </c>
      <c r="N67" s="3293" t="s">
        <v>7625</v>
      </c>
      <c r="O67" s="3025"/>
      <c r="P67" s="3294"/>
      <c r="Q67" s="3319" t="s">
        <v>7252</v>
      </c>
    </row>
    <row r="68" spans="1:35" s="2643" customFormat="1" ht="58.6" customHeight="1">
      <c r="A68" s="3851"/>
      <c r="B68" s="3021" t="str">
        <f t="shared" ref="B68:B99" si="2">TEXT(LEFT(L68,10),"0000000000")</f>
        <v>2200002219</v>
      </c>
      <c r="C68" s="3291" t="s">
        <v>7656</v>
      </c>
      <c r="D68" s="3209"/>
      <c r="E68" s="3021"/>
      <c r="F68" s="3028" t="s">
        <v>16</v>
      </c>
      <c r="G68" s="3021"/>
      <c r="H68" s="3021"/>
      <c r="I68" s="1543" t="s">
        <v>7780</v>
      </c>
      <c r="J68" s="3009" t="s">
        <v>65</v>
      </c>
      <c r="K68" s="1495" t="s">
        <v>1000</v>
      </c>
      <c r="L68" s="3213" t="s">
        <v>8074</v>
      </c>
      <c r="M68" s="3040">
        <v>1050</v>
      </c>
      <c r="N68" s="2907" t="s">
        <v>7990</v>
      </c>
      <c r="O68" s="3019"/>
      <c r="P68" s="3206"/>
      <c r="Q68" s="3319" t="s">
        <v>7252</v>
      </c>
    </row>
    <row r="69" spans="1:35" s="2643" customFormat="1" ht="58.6" customHeight="1">
      <c r="A69" s="3852"/>
      <c r="B69" s="3021" t="str">
        <f t="shared" si="2"/>
        <v>2200002218</v>
      </c>
      <c r="C69" s="3291" t="s">
        <v>7656</v>
      </c>
      <c r="D69" s="3209"/>
      <c r="E69" s="3021"/>
      <c r="F69" s="3028" t="s">
        <v>16</v>
      </c>
      <c r="G69" s="3021"/>
      <c r="H69" s="3021"/>
      <c r="I69" s="1543" t="s">
        <v>7780</v>
      </c>
      <c r="J69" s="3009" t="s">
        <v>65</v>
      </c>
      <c r="K69" s="1495" t="s">
        <v>1000</v>
      </c>
      <c r="L69" s="3213" t="s">
        <v>8075</v>
      </c>
      <c r="M69" s="3040">
        <v>113</v>
      </c>
      <c r="N69" s="2907" t="s">
        <v>7625</v>
      </c>
      <c r="O69" s="3019"/>
      <c r="P69" s="3206"/>
      <c r="Q69" s="3319" t="s">
        <v>7252</v>
      </c>
    </row>
    <row r="70" spans="1:35" s="1548" customFormat="1" ht="58.6" customHeight="1">
      <c r="A70" s="3847">
        <v>22</v>
      </c>
      <c r="B70" s="3290" t="str">
        <f t="shared" si="2"/>
        <v>2000003431</v>
      </c>
      <c r="C70" s="3019" t="s">
        <v>6852</v>
      </c>
      <c r="D70" s="3209">
        <v>10675</v>
      </c>
      <c r="E70" s="3021" t="s">
        <v>8056</v>
      </c>
      <c r="F70" s="3009" t="s">
        <v>16</v>
      </c>
      <c r="G70" s="3007" t="s">
        <v>8076</v>
      </c>
      <c r="H70" s="3007" t="s">
        <v>8077</v>
      </c>
      <c r="I70" s="3007" t="s">
        <v>8078</v>
      </c>
      <c r="J70" s="3009" t="s">
        <v>65</v>
      </c>
      <c r="K70" s="3007" t="s">
        <v>106</v>
      </c>
      <c r="L70" s="2878" t="s">
        <v>8079</v>
      </c>
      <c r="M70" s="3217">
        <v>3000</v>
      </c>
      <c r="N70" s="2907" t="s">
        <v>8080</v>
      </c>
      <c r="O70" s="3009"/>
      <c r="P70" s="3218"/>
      <c r="Q70" s="3306" t="s">
        <v>7252</v>
      </c>
    </row>
    <row r="71" spans="1:35" s="1548" customFormat="1" ht="58.6" customHeight="1">
      <c r="A71" s="3848"/>
      <c r="B71" s="3189" t="str">
        <f t="shared" si="2"/>
        <v>2000003353</v>
      </c>
      <c r="C71" s="3009" t="s">
        <v>6852</v>
      </c>
      <c r="D71" s="2550"/>
      <c r="E71" s="3021"/>
      <c r="F71" s="3009" t="s">
        <v>16</v>
      </c>
      <c r="G71" s="3007"/>
      <c r="H71" s="3007"/>
      <c r="I71" s="3058">
        <v>45698</v>
      </c>
      <c r="J71" s="3009" t="s">
        <v>65</v>
      </c>
      <c r="K71" s="3007" t="s">
        <v>106</v>
      </c>
      <c r="L71" s="2878" t="s">
        <v>8081</v>
      </c>
      <c r="M71" s="3040">
        <v>2000</v>
      </c>
      <c r="N71" s="2907" t="s">
        <v>7407</v>
      </c>
      <c r="O71" s="3009"/>
      <c r="P71" s="3305"/>
      <c r="Q71" s="3306">
        <v>1</v>
      </c>
      <c r="R71" s="1467"/>
      <c r="S71" s="1467"/>
      <c r="T71" s="1467"/>
      <c r="U71" s="1467"/>
      <c r="V71" s="1467"/>
      <c r="W71" s="1467"/>
      <c r="X71" s="1467"/>
      <c r="Y71" s="1467"/>
      <c r="Z71" s="1467"/>
      <c r="AA71" s="1467"/>
      <c r="AB71" s="1467"/>
      <c r="AC71" s="1467"/>
    </row>
    <row r="72" spans="1:35" s="1467" customFormat="1" ht="58.6" customHeight="1">
      <c r="A72" s="3848"/>
      <c r="B72" s="3189" t="str">
        <f t="shared" si="2"/>
        <v>2000003416</v>
      </c>
      <c r="C72" s="3009" t="s">
        <v>6852</v>
      </c>
      <c r="D72" s="1494"/>
      <c r="E72" s="1495"/>
      <c r="F72" s="3009" t="s">
        <v>16</v>
      </c>
      <c r="G72" s="1495"/>
      <c r="H72" s="1495"/>
      <c r="I72" s="1624" t="s">
        <v>7249</v>
      </c>
      <c r="J72" s="1493" t="s">
        <v>65</v>
      </c>
      <c r="K72" s="1495" t="s">
        <v>106</v>
      </c>
      <c r="L72" s="1600" t="s">
        <v>8082</v>
      </c>
      <c r="M72" s="2357">
        <v>319</v>
      </c>
      <c r="N72" s="2907" t="s">
        <v>6593</v>
      </c>
      <c r="O72" s="1493"/>
      <c r="P72" s="1859"/>
      <c r="Q72" s="3306" t="s">
        <v>7252</v>
      </c>
      <c r="R72" s="1548"/>
      <c r="S72" s="1548"/>
      <c r="T72" s="1548"/>
      <c r="U72" s="1548"/>
      <c r="V72" s="1548"/>
      <c r="W72" s="1548"/>
      <c r="X72" s="1548"/>
      <c r="Y72" s="1548"/>
      <c r="Z72" s="1548"/>
      <c r="AA72" s="1548"/>
    </row>
    <row r="73" spans="1:35" s="2150" customFormat="1" ht="58.6" customHeight="1">
      <c r="A73" s="3848"/>
      <c r="B73" s="3189" t="str">
        <f t="shared" si="2"/>
        <v>2000003414</v>
      </c>
      <c r="C73" s="3009" t="s">
        <v>6852</v>
      </c>
      <c r="D73" s="3209"/>
      <c r="E73" s="3021"/>
      <c r="F73" s="3009" t="s">
        <v>16</v>
      </c>
      <c r="G73" s="3021"/>
      <c r="H73" s="3021"/>
      <c r="I73" s="3065">
        <v>45698</v>
      </c>
      <c r="J73" s="1902" t="s">
        <v>65</v>
      </c>
      <c r="K73" s="3152" t="s">
        <v>106</v>
      </c>
      <c r="L73" s="3186" t="s">
        <v>8083</v>
      </c>
      <c r="M73" s="3036">
        <v>3500</v>
      </c>
      <c r="N73" s="2907" t="s">
        <v>6593</v>
      </c>
      <c r="O73" s="3019"/>
      <c r="P73" s="3023"/>
      <c r="Q73" s="3306">
        <v>1</v>
      </c>
      <c r="R73" s="2643"/>
      <c r="S73" s="2643"/>
      <c r="T73" s="2643"/>
      <c r="U73" s="2643"/>
      <c r="V73" s="2643"/>
      <c r="W73" s="2643"/>
      <c r="X73" s="2643"/>
      <c r="Y73" s="2643"/>
      <c r="Z73" s="2643"/>
      <c r="AA73" s="2643"/>
      <c r="AB73" s="2643"/>
      <c r="AC73" s="2643"/>
    </row>
    <row r="74" spans="1:35" s="2150" customFormat="1" ht="58.6" customHeight="1">
      <c r="A74" s="3849"/>
      <c r="B74" s="3189" t="str">
        <f t="shared" si="2"/>
        <v>2200002229</v>
      </c>
      <c r="C74" s="3009" t="s">
        <v>6852</v>
      </c>
      <c r="D74" s="3209"/>
      <c r="E74" s="3021"/>
      <c r="F74" s="3009" t="s">
        <v>16</v>
      </c>
      <c r="G74" s="3021"/>
      <c r="H74" s="3021"/>
      <c r="I74" s="3058" t="s">
        <v>7249</v>
      </c>
      <c r="J74" s="1902" t="s">
        <v>65</v>
      </c>
      <c r="K74" s="3152" t="s">
        <v>106</v>
      </c>
      <c r="L74" s="3214" t="s">
        <v>8084</v>
      </c>
      <c r="M74" s="3036">
        <v>1875</v>
      </c>
      <c r="N74" s="2907" t="s">
        <v>6593</v>
      </c>
      <c r="O74" s="3019"/>
      <c r="P74" s="3023"/>
      <c r="Q74" s="3306" t="s">
        <v>7252</v>
      </c>
      <c r="R74" s="2643"/>
      <c r="S74" s="2643"/>
      <c r="T74" s="2643"/>
      <c r="U74" s="2643"/>
      <c r="V74" s="2643"/>
      <c r="W74" s="2643"/>
      <c r="X74" s="2643"/>
      <c r="Y74" s="2643"/>
      <c r="Z74" s="2643"/>
      <c r="AA74" s="2643"/>
      <c r="AB74" s="2643"/>
      <c r="AC74" s="2643"/>
    </row>
    <row r="75" spans="1:35" s="1548" customFormat="1" ht="58.6" customHeight="1">
      <c r="A75" s="3847">
        <v>23</v>
      </c>
      <c r="B75" s="3290" t="str">
        <f t="shared" si="2"/>
        <v>2000003371</v>
      </c>
      <c r="C75" s="3019" t="s">
        <v>4868</v>
      </c>
      <c r="D75" s="3209">
        <v>4350</v>
      </c>
      <c r="E75" s="3021" t="s">
        <v>8085</v>
      </c>
      <c r="F75" s="3009" t="s">
        <v>14</v>
      </c>
      <c r="G75" s="3007" t="s">
        <v>8086</v>
      </c>
      <c r="H75" s="3007" t="s">
        <v>8087</v>
      </c>
      <c r="I75" s="3058" t="s">
        <v>7249</v>
      </c>
      <c r="J75" s="3009" t="s">
        <v>65</v>
      </c>
      <c r="K75" s="3007" t="s">
        <v>117</v>
      </c>
      <c r="L75" s="3235" t="s">
        <v>8088</v>
      </c>
      <c r="M75" s="3236">
        <v>750</v>
      </c>
      <c r="N75" s="2196" t="s">
        <v>8080</v>
      </c>
      <c r="O75" s="3009"/>
      <c r="P75" s="3218"/>
      <c r="Q75" s="3306">
        <v>1</v>
      </c>
    </row>
    <row r="76" spans="1:35" s="1548" customFormat="1" ht="58.6" customHeight="1">
      <c r="A76" s="3848"/>
      <c r="B76" s="3290" t="str">
        <f t="shared" si="2"/>
        <v>2000003434</v>
      </c>
      <c r="C76" s="3009" t="s">
        <v>4868</v>
      </c>
      <c r="D76" s="3209"/>
      <c r="E76" s="3021"/>
      <c r="F76" s="3009" t="s">
        <v>14</v>
      </c>
      <c r="G76" s="3007"/>
      <c r="H76" s="3007"/>
      <c r="I76" s="3058" t="s">
        <v>7249</v>
      </c>
      <c r="J76" s="3009" t="s">
        <v>65</v>
      </c>
      <c r="K76" s="3007" t="s">
        <v>117</v>
      </c>
      <c r="L76" s="3235" t="s">
        <v>8089</v>
      </c>
      <c r="M76" s="3236">
        <v>200</v>
      </c>
      <c r="N76" s="2196" t="s">
        <v>8080</v>
      </c>
      <c r="O76" s="3009"/>
      <c r="P76" s="3218"/>
      <c r="Q76" s="3306" t="s">
        <v>7252</v>
      </c>
    </row>
    <row r="77" spans="1:35" s="2150" customFormat="1" ht="58.6" customHeight="1">
      <c r="A77" s="3848"/>
      <c r="B77" s="3189" t="str">
        <f t="shared" si="2"/>
        <v>2000003388</v>
      </c>
      <c r="C77" s="3009" t="s">
        <v>4868</v>
      </c>
      <c r="D77" s="3210"/>
      <c r="E77" s="3007"/>
      <c r="F77" s="3009" t="s">
        <v>14</v>
      </c>
      <c r="G77" s="3007"/>
      <c r="H77" s="3007"/>
      <c r="I77" s="3058" t="s">
        <v>7249</v>
      </c>
      <c r="J77" s="3009" t="s">
        <v>65</v>
      </c>
      <c r="K77" s="3007" t="s">
        <v>117</v>
      </c>
      <c r="L77" s="3235" t="s">
        <v>8090</v>
      </c>
      <c r="M77" s="3236">
        <v>3250</v>
      </c>
      <c r="N77" s="2196" t="s">
        <v>8080</v>
      </c>
      <c r="O77" s="3019"/>
      <c r="P77" s="3206"/>
      <c r="Q77" s="3306">
        <v>1</v>
      </c>
    </row>
    <row r="78" spans="1:35" s="2643" customFormat="1" ht="58.6" customHeight="1">
      <c r="A78" s="3849"/>
      <c r="B78" s="3189" t="str">
        <f t="shared" si="2"/>
        <v>2200002230</v>
      </c>
      <c r="C78" s="3009" t="s">
        <v>4868</v>
      </c>
      <c r="D78" s="2607"/>
      <c r="E78" s="1902"/>
      <c r="F78" s="3009" t="s">
        <v>14</v>
      </c>
      <c r="G78" s="1921"/>
      <c r="H78" s="1921"/>
      <c r="I78" s="1568" t="s">
        <v>7249</v>
      </c>
      <c r="J78" s="1493" t="s">
        <v>65</v>
      </c>
      <c r="K78" s="1495" t="s">
        <v>117</v>
      </c>
      <c r="L78" s="3090" t="s">
        <v>8091</v>
      </c>
      <c r="M78" s="3037">
        <v>150</v>
      </c>
      <c r="N78" s="2196" t="s">
        <v>7959</v>
      </c>
      <c r="O78" s="1902"/>
      <c r="P78" s="1745"/>
      <c r="Q78" s="3232" t="s">
        <v>7252</v>
      </c>
    </row>
    <row r="79" spans="1:35" s="2150" customFormat="1" ht="58.6" customHeight="1">
      <c r="A79" s="3771">
        <v>24</v>
      </c>
      <c r="B79" s="3189" t="str">
        <f t="shared" si="2"/>
        <v>2200002207</v>
      </c>
      <c r="C79" s="1902" t="s">
        <v>7001</v>
      </c>
      <c r="D79" s="2607">
        <v>3780</v>
      </c>
      <c r="E79" s="1902" t="s">
        <v>8056</v>
      </c>
      <c r="F79" s="1902" t="s">
        <v>20</v>
      </c>
      <c r="G79" s="1921" t="s">
        <v>8092</v>
      </c>
      <c r="H79" s="3007" t="s">
        <v>7966</v>
      </c>
      <c r="I79" s="1568" t="s">
        <v>7249</v>
      </c>
      <c r="J79" s="1493" t="s">
        <v>65</v>
      </c>
      <c r="K79" s="1495" t="s">
        <v>142</v>
      </c>
      <c r="L79" s="3090" t="s">
        <v>8093</v>
      </c>
      <c r="M79" s="3041">
        <v>290</v>
      </c>
      <c r="N79" s="2907" t="s">
        <v>7959</v>
      </c>
      <c r="O79" s="1902">
        <v>25</v>
      </c>
      <c r="P79" s="1745"/>
      <c r="Q79" s="3232">
        <v>1</v>
      </c>
    </row>
    <row r="80" spans="1:35" s="2643" customFormat="1" ht="58.6" customHeight="1">
      <c r="A80" s="3772"/>
      <c r="B80" s="3189" t="str">
        <f t="shared" si="2"/>
        <v>2200002229</v>
      </c>
      <c r="C80" s="1493" t="s">
        <v>7001</v>
      </c>
      <c r="D80" s="2607"/>
      <c r="E80" s="1902"/>
      <c r="F80" s="1493" t="s">
        <v>20</v>
      </c>
      <c r="G80" s="1921"/>
      <c r="H80" s="1921"/>
      <c r="I80" s="1568" t="s">
        <v>7249</v>
      </c>
      <c r="J80" s="1493" t="s">
        <v>65</v>
      </c>
      <c r="K80" s="1495" t="s">
        <v>142</v>
      </c>
      <c r="L80" s="3081" t="s">
        <v>8094</v>
      </c>
      <c r="M80" s="3041">
        <v>550</v>
      </c>
      <c r="N80" s="2907" t="s">
        <v>7959</v>
      </c>
      <c r="O80" s="1902"/>
      <c r="P80" s="1745"/>
      <c r="Q80" s="3232" t="s">
        <v>7252</v>
      </c>
    </row>
    <row r="81" spans="1:29" s="2643" customFormat="1" ht="58.6" customHeight="1">
      <c r="A81" s="3772"/>
      <c r="B81" s="3189" t="str">
        <f t="shared" si="2"/>
        <v>2200002228</v>
      </c>
      <c r="C81" s="1493" t="s">
        <v>7001</v>
      </c>
      <c r="D81" s="2607"/>
      <c r="E81" s="1902"/>
      <c r="F81" s="1493" t="s">
        <v>20</v>
      </c>
      <c r="G81" s="1921"/>
      <c r="H81" s="1921"/>
      <c r="I81" s="1568" t="s">
        <v>7249</v>
      </c>
      <c r="J81" s="1493" t="s">
        <v>65</v>
      </c>
      <c r="K81" s="1495" t="s">
        <v>142</v>
      </c>
      <c r="L81" s="3090" t="s">
        <v>8095</v>
      </c>
      <c r="M81" s="3041">
        <v>226</v>
      </c>
      <c r="N81" s="2907" t="s">
        <v>8096</v>
      </c>
      <c r="O81" s="1902"/>
      <c r="P81" s="1745"/>
      <c r="Q81" s="3232" t="s">
        <v>7252</v>
      </c>
    </row>
    <row r="82" spans="1:29" s="1548" customFormat="1" ht="58.6" customHeight="1">
      <c r="A82" s="3772"/>
      <c r="B82" s="3189" t="str">
        <f t="shared" si="2"/>
        <v>2000003400</v>
      </c>
      <c r="C82" s="1493" t="s">
        <v>7001</v>
      </c>
      <c r="F82" s="1493" t="s">
        <v>20</v>
      </c>
      <c r="G82" s="3007"/>
      <c r="H82" s="3007"/>
      <c r="I82" s="3007" t="s">
        <v>8097</v>
      </c>
      <c r="J82" s="3009" t="s">
        <v>65</v>
      </c>
      <c r="K82" s="3007" t="s">
        <v>117</v>
      </c>
      <c r="L82" s="2878" t="s">
        <v>8098</v>
      </c>
      <c r="M82" s="3217">
        <v>60</v>
      </c>
      <c r="N82" s="2196" t="s">
        <v>8080</v>
      </c>
      <c r="O82" s="3009"/>
      <c r="P82" s="3218"/>
      <c r="Q82" s="3306" t="s">
        <v>7252</v>
      </c>
    </row>
    <row r="83" spans="1:29" s="1548" customFormat="1" ht="58.6" customHeight="1">
      <c r="A83" s="3772"/>
      <c r="B83" s="3189" t="str">
        <f t="shared" si="2"/>
        <v>2000003401</v>
      </c>
      <c r="C83" s="1493" t="s">
        <v>7001</v>
      </c>
      <c r="D83" s="3210"/>
      <c r="E83" s="3007"/>
      <c r="F83" s="1493" t="s">
        <v>20</v>
      </c>
      <c r="G83" s="3007"/>
      <c r="H83" s="3007"/>
      <c r="I83" s="3007" t="s">
        <v>8097</v>
      </c>
      <c r="J83" s="3009" t="s">
        <v>65</v>
      </c>
      <c r="K83" s="3007" t="s">
        <v>117</v>
      </c>
      <c r="L83" s="3241" t="s">
        <v>8099</v>
      </c>
      <c r="M83" s="3217">
        <v>200</v>
      </c>
      <c r="N83" s="2196" t="s">
        <v>8080</v>
      </c>
      <c r="O83" s="3009"/>
      <c r="P83" s="3218"/>
      <c r="Q83" s="3306" t="s">
        <v>7252</v>
      </c>
    </row>
    <row r="84" spans="1:29" s="1548" customFormat="1" ht="58.6" customHeight="1">
      <c r="A84" s="3772"/>
      <c r="B84" s="3189" t="str">
        <f t="shared" si="2"/>
        <v>2000003402</v>
      </c>
      <c r="C84" s="1493" t="s">
        <v>7001</v>
      </c>
      <c r="D84" s="1494"/>
      <c r="E84" s="1495"/>
      <c r="F84" s="1493" t="s">
        <v>20</v>
      </c>
      <c r="G84" s="3007"/>
      <c r="H84" s="3007"/>
      <c r="I84" s="3295" t="s">
        <v>7249</v>
      </c>
      <c r="J84" s="3009" t="s">
        <v>65</v>
      </c>
      <c r="K84" s="3007" t="s">
        <v>117</v>
      </c>
      <c r="L84" s="2878" t="s">
        <v>8039</v>
      </c>
      <c r="M84" s="3298">
        <v>1874</v>
      </c>
      <c r="N84" s="2907" t="s">
        <v>5392</v>
      </c>
      <c r="O84" s="3009"/>
      <c r="P84" s="3218"/>
      <c r="Q84" s="3306" t="s">
        <v>7252</v>
      </c>
    </row>
    <row r="85" spans="1:29" s="2643" customFormat="1" ht="58.6" customHeight="1">
      <c r="A85" s="3772"/>
      <c r="B85" s="3189" t="str">
        <f t="shared" si="2"/>
        <v>2200002206</v>
      </c>
      <c r="C85" s="1493" t="s">
        <v>7001</v>
      </c>
      <c r="D85" s="2607"/>
      <c r="E85" s="1902"/>
      <c r="F85" s="1493" t="s">
        <v>20</v>
      </c>
      <c r="G85" s="1921"/>
      <c r="H85" s="1921"/>
      <c r="I85" s="1568" t="s">
        <v>7249</v>
      </c>
      <c r="J85" s="1493" t="s">
        <v>65</v>
      </c>
      <c r="K85" s="1495" t="s">
        <v>117</v>
      </c>
      <c r="L85" s="1496" t="s">
        <v>8100</v>
      </c>
      <c r="M85" s="3037">
        <v>93</v>
      </c>
      <c r="N85" s="2196" t="s">
        <v>7959</v>
      </c>
      <c r="O85" s="1902"/>
      <c r="P85" s="1745"/>
      <c r="Q85" s="3232" t="s">
        <v>7252</v>
      </c>
    </row>
    <row r="86" spans="1:29" s="2643" customFormat="1" ht="58.6" customHeight="1">
      <c r="A86" s="3772"/>
      <c r="B86" s="3189" t="str">
        <f t="shared" si="2"/>
        <v>2200002235</v>
      </c>
      <c r="C86" s="1493" t="s">
        <v>7001</v>
      </c>
      <c r="D86" s="2607"/>
      <c r="E86" s="1902"/>
      <c r="F86" s="1493" t="s">
        <v>20</v>
      </c>
      <c r="G86" s="1921"/>
      <c r="H86" s="1921"/>
      <c r="I86" s="1568" t="s">
        <v>7249</v>
      </c>
      <c r="J86" s="1493" t="s">
        <v>65</v>
      </c>
      <c r="K86" s="1495" t="s">
        <v>117</v>
      </c>
      <c r="L86" s="1496" t="s">
        <v>8101</v>
      </c>
      <c r="M86" s="3037">
        <v>90</v>
      </c>
      <c r="N86" s="2907" t="s">
        <v>5392</v>
      </c>
      <c r="O86" s="1902"/>
      <c r="P86" s="1745"/>
      <c r="Q86" s="3232" t="s">
        <v>7252</v>
      </c>
    </row>
    <row r="87" spans="1:29" s="2643" customFormat="1" ht="58.6" customHeight="1">
      <c r="A87" s="3773"/>
      <c r="B87" s="3189" t="str">
        <f t="shared" si="2"/>
        <v>2200002230</v>
      </c>
      <c r="C87" s="1493" t="s">
        <v>7001</v>
      </c>
      <c r="D87" s="2607"/>
      <c r="E87" s="1902"/>
      <c r="F87" s="1493" t="s">
        <v>20</v>
      </c>
      <c r="G87" s="1921"/>
      <c r="H87" s="1921"/>
      <c r="I87" s="1568" t="s">
        <v>7249</v>
      </c>
      <c r="J87" s="1493" t="s">
        <v>65</v>
      </c>
      <c r="K87" s="1495" t="s">
        <v>117</v>
      </c>
      <c r="L87" s="1496" t="s">
        <v>8102</v>
      </c>
      <c r="M87" s="3037">
        <v>514</v>
      </c>
      <c r="N87" s="2196" t="s">
        <v>7959</v>
      </c>
      <c r="O87" s="1902"/>
      <c r="P87" s="1745"/>
      <c r="Q87" s="3232" t="s">
        <v>7252</v>
      </c>
    </row>
    <row r="88" spans="1:29" s="2643" customFormat="1" ht="58.6" customHeight="1">
      <c r="A88" s="3847">
        <v>25</v>
      </c>
      <c r="B88" s="3189" t="str">
        <f t="shared" si="2"/>
        <v>2000003397</v>
      </c>
      <c r="C88" s="3019" t="s">
        <v>3150</v>
      </c>
      <c r="D88" s="2607">
        <v>18500</v>
      </c>
      <c r="E88" s="1921" t="s">
        <v>8060</v>
      </c>
      <c r="F88" s="3009" t="s">
        <v>16</v>
      </c>
      <c r="G88" s="1921" t="s">
        <v>8103</v>
      </c>
      <c r="H88" s="1921" t="s">
        <v>8104</v>
      </c>
      <c r="I88" s="3007" t="s">
        <v>7249</v>
      </c>
      <c r="J88" s="3009" t="s">
        <v>65</v>
      </c>
      <c r="K88" s="1921" t="s">
        <v>164</v>
      </c>
      <c r="L88" s="2904" t="s">
        <v>8105</v>
      </c>
      <c r="M88" s="2583">
        <v>300</v>
      </c>
      <c r="N88" s="2196" t="s">
        <v>8080</v>
      </c>
      <c r="O88" s="1902"/>
      <c r="P88" s="1859"/>
      <c r="Q88" s="3306" t="s">
        <v>7370</v>
      </c>
      <c r="R88" s="1790"/>
      <c r="S88" s="2150"/>
      <c r="T88" s="2150"/>
      <c r="U88" s="2150"/>
      <c r="V88" s="2150"/>
      <c r="W88" s="2150"/>
      <c r="X88" s="2150"/>
      <c r="Y88" s="2150"/>
      <c r="Z88" s="2150"/>
      <c r="AA88" s="2150"/>
    </row>
    <row r="89" spans="1:29" s="1548" customFormat="1" ht="58.6" customHeight="1">
      <c r="A89" s="3848"/>
      <c r="B89" s="3189" t="str">
        <f t="shared" si="2"/>
        <v>2000003359</v>
      </c>
      <c r="C89" s="3009" t="s">
        <v>3150</v>
      </c>
      <c r="D89" s="1494"/>
      <c r="E89" s="1495"/>
      <c r="F89" s="3009" t="s">
        <v>16</v>
      </c>
      <c r="G89" s="1495"/>
      <c r="H89" s="1495"/>
      <c r="I89" s="3058" t="s">
        <v>7249</v>
      </c>
      <c r="J89" s="3009" t="s">
        <v>65</v>
      </c>
      <c r="K89" s="3007" t="s">
        <v>164</v>
      </c>
      <c r="L89" s="2878" t="s">
        <v>8106</v>
      </c>
      <c r="M89" s="2357">
        <v>1500</v>
      </c>
      <c r="N89" s="2196" t="s">
        <v>8080</v>
      </c>
      <c r="O89" s="1493"/>
      <c r="P89" s="1859"/>
      <c r="Q89" s="3306" t="s">
        <v>7370</v>
      </c>
    </row>
    <row r="90" spans="1:29" s="1548" customFormat="1" ht="58.6" customHeight="1">
      <c r="A90" s="3848"/>
      <c r="B90" s="3189" t="str">
        <f t="shared" si="2"/>
        <v>2000003358</v>
      </c>
      <c r="C90" s="3009" t="s">
        <v>3150</v>
      </c>
      <c r="D90" s="3210"/>
      <c r="E90" s="3007"/>
      <c r="F90" s="3009" t="s">
        <v>16</v>
      </c>
      <c r="G90" s="3007"/>
      <c r="H90" s="3007"/>
      <c r="I90" s="3058" t="s">
        <v>7249</v>
      </c>
      <c r="J90" s="3009" t="s">
        <v>65</v>
      </c>
      <c r="K90" s="3007" t="s">
        <v>164</v>
      </c>
      <c r="L90" s="3090" t="s">
        <v>8107</v>
      </c>
      <c r="M90" s="3217">
        <v>3500</v>
      </c>
      <c r="N90" s="2907" t="s">
        <v>7407</v>
      </c>
      <c r="O90" s="3009">
        <v>3731</v>
      </c>
      <c r="P90" s="3218"/>
      <c r="Q90" s="3306" t="s">
        <v>7370</v>
      </c>
    </row>
    <row r="91" spans="1:29" s="1548" customFormat="1" ht="58.6" customHeight="1">
      <c r="A91" s="3848"/>
      <c r="B91" s="3189" t="str">
        <f t="shared" si="2"/>
        <v>2000003322</v>
      </c>
      <c r="C91" s="3009" t="s">
        <v>3150</v>
      </c>
      <c r="D91" s="2757"/>
      <c r="E91" s="3021"/>
      <c r="F91" s="3009" t="s">
        <v>16</v>
      </c>
      <c r="G91" s="3007"/>
      <c r="H91" s="3007"/>
      <c r="I91" s="3007" t="s">
        <v>7249</v>
      </c>
      <c r="J91" s="3009" t="s">
        <v>65</v>
      </c>
      <c r="K91" s="3007" t="s">
        <v>164</v>
      </c>
      <c r="L91" s="2878" t="s">
        <v>8108</v>
      </c>
      <c r="M91" s="3040">
        <v>1000</v>
      </c>
      <c r="N91" s="2907" t="s">
        <v>7407</v>
      </c>
      <c r="O91" s="3009"/>
      <c r="P91" s="3010"/>
      <c r="Q91" s="3306" t="s">
        <v>7370</v>
      </c>
      <c r="R91" s="1467"/>
      <c r="S91" s="1467"/>
      <c r="T91" s="1467"/>
      <c r="U91" s="1467"/>
      <c r="V91" s="1467"/>
      <c r="W91" s="1467"/>
      <c r="X91" s="1467"/>
      <c r="Y91" s="1467"/>
      <c r="Z91" s="1467"/>
      <c r="AA91" s="1467"/>
      <c r="AB91" s="1467"/>
      <c r="AC91" s="1467"/>
    </row>
    <row r="92" spans="1:29" s="1467" customFormat="1" ht="58.6" customHeight="1">
      <c r="A92" s="3848"/>
      <c r="B92" s="3189" t="str">
        <f t="shared" si="2"/>
        <v>2000003367</v>
      </c>
      <c r="C92" s="3009" t="s">
        <v>3150</v>
      </c>
      <c r="D92" s="1494"/>
      <c r="E92" s="1921" t="s">
        <v>8060</v>
      </c>
      <c r="F92" s="3009" t="s">
        <v>16</v>
      </c>
      <c r="G92" s="1495"/>
      <c r="H92" s="1495"/>
      <c r="I92" s="3007" t="s">
        <v>7249</v>
      </c>
      <c r="J92" s="3009" t="s">
        <v>65</v>
      </c>
      <c r="K92" s="3265" t="s">
        <v>8109</v>
      </c>
      <c r="L92" s="3056" t="s">
        <v>8110</v>
      </c>
      <c r="M92" s="2357">
        <v>263</v>
      </c>
      <c r="N92" s="2907" t="s">
        <v>7407</v>
      </c>
      <c r="O92" s="1493"/>
      <c r="P92" s="1859"/>
      <c r="Q92" s="3319" t="s">
        <v>7370</v>
      </c>
      <c r="R92" s="1548"/>
      <c r="S92" s="1548"/>
      <c r="T92" s="1548"/>
      <c r="U92" s="1548"/>
      <c r="V92" s="1548"/>
      <c r="W92" s="1548"/>
      <c r="X92" s="1548"/>
      <c r="Y92" s="1548"/>
      <c r="Z92" s="1548"/>
      <c r="AA92" s="1548"/>
    </row>
    <row r="93" spans="1:29" s="2150" customFormat="1" ht="58.6" customHeight="1">
      <c r="A93" s="3848"/>
      <c r="B93" s="3189" t="str">
        <f t="shared" si="2"/>
        <v>2200002236</v>
      </c>
      <c r="C93" s="3009" t="s">
        <v>3150</v>
      </c>
      <c r="D93" s="3336"/>
      <c r="E93" s="1909" t="s">
        <v>8060</v>
      </c>
      <c r="F93" s="3009" t="s">
        <v>16</v>
      </c>
      <c r="G93" s="1909"/>
      <c r="H93" s="1909"/>
      <c r="I93" s="3007" t="s">
        <v>7249</v>
      </c>
      <c r="J93" s="3009" t="s">
        <v>65</v>
      </c>
      <c r="K93" s="1921" t="s">
        <v>164</v>
      </c>
      <c r="L93" s="1547" t="s">
        <v>8111</v>
      </c>
      <c r="M93" s="2357">
        <v>8000</v>
      </c>
      <c r="N93" s="2196" t="s">
        <v>8080</v>
      </c>
      <c r="O93" s="2429"/>
      <c r="P93" s="3337"/>
      <c r="Q93" s="3306" t="s">
        <v>7370</v>
      </c>
    </row>
    <row r="94" spans="1:29" s="2150" customFormat="1" ht="58.6" customHeight="1">
      <c r="A94" s="3848"/>
      <c r="B94" s="3189" t="str">
        <f t="shared" si="2"/>
        <v>2000003421</v>
      </c>
      <c r="C94" s="3009" t="s">
        <v>3150</v>
      </c>
      <c r="D94" s="3210"/>
      <c r="E94" s="3007"/>
      <c r="F94" s="3009" t="s">
        <v>16</v>
      </c>
      <c r="G94" s="3007"/>
      <c r="H94" s="3007"/>
      <c r="I94" s="3058" t="s">
        <v>7249</v>
      </c>
      <c r="J94" s="3009" t="s">
        <v>65</v>
      </c>
      <c r="K94" s="3007" t="s">
        <v>106</v>
      </c>
      <c r="L94" s="2878" t="s">
        <v>8112</v>
      </c>
      <c r="M94" s="3217">
        <v>200</v>
      </c>
      <c r="N94" s="2907" t="s">
        <v>7407</v>
      </c>
      <c r="O94" s="3019"/>
      <c r="P94" s="3206"/>
      <c r="Q94" s="3306" t="s">
        <v>7370</v>
      </c>
    </row>
    <row r="95" spans="1:29" s="2150" customFormat="1" ht="58.6" customHeight="1">
      <c r="A95" s="3849"/>
      <c r="B95" s="3189" t="str">
        <f t="shared" si="2"/>
        <v>2000003419</v>
      </c>
      <c r="C95" s="3009" t="s">
        <v>3150</v>
      </c>
      <c r="D95" s="3210"/>
      <c r="E95" s="3007"/>
      <c r="F95" s="3009" t="s">
        <v>16</v>
      </c>
      <c r="G95" s="3007"/>
      <c r="H95" s="3007"/>
      <c r="I95" s="3058" t="s">
        <v>7249</v>
      </c>
      <c r="J95" s="3009" t="s">
        <v>65</v>
      </c>
      <c r="K95" s="3007" t="s">
        <v>106</v>
      </c>
      <c r="L95" s="2878" t="s">
        <v>8113</v>
      </c>
      <c r="M95" s="3217">
        <v>3440</v>
      </c>
      <c r="N95" s="2907" t="s">
        <v>7407</v>
      </c>
      <c r="O95" s="3019"/>
      <c r="P95" s="3206"/>
      <c r="Q95" s="3306" t="s">
        <v>7370</v>
      </c>
    </row>
    <row r="96" spans="1:29" s="2643" customFormat="1" ht="58.6" customHeight="1">
      <c r="A96" s="3863">
        <v>26</v>
      </c>
      <c r="B96" s="3189" t="str">
        <f t="shared" si="2"/>
        <v>2200002193</v>
      </c>
      <c r="C96" s="3239" t="s">
        <v>153</v>
      </c>
      <c r="D96" s="2480">
        <v>11650</v>
      </c>
      <c r="E96" s="1921" t="s">
        <v>8114</v>
      </c>
      <c r="F96" s="3019" t="s">
        <v>22</v>
      </c>
      <c r="G96" s="1921" t="s">
        <v>8115</v>
      </c>
      <c r="H96" s="1921" t="s">
        <v>8116</v>
      </c>
      <c r="I96" s="1921" t="s">
        <v>7780</v>
      </c>
      <c r="J96" s="1902" t="s">
        <v>65</v>
      </c>
      <c r="K96" s="1921" t="s">
        <v>1179</v>
      </c>
      <c r="L96" s="1862" t="s">
        <v>8117</v>
      </c>
      <c r="M96" s="3041">
        <v>9150</v>
      </c>
      <c r="N96" s="2196" t="s">
        <v>8080</v>
      </c>
      <c r="O96" s="1902"/>
      <c r="P96" s="1862"/>
      <c r="Q96" s="3306" t="s">
        <v>7252</v>
      </c>
      <c r="R96" s="3299"/>
    </row>
    <row r="97" spans="1:29" s="1559" customFormat="1" ht="58.6" customHeight="1">
      <c r="A97" s="3863"/>
      <c r="B97" s="3024" t="str">
        <f t="shared" si="2"/>
        <v>2200002192</v>
      </c>
      <c r="C97" s="3300" t="s">
        <v>153</v>
      </c>
      <c r="D97" s="3301"/>
      <c r="E97" s="3008"/>
      <c r="F97" s="3160" t="s">
        <v>22</v>
      </c>
      <c r="G97" s="3008"/>
      <c r="H97" s="3008"/>
      <c r="I97" s="1543" t="s">
        <v>7780</v>
      </c>
      <c r="J97" s="1545" t="s">
        <v>65</v>
      </c>
      <c r="K97" s="1543" t="s">
        <v>1179</v>
      </c>
      <c r="L97" s="3056" t="s">
        <v>8118</v>
      </c>
      <c r="M97" s="3302">
        <v>2500</v>
      </c>
      <c r="N97" s="3188" t="s">
        <v>7407</v>
      </c>
      <c r="O97" s="3160"/>
      <c r="P97" s="3303"/>
      <c r="Q97" s="3318">
        <v>1</v>
      </c>
      <c r="R97" s="1467"/>
      <c r="S97" s="1467"/>
      <c r="T97" s="1467"/>
      <c r="U97" s="1467"/>
      <c r="V97" s="1467"/>
      <c r="W97" s="1467"/>
      <c r="X97" s="1467"/>
      <c r="Y97" s="1467"/>
      <c r="Z97" s="1467"/>
      <c r="AA97" s="1467"/>
      <c r="AB97" s="1467"/>
      <c r="AC97" s="1467"/>
    </row>
    <row r="98" spans="1:29" s="2150" customFormat="1" ht="58.6" customHeight="1">
      <c r="A98" s="3847">
        <v>27</v>
      </c>
      <c r="B98" s="3189" t="str">
        <f t="shared" si="2"/>
        <v>2200002162</v>
      </c>
      <c r="C98" s="1902" t="s">
        <v>3440</v>
      </c>
      <c r="D98" s="2607">
        <v>8800</v>
      </c>
      <c r="E98" s="1921" t="s">
        <v>8119</v>
      </c>
      <c r="F98" s="1902" t="s">
        <v>16</v>
      </c>
      <c r="G98" s="1921" t="s">
        <v>8120</v>
      </c>
      <c r="H98" s="1921" t="s">
        <v>8121</v>
      </c>
      <c r="I98" s="1921" t="s">
        <v>7780</v>
      </c>
      <c r="J98" s="1902" t="s">
        <v>65</v>
      </c>
      <c r="K98" s="2187" t="s">
        <v>1179</v>
      </c>
      <c r="L98" s="3118" t="s">
        <v>8070</v>
      </c>
      <c r="M98" s="3162">
        <v>4820</v>
      </c>
      <c r="N98" s="2907" t="s">
        <v>8122</v>
      </c>
      <c r="O98" s="1902"/>
      <c r="P98" s="1911"/>
      <c r="Q98" s="3316" t="s">
        <v>7370</v>
      </c>
      <c r="R98" s="1902"/>
    </row>
    <row r="99" spans="1:29" s="2590" customFormat="1" ht="58.6" customHeight="1">
      <c r="A99" s="3848"/>
      <c r="B99" s="3189" t="str">
        <f t="shared" si="2"/>
        <v>2000003394</v>
      </c>
      <c r="C99" s="1493" t="s">
        <v>3440</v>
      </c>
      <c r="D99" s="2795"/>
      <c r="E99" s="1748"/>
      <c r="F99" s="1493" t="s">
        <v>16</v>
      </c>
      <c r="G99" s="1748"/>
      <c r="H99" s="1748"/>
      <c r="I99" s="1624" t="s">
        <v>7249</v>
      </c>
      <c r="J99" s="1493" t="s">
        <v>65</v>
      </c>
      <c r="K99" s="1543" t="s">
        <v>1179</v>
      </c>
      <c r="L99" s="1600" t="s">
        <v>8123</v>
      </c>
      <c r="M99" s="2646">
        <v>930</v>
      </c>
      <c r="N99" s="2196" t="s">
        <v>8080</v>
      </c>
      <c r="O99" s="1790"/>
      <c r="P99" s="2544"/>
      <c r="Q99" s="3318" t="s">
        <v>7370</v>
      </c>
      <c r="R99" s="1790"/>
    </row>
    <row r="100" spans="1:29" s="1467" customFormat="1" ht="58.6" customHeight="1">
      <c r="A100" s="3848"/>
      <c r="B100" s="3189" t="str">
        <f t="shared" ref="B100:B115" si="3">TEXT(LEFT(L100,10),"0000000000")</f>
        <v>2200002219</v>
      </c>
      <c r="C100" s="1493" t="s">
        <v>3440</v>
      </c>
      <c r="D100" s="3323"/>
      <c r="E100" s="3008"/>
      <c r="F100" s="1493" t="s">
        <v>16</v>
      </c>
      <c r="G100" s="1543"/>
      <c r="H100" s="1543"/>
      <c r="I100" s="1495" t="s">
        <v>7780</v>
      </c>
      <c r="J100" s="3160" t="s">
        <v>65</v>
      </c>
      <c r="K100" s="1543" t="s">
        <v>1179</v>
      </c>
      <c r="L100" s="3213" t="s">
        <v>8124</v>
      </c>
      <c r="M100" s="3040">
        <v>745</v>
      </c>
      <c r="N100" s="2907" t="s">
        <v>7990</v>
      </c>
      <c r="O100" s="1545"/>
      <c r="P100" s="1828"/>
      <c r="Q100" s="3320" t="s">
        <v>7370</v>
      </c>
      <c r="R100" s="1545"/>
    </row>
    <row r="101" spans="1:29" s="1467" customFormat="1" ht="58.6" customHeight="1">
      <c r="A101" s="3848"/>
      <c r="B101" s="3189" t="str">
        <f t="shared" si="3"/>
        <v>2200002222</v>
      </c>
      <c r="C101" s="1782" t="s">
        <v>3440</v>
      </c>
      <c r="D101" s="1494"/>
      <c r="E101" s="1495"/>
      <c r="F101" s="1782" t="s">
        <v>16</v>
      </c>
      <c r="G101" s="1495"/>
      <c r="H101" s="1495"/>
      <c r="I101" s="1495" t="s">
        <v>7780</v>
      </c>
      <c r="J101" s="3324" t="s">
        <v>65</v>
      </c>
      <c r="K101" s="1543" t="s">
        <v>1179</v>
      </c>
      <c r="L101" s="1600" t="s">
        <v>8125</v>
      </c>
      <c r="M101" s="2357">
        <v>332</v>
      </c>
      <c r="N101" s="2196" t="s">
        <v>7625</v>
      </c>
      <c r="O101" s="1493"/>
      <c r="P101" s="1859"/>
      <c r="Q101" s="3320" t="s">
        <v>7370</v>
      </c>
      <c r="R101" s="1548"/>
      <c r="S101" s="1548"/>
      <c r="T101" s="1548"/>
      <c r="U101" s="1548"/>
      <c r="V101" s="1548"/>
      <c r="W101" s="1548"/>
      <c r="X101" s="1548"/>
      <c r="Y101" s="1548"/>
      <c r="Z101" s="1548"/>
      <c r="AA101" s="1548"/>
    </row>
    <row r="102" spans="1:29" s="1467" customFormat="1" ht="58.6" customHeight="1">
      <c r="A102" s="3848"/>
      <c r="B102" s="3189" t="str">
        <f t="shared" si="3"/>
        <v>2200002223</v>
      </c>
      <c r="C102" s="1782" t="s">
        <v>3440</v>
      </c>
      <c r="D102" s="1494"/>
      <c r="E102" s="1495"/>
      <c r="F102" s="1782" t="s">
        <v>16</v>
      </c>
      <c r="G102" s="1495"/>
      <c r="H102" s="1495"/>
      <c r="I102" s="1495" t="s">
        <v>7780</v>
      </c>
      <c r="J102" s="3324" t="s">
        <v>65</v>
      </c>
      <c r="K102" s="1543" t="s">
        <v>1179</v>
      </c>
      <c r="L102" s="1600" t="s">
        <v>8126</v>
      </c>
      <c r="M102" s="2357">
        <v>810</v>
      </c>
      <c r="N102" s="2907" t="s">
        <v>7990</v>
      </c>
      <c r="O102" s="1493"/>
      <c r="P102" s="1859"/>
      <c r="Q102" s="3320" t="s">
        <v>7370</v>
      </c>
      <c r="R102" s="1548"/>
      <c r="S102" s="1548"/>
      <c r="T102" s="1548"/>
      <c r="U102" s="1548"/>
      <c r="V102" s="1548"/>
      <c r="W102" s="1548"/>
      <c r="X102" s="1548"/>
      <c r="Y102" s="1548"/>
      <c r="Z102" s="1548"/>
      <c r="AA102" s="1548"/>
    </row>
    <row r="103" spans="1:29" s="1467" customFormat="1" ht="58.6" customHeight="1">
      <c r="A103" s="3848"/>
      <c r="B103" s="3189" t="str">
        <f t="shared" si="3"/>
        <v>2200002224</v>
      </c>
      <c r="C103" s="1782" t="s">
        <v>3440</v>
      </c>
      <c r="D103" s="1494"/>
      <c r="E103" s="1495"/>
      <c r="F103" s="1782" t="s">
        <v>16</v>
      </c>
      <c r="G103" s="1495"/>
      <c r="H103" s="1495"/>
      <c r="I103" s="1495" t="s">
        <v>7780</v>
      </c>
      <c r="J103" s="3324" t="s">
        <v>65</v>
      </c>
      <c r="K103" s="1543" t="s">
        <v>1179</v>
      </c>
      <c r="L103" s="1600" t="s">
        <v>8127</v>
      </c>
      <c r="M103" s="2357">
        <v>125</v>
      </c>
      <c r="N103" s="2196" t="s">
        <v>7625</v>
      </c>
      <c r="O103" s="1493"/>
      <c r="P103" s="1859"/>
      <c r="Q103" s="3320" t="s">
        <v>7370</v>
      </c>
      <c r="R103" s="1548"/>
      <c r="S103" s="1548"/>
      <c r="T103" s="1548"/>
      <c r="U103" s="1548"/>
      <c r="V103" s="1548"/>
      <c r="W103" s="1548"/>
      <c r="X103" s="1548"/>
      <c r="Y103" s="1548"/>
      <c r="Z103" s="1548"/>
      <c r="AA103" s="1548"/>
    </row>
    <row r="104" spans="1:29" s="1467" customFormat="1" ht="58.6" customHeight="1">
      <c r="A104" s="3848"/>
      <c r="B104" s="3189" t="str">
        <f t="shared" si="3"/>
        <v>2200002225</v>
      </c>
      <c r="C104" s="1782" t="s">
        <v>3440</v>
      </c>
      <c r="D104" s="1494"/>
      <c r="E104" s="1495"/>
      <c r="F104" s="1782" t="s">
        <v>16</v>
      </c>
      <c r="G104" s="1495"/>
      <c r="H104" s="1495"/>
      <c r="I104" s="1495" t="s">
        <v>7780</v>
      </c>
      <c r="J104" s="3324" t="s">
        <v>65</v>
      </c>
      <c r="K104" s="1543" t="s">
        <v>1179</v>
      </c>
      <c r="L104" s="1600" t="s">
        <v>8128</v>
      </c>
      <c r="M104" s="2357">
        <v>366</v>
      </c>
      <c r="N104" s="2907" t="s">
        <v>7990</v>
      </c>
      <c r="O104" s="1493"/>
      <c r="P104" s="1859"/>
      <c r="Q104" s="3320" t="s">
        <v>7370</v>
      </c>
      <c r="R104" s="1548"/>
      <c r="S104" s="1548"/>
      <c r="T104" s="1548"/>
      <c r="U104" s="1548"/>
      <c r="V104" s="1548"/>
      <c r="W104" s="1548"/>
      <c r="X104" s="1548"/>
      <c r="Y104" s="1548"/>
      <c r="Z104" s="1548"/>
      <c r="AA104" s="1548"/>
    </row>
    <row r="105" spans="1:29" s="1467" customFormat="1" ht="58.6" customHeight="1">
      <c r="A105" s="3849"/>
      <c r="B105" s="3189" t="str">
        <f t="shared" si="3"/>
        <v>2200002150</v>
      </c>
      <c r="C105" s="1782" t="s">
        <v>3440</v>
      </c>
      <c r="D105" s="1668"/>
      <c r="E105" s="1495"/>
      <c r="F105" s="1782" t="s">
        <v>16</v>
      </c>
      <c r="G105" s="1495"/>
      <c r="H105" s="1495"/>
      <c r="I105" s="1495" t="s">
        <v>7780</v>
      </c>
      <c r="J105" s="1902" t="s">
        <v>65</v>
      </c>
      <c r="K105" s="1543" t="s">
        <v>1179</v>
      </c>
      <c r="L105" s="2875" t="s">
        <v>7991</v>
      </c>
      <c r="M105" s="3242">
        <v>670</v>
      </c>
      <c r="N105" s="2907" t="s">
        <v>7407</v>
      </c>
      <c r="O105" s="1493"/>
      <c r="P105" s="1859"/>
      <c r="Q105" s="3320" t="s">
        <v>7370</v>
      </c>
      <c r="R105" s="1852"/>
    </row>
    <row r="106" spans="1:29" s="2643" customFormat="1" ht="58.6" customHeight="1">
      <c r="A106" s="3850">
        <v>28</v>
      </c>
      <c r="B106" s="3189" t="str">
        <f t="shared" si="3"/>
        <v>2000003382</v>
      </c>
      <c r="C106" s="2667" t="s">
        <v>260</v>
      </c>
      <c r="D106" s="2767">
        <v>3750</v>
      </c>
      <c r="E106" s="1921" t="s">
        <v>8129</v>
      </c>
      <c r="F106" s="2667" t="s">
        <v>20</v>
      </c>
      <c r="G106" s="1921" t="s">
        <v>8130</v>
      </c>
      <c r="H106" s="1921"/>
      <c r="I106" s="1921" t="s">
        <v>6558</v>
      </c>
      <c r="J106" s="2667" t="s">
        <v>65</v>
      </c>
      <c r="K106" s="2187" t="s">
        <v>66</v>
      </c>
      <c r="L106" s="1862" t="s">
        <v>8131</v>
      </c>
      <c r="M106" s="2583">
        <v>1230</v>
      </c>
      <c r="N106" s="3188" t="s">
        <v>7407</v>
      </c>
      <c r="O106" s="1902"/>
      <c r="P106" s="1775"/>
      <c r="Q106" s="3320" t="s">
        <v>7370</v>
      </c>
      <c r="R106" s="2626"/>
    </row>
    <row r="107" spans="1:29" s="1467" customFormat="1" ht="58.6" customHeight="1">
      <c r="A107" s="3851"/>
      <c r="B107" s="3189" t="str">
        <f t="shared" si="3"/>
        <v>2200002246</v>
      </c>
      <c r="C107" s="1782" t="s">
        <v>260</v>
      </c>
      <c r="D107" s="1668"/>
      <c r="E107" s="1495"/>
      <c r="F107" s="1782" t="s">
        <v>20</v>
      </c>
      <c r="G107" s="1495"/>
      <c r="H107" s="1495"/>
      <c r="I107" s="1495" t="s">
        <v>6558</v>
      </c>
      <c r="J107" s="2667" t="s">
        <v>65</v>
      </c>
      <c r="K107" s="1543" t="s">
        <v>1179</v>
      </c>
      <c r="L107" s="2875" t="s">
        <v>8132</v>
      </c>
      <c r="M107" s="3242">
        <v>1982</v>
      </c>
      <c r="N107" s="2907" t="s">
        <v>7990</v>
      </c>
      <c r="O107" s="1493"/>
      <c r="P107" s="1859"/>
      <c r="Q107" s="3320" t="s">
        <v>7370</v>
      </c>
      <c r="R107" s="1852"/>
    </row>
    <row r="108" spans="1:29" s="1467" customFormat="1" ht="58.6" customHeight="1">
      <c r="A108" s="3851"/>
      <c r="B108" s="3189" t="str">
        <f t="shared" si="3"/>
        <v>2200002251</v>
      </c>
      <c r="C108" s="3304" t="s">
        <v>260</v>
      </c>
      <c r="D108" s="1668"/>
      <c r="E108" s="1495"/>
      <c r="F108" s="1782" t="s">
        <v>20</v>
      </c>
      <c r="G108" s="1495"/>
      <c r="H108" s="1495"/>
      <c r="I108" s="1495" t="s">
        <v>6558</v>
      </c>
      <c r="J108" s="2667" t="s">
        <v>65</v>
      </c>
      <c r="K108" s="1543" t="s">
        <v>1179</v>
      </c>
      <c r="L108" s="2875" t="s">
        <v>8133</v>
      </c>
      <c r="M108" s="3242">
        <v>228</v>
      </c>
      <c r="N108" s="2907" t="s">
        <v>7990</v>
      </c>
      <c r="O108" s="1493"/>
      <c r="P108" s="1859"/>
      <c r="Q108" s="3320" t="s">
        <v>7370</v>
      </c>
      <c r="R108" s="1852"/>
    </row>
    <row r="109" spans="1:29" s="1467" customFormat="1" ht="58.6" customHeight="1">
      <c r="A109" s="3851"/>
      <c r="B109" s="3189" t="str">
        <f t="shared" si="3"/>
        <v>2200002253</v>
      </c>
      <c r="C109" s="3304" t="s">
        <v>260</v>
      </c>
      <c r="D109" s="1668"/>
      <c r="E109" s="1495"/>
      <c r="F109" s="1782" t="s">
        <v>20</v>
      </c>
      <c r="G109" s="1495"/>
      <c r="H109" s="1495"/>
      <c r="I109" s="1495" t="s">
        <v>6558</v>
      </c>
      <c r="J109" s="2667" t="s">
        <v>65</v>
      </c>
      <c r="K109" s="1543" t="s">
        <v>1179</v>
      </c>
      <c r="L109" s="2875" t="s">
        <v>8134</v>
      </c>
      <c r="M109" s="3242">
        <v>176</v>
      </c>
      <c r="N109" s="2907" t="s">
        <v>7990</v>
      </c>
      <c r="O109" s="1493"/>
      <c r="P109" s="1859"/>
      <c r="Q109" s="3320" t="s">
        <v>7370</v>
      </c>
      <c r="R109" s="1852"/>
    </row>
    <row r="110" spans="1:29" s="1467" customFormat="1" ht="58.6" customHeight="1">
      <c r="A110" s="3852"/>
      <c r="B110" s="3189" t="str">
        <f t="shared" si="3"/>
        <v>2200002254</v>
      </c>
      <c r="C110" s="3304" t="s">
        <v>260</v>
      </c>
      <c r="D110" s="1668"/>
      <c r="E110" s="1495"/>
      <c r="F110" s="1782" t="s">
        <v>20</v>
      </c>
      <c r="G110" s="1495"/>
      <c r="H110" s="1495"/>
      <c r="I110" s="1495" t="s">
        <v>6558</v>
      </c>
      <c r="J110" s="2667" t="s">
        <v>65</v>
      </c>
      <c r="K110" s="1543" t="s">
        <v>1179</v>
      </c>
      <c r="L110" s="2875" t="s">
        <v>8135</v>
      </c>
      <c r="M110" s="3242">
        <v>134</v>
      </c>
      <c r="N110" s="2907" t="s">
        <v>7990</v>
      </c>
      <c r="O110" s="1493"/>
      <c r="P110" s="1859"/>
      <c r="Q110" s="3320" t="s">
        <v>7370</v>
      </c>
      <c r="R110" s="1852"/>
    </row>
    <row r="111" spans="1:29" s="1548" customFormat="1" ht="58.6" customHeight="1">
      <c r="A111" s="3859">
        <v>29</v>
      </c>
      <c r="B111" s="3189" t="str">
        <f t="shared" si="3"/>
        <v>2000003424</v>
      </c>
      <c r="C111" s="3019" t="s">
        <v>3316</v>
      </c>
      <c r="D111" s="1494">
        <v>10500</v>
      </c>
      <c r="E111" s="1495" t="s">
        <v>8136</v>
      </c>
      <c r="F111" s="3009" t="s">
        <v>16</v>
      </c>
      <c r="G111" s="1495" t="s">
        <v>8137</v>
      </c>
      <c r="H111" s="1495"/>
      <c r="I111" s="1495" t="s">
        <v>7249</v>
      </c>
      <c r="J111" s="3009" t="s">
        <v>65</v>
      </c>
      <c r="K111" s="3007" t="s">
        <v>5400</v>
      </c>
      <c r="L111" s="2878" t="s">
        <v>8138</v>
      </c>
      <c r="M111" s="3037">
        <f>7560-3360</f>
        <v>4200</v>
      </c>
      <c r="N111" s="2196" t="s">
        <v>8080</v>
      </c>
      <c r="O111" s="1493"/>
      <c r="P111" s="1547"/>
      <c r="Q111" s="3316" t="s">
        <v>7370</v>
      </c>
      <c r="R111" s="3225"/>
      <c r="S111" s="1474"/>
      <c r="T111" s="1474"/>
      <c r="U111" s="3226"/>
      <c r="V111" s="1634"/>
      <c r="W111" s="1474"/>
      <c r="X111" s="2024"/>
      <c r="Y111" s="2024"/>
      <c r="Z111" s="1493"/>
      <c r="AA111" s="1495"/>
      <c r="AB111" s="1551"/>
      <c r="AC111" s="3227"/>
    </row>
    <row r="112" spans="1:29" s="1548" customFormat="1" ht="58.6" customHeight="1">
      <c r="A112" s="3860"/>
      <c r="B112" s="3189" t="str">
        <f t="shared" si="3"/>
        <v>2000003425</v>
      </c>
      <c r="C112" s="3009" t="s">
        <v>3316</v>
      </c>
      <c r="D112" s="3312"/>
      <c r="E112" s="3154"/>
      <c r="F112" s="3009" t="s">
        <v>16</v>
      </c>
      <c r="G112" s="1495"/>
      <c r="H112" s="1495"/>
      <c r="I112" s="1495" t="s">
        <v>7249</v>
      </c>
      <c r="J112" s="3009" t="s">
        <v>65</v>
      </c>
      <c r="K112" s="3007" t="s">
        <v>5400</v>
      </c>
      <c r="L112" s="2878" t="s">
        <v>8139</v>
      </c>
      <c r="M112" s="3037">
        <v>3360</v>
      </c>
      <c r="N112" s="2196" t="s">
        <v>8080</v>
      </c>
      <c r="O112" s="1493"/>
      <c r="P112" s="1547"/>
      <c r="Q112" s="3316" t="s">
        <v>7370</v>
      </c>
      <c r="R112" s="3225"/>
      <c r="S112" s="1474"/>
      <c r="T112" s="1474"/>
      <c r="U112" s="3226"/>
      <c r="V112" s="1634"/>
      <c r="W112" s="1474"/>
      <c r="X112" s="2024"/>
      <c r="Y112" s="2024"/>
      <c r="Z112" s="1493"/>
      <c r="AA112" s="1495"/>
      <c r="AB112" s="1551"/>
      <c r="AC112" s="3227"/>
    </row>
    <row r="113" spans="1:35" s="2643" customFormat="1" ht="58.6" customHeight="1">
      <c r="A113" s="3860"/>
      <c r="B113" s="3189" t="str">
        <f t="shared" si="3"/>
        <v>2000003368</v>
      </c>
      <c r="C113" s="3009" t="s">
        <v>3316</v>
      </c>
      <c r="D113" s="2607"/>
      <c r="E113" s="3021"/>
      <c r="F113" s="3009" t="s">
        <v>16</v>
      </c>
      <c r="G113" s="1921"/>
      <c r="H113" s="3269"/>
      <c r="I113" s="1495" t="s">
        <v>7249</v>
      </c>
      <c r="J113" s="1493" t="s">
        <v>65</v>
      </c>
      <c r="K113" s="3155" t="s">
        <v>5400</v>
      </c>
      <c r="L113" s="3241" t="s">
        <v>8140</v>
      </c>
      <c r="M113" s="3040">
        <v>82</v>
      </c>
      <c r="N113" s="2907" t="s">
        <v>8003</v>
      </c>
      <c r="O113" s="1902"/>
      <c r="P113" s="1745"/>
      <c r="Q113" s="3232" t="s">
        <v>7370</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6" customHeight="1">
      <c r="A114" s="3860"/>
      <c r="B114" s="3021" t="str">
        <f t="shared" si="3"/>
        <v>2000003444</v>
      </c>
      <c r="C114" s="3009" t="s">
        <v>3316</v>
      </c>
      <c r="D114" s="1494"/>
      <c r="E114" s="1495"/>
      <c r="F114" s="3009" t="s">
        <v>16</v>
      </c>
      <c r="G114" s="1495"/>
      <c r="H114" s="1495"/>
      <c r="I114" s="1495" t="s">
        <v>7249</v>
      </c>
      <c r="J114" s="3009" t="s">
        <v>65</v>
      </c>
      <c r="K114" s="1495" t="s">
        <v>164</v>
      </c>
      <c r="L114" s="1547" t="s">
        <v>8141</v>
      </c>
      <c r="M114" s="3037">
        <v>2000</v>
      </c>
      <c r="N114" s="2196" t="s">
        <v>8080</v>
      </c>
      <c r="O114" s="1493"/>
      <c r="P114" s="1547"/>
      <c r="Q114" s="3316" t="s">
        <v>7370</v>
      </c>
      <c r="R114" s="3225"/>
      <c r="S114" s="1474"/>
      <c r="T114" s="1474"/>
      <c r="U114" s="3226"/>
      <c r="V114" s="1634"/>
      <c r="W114" s="1474"/>
      <c r="X114" s="2024"/>
      <c r="Y114" s="2024"/>
      <c r="Z114" s="1493"/>
      <c r="AA114" s="1495"/>
      <c r="AB114" s="1551"/>
      <c r="AC114" s="3227"/>
    </row>
    <row r="115" spans="1:35" s="1548" customFormat="1" ht="58.6" customHeight="1">
      <c r="A115" s="3861"/>
      <c r="B115" s="3027" t="str">
        <f t="shared" si="3"/>
        <v>2000003442</v>
      </c>
      <c r="C115" s="3160" t="s">
        <v>3316</v>
      </c>
      <c r="D115" s="2613"/>
      <c r="E115" s="1543"/>
      <c r="F115" s="3160" t="s">
        <v>16</v>
      </c>
      <c r="G115" s="1543"/>
      <c r="H115" s="1543"/>
      <c r="I115" s="1543" t="s">
        <v>7249</v>
      </c>
      <c r="J115" s="3160" t="s">
        <v>65</v>
      </c>
      <c r="K115" s="1543" t="s">
        <v>164</v>
      </c>
      <c r="L115" s="1828" t="s">
        <v>8142</v>
      </c>
      <c r="M115" s="3037">
        <v>1000</v>
      </c>
      <c r="N115" s="2196" t="s">
        <v>8080</v>
      </c>
      <c r="O115" s="1493"/>
      <c r="P115" s="1547"/>
      <c r="Q115" s="3316" t="s">
        <v>7370</v>
      </c>
      <c r="R115" s="3225"/>
      <c r="S115" s="1474"/>
      <c r="T115" s="1474"/>
      <c r="U115" s="3226"/>
      <c r="V115" s="1634"/>
      <c r="W115" s="1474"/>
      <c r="X115" s="2024"/>
      <c r="Y115" s="2024"/>
      <c r="Z115" s="1493"/>
      <c r="AA115" s="1495"/>
      <c r="AB115" s="1551"/>
      <c r="AC115" s="3227"/>
    </row>
    <row r="116" spans="1:35" s="3329" customFormat="1" ht="58.6" customHeight="1">
      <c r="A116" s="3334"/>
      <c r="B116" s="3331"/>
      <c r="C116" s="3326" t="s">
        <v>2953</v>
      </c>
      <c r="D116" s="3332"/>
      <c r="E116" s="3327"/>
      <c r="F116" s="3326"/>
      <c r="G116" s="3328"/>
      <c r="H116" s="3327"/>
      <c r="I116" s="3327" t="s">
        <v>6558</v>
      </c>
      <c r="J116" s="3333"/>
      <c r="K116" s="3333"/>
      <c r="L116" s="3335" t="s">
        <v>257</v>
      </c>
      <c r="R116" s="3330"/>
    </row>
    <row r="117" spans="1:35" s="2150" customFormat="1" ht="58.6" customHeight="1">
      <c r="A117" s="3847">
        <v>3</v>
      </c>
      <c r="B117" s="3149" t="str">
        <f t="shared" ref="B117:B148" si="4">TEXT(LEFT(L117,10),"0000000000")</f>
        <v>2000003443</v>
      </c>
      <c r="C117" s="3025" t="s">
        <v>7399</v>
      </c>
      <c r="D117" s="2585">
        <v>12270</v>
      </c>
      <c r="E117" s="2118" t="s">
        <v>8143</v>
      </c>
      <c r="F117" s="3025" t="s">
        <v>16</v>
      </c>
      <c r="G117" s="2118" t="s">
        <v>8144</v>
      </c>
      <c r="H117" s="2118"/>
      <c r="I117" s="1851" t="s">
        <v>7249</v>
      </c>
      <c r="J117" s="3025" t="s">
        <v>65</v>
      </c>
      <c r="K117" s="2118" t="s">
        <v>164</v>
      </c>
      <c r="L117" s="2402" t="s">
        <v>8145</v>
      </c>
      <c r="M117" s="3041">
        <v>2000</v>
      </c>
      <c r="N117" s="2196" t="s">
        <v>8080</v>
      </c>
      <c r="O117" s="1902"/>
      <c r="P117" s="1911">
        <v>1909</v>
      </c>
      <c r="Q117" s="3316" t="s">
        <v>7370</v>
      </c>
      <c r="R117" s="3308"/>
      <c r="S117" s="2659"/>
      <c r="T117" s="2659"/>
      <c r="U117" s="3309"/>
      <c r="V117" s="1904"/>
      <c r="W117" s="2659"/>
      <c r="X117" s="2424"/>
      <c r="Y117" s="2424"/>
      <c r="Z117" s="1902"/>
      <c r="AA117" s="1921"/>
      <c r="AB117" s="3310"/>
      <c r="AC117" s="3311"/>
    </row>
    <row r="118" spans="1:35" s="1548" customFormat="1" ht="58.6" customHeight="1">
      <c r="A118" s="3848"/>
      <c r="B118" s="3021" t="str">
        <f t="shared" si="4"/>
        <v>2000003445</v>
      </c>
      <c r="C118" s="3009" t="s">
        <v>7399</v>
      </c>
      <c r="D118" s="1494"/>
      <c r="E118" s="1495"/>
      <c r="F118" s="3009" t="s">
        <v>16</v>
      </c>
      <c r="G118" s="1495"/>
      <c r="H118" s="1495"/>
      <c r="I118" s="1495" t="s">
        <v>7249</v>
      </c>
      <c r="J118" s="3009" t="s">
        <v>65</v>
      </c>
      <c r="K118" s="1495" t="s">
        <v>164</v>
      </c>
      <c r="L118" s="1547" t="s">
        <v>8146</v>
      </c>
      <c r="M118" s="3037">
        <v>2000</v>
      </c>
      <c r="N118" s="2196" t="s">
        <v>8080</v>
      </c>
      <c r="O118" s="1493"/>
      <c r="P118" s="1547">
        <v>1841</v>
      </c>
      <c r="Q118" s="3316" t="s">
        <v>7370</v>
      </c>
      <c r="R118" s="3225"/>
      <c r="S118" s="1474"/>
      <c r="T118" s="1474"/>
      <c r="U118" s="3226"/>
      <c r="V118" s="1634"/>
      <c r="W118" s="1474"/>
      <c r="X118" s="2024"/>
      <c r="Y118" s="2024"/>
      <c r="Z118" s="1493"/>
      <c r="AA118" s="1495"/>
      <c r="AB118" s="1551"/>
      <c r="AC118" s="3227"/>
    </row>
    <row r="119" spans="1:35" s="1548" customFormat="1" ht="58.6" customHeight="1">
      <c r="A119" s="3848"/>
      <c r="B119" s="3021" t="str">
        <f t="shared" si="4"/>
        <v>2000003442</v>
      </c>
      <c r="C119" s="3009" t="s">
        <v>7399</v>
      </c>
      <c r="D119" s="1494"/>
      <c r="E119" s="1495"/>
      <c r="F119" s="3009" t="s">
        <v>16</v>
      </c>
      <c r="G119" s="1495"/>
      <c r="H119" s="1495"/>
      <c r="I119" s="1495" t="s">
        <v>7249</v>
      </c>
      <c r="J119" s="3009" t="s">
        <v>65</v>
      </c>
      <c r="K119" s="1495" t="s">
        <v>164</v>
      </c>
      <c r="L119" s="1600" t="s">
        <v>8147</v>
      </c>
      <c r="M119" s="3037">
        <v>1000</v>
      </c>
      <c r="N119" s="2196" t="s">
        <v>8080</v>
      </c>
      <c r="O119" s="1493"/>
      <c r="P119" s="1547"/>
      <c r="Q119" s="3316" t="s">
        <v>7370</v>
      </c>
      <c r="R119" s="3225"/>
      <c r="S119" s="1474"/>
      <c r="T119" s="1474"/>
      <c r="U119" s="3226"/>
      <c r="V119" s="1634"/>
      <c r="W119" s="1474"/>
      <c r="X119" s="2024"/>
      <c r="Y119" s="2024"/>
      <c r="Z119" s="1493"/>
      <c r="AA119" s="1495"/>
      <c r="AB119" s="1551"/>
      <c r="AC119" s="3227"/>
    </row>
    <row r="120" spans="1:35" s="2150" customFormat="1" ht="58.6" customHeight="1">
      <c r="A120" s="3849"/>
      <c r="B120" s="3021" t="str">
        <f t="shared" si="4"/>
        <v>2000003418</v>
      </c>
      <c r="C120" s="3009" t="s">
        <v>7399</v>
      </c>
      <c r="D120" s="3210"/>
      <c r="E120" s="3007"/>
      <c r="F120" s="3009" t="s">
        <v>16</v>
      </c>
      <c r="G120" s="3007"/>
      <c r="H120" s="3007"/>
      <c r="I120" s="3007" t="s">
        <v>7249</v>
      </c>
      <c r="J120" s="3009" t="s">
        <v>65</v>
      </c>
      <c r="K120" s="3007" t="s">
        <v>106</v>
      </c>
      <c r="L120" s="2878" t="s">
        <v>8148</v>
      </c>
      <c r="M120" s="3217">
        <v>7300</v>
      </c>
      <c r="N120" s="3188" t="s">
        <v>7407</v>
      </c>
      <c r="O120" s="3019"/>
      <c r="P120" s="3206"/>
      <c r="Q120" s="3306" t="s">
        <v>7370</v>
      </c>
    </row>
    <row r="121" spans="1:35" s="2150" customFormat="1" ht="58.6" customHeight="1">
      <c r="A121" s="3847">
        <v>31</v>
      </c>
      <c r="B121" s="3021" t="str">
        <f t="shared" si="4"/>
        <v>2000003418</v>
      </c>
      <c r="C121" s="3019" t="s">
        <v>8149</v>
      </c>
      <c r="D121" s="3210">
        <v>10600</v>
      </c>
      <c r="E121" s="3007" t="s">
        <v>8150</v>
      </c>
      <c r="F121" s="3009" t="s">
        <v>14</v>
      </c>
      <c r="G121" s="3007" t="s">
        <v>8151</v>
      </c>
      <c r="H121" s="3007"/>
      <c r="I121" s="3007" t="s">
        <v>7249</v>
      </c>
      <c r="J121" s="3009" t="s">
        <v>65</v>
      </c>
      <c r="K121" s="3007" t="s">
        <v>106</v>
      </c>
      <c r="L121" s="2878" t="s">
        <v>8152</v>
      </c>
      <c r="M121" s="3343">
        <f>9170-7300</f>
        <v>1870</v>
      </c>
      <c r="N121" s="3188" t="s">
        <v>7407</v>
      </c>
      <c r="O121" s="3019"/>
      <c r="P121" s="3206"/>
      <c r="Q121" s="3306" t="s">
        <v>7370</v>
      </c>
    </row>
    <row r="122" spans="1:35" s="1467" customFormat="1" ht="58.6" customHeight="1">
      <c r="A122" s="3848"/>
      <c r="B122" s="3021" t="str">
        <f t="shared" si="4"/>
        <v>2000003291</v>
      </c>
      <c r="C122" s="3009" t="s">
        <v>8149</v>
      </c>
      <c r="D122" s="1494"/>
      <c r="E122" s="1495"/>
      <c r="F122" s="3009" t="s">
        <v>14</v>
      </c>
      <c r="G122" s="1495"/>
      <c r="H122" s="1495"/>
      <c r="I122" s="3058" t="s">
        <v>7249</v>
      </c>
      <c r="J122" s="1495" t="s">
        <v>65</v>
      </c>
      <c r="K122" s="1495" t="s">
        <v>106</v>
      </c>
      <c r="L122" s="2878" t="s">
        <v>8153</v>
      </c>
      <c r="M122" s="3037">
        <v>1800</v>
      </c>
      <c r="N122" s="2196" t="s">
        <v>5392</v>
      </c>
      <c r="O122" s="1493"/>
      <c r="P122" s="2590"/>
      <c r="Q122" s="3306" t="s">
        <v>7370</v>
      </c>
      <c r="R122" s="2590"/>
      <c r="S122" s="1548"/>
      <c r="T122" s="1548"/>
      <c r="U122" s="1548"/>
      <c r="V122" s="1548"/>
      <c r="W122" s="1548"/>
    </row>
    <row r="123" spans="1:35" s="1467" customFormat="1" ht="58.6" customHeight="1">
      <c r="A123" s="3848"/>
      <c r="B123" s="3021" t="str">
        <f t="shared" si="4"/>
        <v>2000003427</v>
      </c>
      <c r="C123" s="3009" t="s">
        <v>8149</v>
      </c>
      <c r="D123" s="1494"/>
      <c r="E123" s="1495"/>
      <c r="F123" s="3009" t="s">
        <v>14</v>
      </c>
      <c r="G123" s="1495"/>
      <c r="H123" s="1495"/>
      <c r="I123" s="3058" t="s">
        <v>7249</v>
      </c>
      <c r="J123" s="3009" t="s">
        <v>65</v>
      </c>
      <c r="K123" s="3007" t="s">
        <v>106</v>
      </c>
      <c r="L123" s="2878" t="s">
        <v>8154</v>
      </c>
      <c r="M123" s="1826">
        <v>1200</v>
      </c>
      <c r="N123" s="3188" t="s">
        <v>7407</v>
      </c>
      <c r="O123" s="1493"/>
      <c r="P123" s="1859"/>
      <c r="Q123" s="3319" t="s">
        <v>7370</v>
      </c>
    </row>
    <row r="124" spans="1:35" s="2150" customFormat="1" ht="70.5" customHeight="1">
      <c r="A124" s="3848"/>
      <c r="B124" s="3021" t="str">
        <f t="shared" si="4"/>
        <v>2000003420</v>
      </c>
      <c r="C124" s="3009" t="s">
        <v>8149</v>
      </c>
      <c r="D124" s="3210"/>
      <c r="E124" s="3007"/>
      <c r="F124" s="3009" t="s">
        <v>14</v>
      </c>
      <c r="G124" s="3007"/>
      <c r="H124" s="3007"/>
      <c r="I124" s="3058" t="s">
        <v>7249</v>
      </c>
      <c r="J124" s="3009" t="s">
        <v>65</v>
      </c>
      <c r="K124" s="3007" t="s">
        <v>106</v>
      </c>
      <c r="L124" s="2878" t="s">
        <v>8155</v>
      </c>
      <c r="M124" s="3343">
        <v>800</v>
      </c>
      <c r="N124" s="2196" t="s">
        <v>5392</v>
      </c>
      <c r="O124" s="3019"/>
      <c r="P124" s="3206"/>
      <c r="Q124" s="3306" t="s">
        <v>7370</v>
      </c>
    </row>
    <row r="125" spans="1:35" s="1467" customFormat="1" ht="70.5" customHeight="1">
      <c r="A125" s="3848"/>
      <c r="B125" s="3021" t="str">
        <f t="shared" si="4"/>
        <v>2000003447</v>
      </c>
      <c r="C125" s="3009" t="s">
        <v>8149</v>
      </c>
      <c r="D125" s="1494"/>
      <c r="E125" s="1495"/>
      <c r="F125" s="3009" t="s">
        <v>14</v>
      </c>
      <c r="G125" s="1495"/>
      <c r="H125" s="1495"/>
      <c r="I125" s="3058" t="s">
        <v>7249</v>
      </c>
      <c r="J125" s="3009" t="s">
        <v>65</v>
      </c>
      <c r="K125" s="3007" t="s">
        <v>106</v>
      </c>
      <c r="L125" s="1600" t="s">
        <v>8156</v>
      </c>
      <c r="M125" s="1826">
        <v>1560</v>
      </c>
      <c r="N125" s="2907" t="s">
        <v>8157</v>
      </c>
      <c r="O125" s="1493"/>
      <c r="P125" s="1859"/>
      <c r="Q125" s="3319" t="s">
        <v>7370</v>
      </c>
    </row>
    <row r="126" spans="1:35" s="1548" customFormat="1" ht="70.5" customHeight="1">
      <c r="A126" s="3848"/>
      <c r="B126" s="3021" t="str">
        <f t="shared" si="4"/>
        <v>2000003441</v>
      </c>
      <c r="C126" s="3009" t="s">
        <v>8149</v>
      </c>
      <c r="F126" s="3009" t="s">
        <v>14</v>
      </c>
      <c r="G126" s="1495"/>
      <c r="H126" s="1495"/>
      <c r="I126" s="1495" t="s">
        <v>7249</v>
      </c>
      <c r="J126" s="3009" t="s">
        <v>65</v>
      </c>
      <c r="K126" s="1495" t="s">
        <v>164</v>
      </c>
      <c r="L126" s="1547" t="s">
        <v>8158</v>
      </c>
      <c r="M126" s="3037">
        <v>2000</v>
      </c>
      <c r="N126" s="2196" t="s">
        <v>5392</v>
      </c>
      <c r="O126" s="1493"/>
      <c r="P126" s="1547">
        <v>1953</v>
      </c>
      <c r="Q126" s="3316" t="s">
        <v>7370</v>
      </c>
      <c r="R126" s="3225"/>
      <c r="S126" s="1474"/>
      <c r="T126" s="1474"/>
      <c r="U126" s="3226"/>
      <c r="V126" s="1634"/>
      <c r="W126" s="1474"/>
      <c r="X126" s="2024"/>
      <c r="Y126" s="2024"/>
      <c r="Z126" s="1493"/>
      <c r="AA126" s="1495"/>
      <c r="AB126" s="1551"/>
      <c r="AC126" s="3227"/>
    </row>
    <row r="127" spans="1:35" s="1548" customFormat="1" ht="70.5" customHeight="1">
      <c r="A127" s="3848"/>
      <c r="B127" s="3021" t="str">
        <f t="shared" si="4"/>
        <v>2200002278</v>
      </c>
      <c r="C127" s="3009" t="s">
        <v>8149</v>
      </c>
      <c r="F127" s="3009" t="s">
        <v>14</v>
      </c>
      <c r="G127" s="1495"/>
      <c r="H127" s="1495"/>
      <c r="I127" s="1495" t="s">
        <v>8159</v>
      </c>
      <c r="J127" s="3009" t="s">
        <v>65</v>
      </c>
      <c r="K127" s="3007" t="s">
        <v>106</v>
      </c>
      <c r="L127" s="1600" t="s">
        <v>8160</v>
      </c>
      <c r="M127" s="3037">
        <v>240</v>
      </c>
      <c r="N127" s="2196" t="s">
        <v>8161</v>
      </c>
      <c r="O127" s="1493"/>
      <c r="P127" s="1547"/>
      <c r="Q127" s="3316" t="s">
        <v>7370</v>
      </c>
      <c r="R127" s="3225"/>
      <c r="S127" s="1474"/>
      <c r="T127" s="1474"/>
      <c r="U127" s="3226"/>
      <c r="V127" s="1634"/>
      <c r="W127" s="1474"/>
      <c r="X127" s="2024"/>
      <c r="Y127" s="2024"/>
      <c r="Z127" s="1493"/>
      <c r="AA127" s="1495"/>
      <c r="AB127" s="1551"/>
      <c r="AC127" s="3227"/>
    </row>
    <row r="128" spans="1:35" s="1548" customFormat="1" ht="70.5" customHeight="1">
      <c r="A128" s="3848"/>
      <c r="B128" s="3021" t="str">
        <f t="shared" si="4"/>
        <v>2200002266</v>
      </c>
      <c r="C128" s="3009" t="s">
        <v>8149</v>
      </c>
      <c r="F128" s="3009" t="s">
        <v>14</v>
      </c>
      <c r="G128" s="1495"/>
      <c r="H128" s="1495"/>
      <c r="I128" s="1495" t="s">
        <v>7249</v>
      </c>
      <c r="J128" s="1493" t="s">
        <v>65</v>
      </c>
      <c r="K128" s="3007" t="s">
        <v>106</v>
      </c>
      <c r="L128" s="2878" t="s">
        <v>8162</v>
      </c>
      <c r="M128" s="3037">
        <v>100</v>
      </c>
      <c r="N128" s="2196" t="s">
        <v>8163</v>
      </c>
      <c r="O128" s="1493"/>
      <c r="P128" s="2590"/>
      <c r="Q128" s="3232" t="s">
        <v>7370</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48"/>
      <c r="B129" s="3021" t="str">
        <f t="shared" si="4"/>
        <v>2200002280</v>
      </c>
      <c r="C129" s="3009" t="s">
        <v>8149</v>
      </c>
      <c r="F129" s="3009" t="s">
        <v>14</v>
      </c>
      <c r="G129" s="1495"/>
      <c r="H129" s="1495"/>
      <c r="I129" s="1495" t="s">
        <v>8159</v>
      </c>
      <c r="J129" s="1493" t="s">
        <v>65</v>
      </c>
      <c r="K129" s="3007" t="s">
        <v>106</v>
      </c>
      <c r="L129" s="1600" t="s">
        <v>8164</v>
      </c>
      <c r="M129" s="3037">
        <v>120</v>
      </c>
      <c r="N129" s="2196" t="s">
        <v>8161</v>
      </c>
      <c r="O129" s="1493"/>
      <c r="P129" s="1547"/>
      <c r="Q129" s="3316" t="s">
        <v>7370</v>
      </c>
      <c r="R129" s="3225"/>
      <c r="S129" s="1474"/>
      <c r="T129" s="1474"/>
      <c r="U129" s="3226"/>
      <c r="V129" s="1634"/>
      <c r="W129" s="1474"/>
      <c r="X129" s="2024"/>
      <c r="Y129" s="2024"/>
      <c r="Z129" s="1493"/>
      <c r="AA129" s="1495"/>
      <c r="AB129" s="1551"/>
      <c r="AC129" s="3227"/>
    </row>
    <row r="130" spans="1:29" s="1548" customFormat="1" ht="70.5" customHeight="1">
      <c r="A130" s="3849"/>
      <c r="B130" s="3021" t="str">
        <f t="shared" si="4"/>
        <v>2200002279</v>
      </c>
      <c r="C130" s="3009" t="s">
        <v>8149</v>
      </c>
      <c r="F130" s="3009" t="s">
        <v>14</v>
      </c>
      <c r="G130" s="1495"/>
      <c r="H130" s="1495"/>
      <c r="I130" s="1495" t="s">
        <v>8159</v>
      </c>
      <c r="J130" s="1493" t="s">
        <v>65</v>
      </c>
      <c r="K130" s="3007" t="s">
        <v>106</v>
      </c>
      <c r="L130" s="1843" t="s">
        <v>8165</v>
      </c>
      <c r="M130" s="3037">
        <v>1000</v>
      </c>
      <c r="N130" s="2196" t="s">
        <v>8161</v>
      </c>
      <c r="O130" s="1493"/>
      <c r="P130" s="1547"/>
      <c r="Q130" s="3316" t="s">
        <v>7370</v>
      </c>
      <c r="R130" s="3225"/>
      <c r="S130" s="1474"/>
      <c r="T130" s="1474"/>
      <c r="U130" s="3226"/>
      <c r="V130" s="1634"/>
      <c r="W130" s="1474"/>
      <c r="X130" s="2024"/>
      <c r="Y130" s="2024"/>
      <c r="Z130" s="1493"/>
      <c r="AA130" s="1495"/>
      <c r="AB130" s="1551"/>
      <c r="AC130" s="3227"/>
    </row>
    <row r="131" spans="1:29" s="2150" customFormat="1" ht="58.6" customHeight="1">
      <c r="A131" s="3768">
        <v>32</v>
      </c>
      <c r="B131" s="3021" t="str">
        <f t="shared" si="4"/>
        <v>2200002232</v>
      </c>
      <c r="C131" s="3019" t="s">
        <v>3508</v>
      </c>
      <c r="D131" s="3209">
        <v>4280</v>
      </c>
      <c r="E131" s="3021" t="s">
        <v>8136</v>
      </c>
      <c r="F131" s="2667" t="s">
        <v>18</v>
      </c>
      <c r="G131" s="1921" t="s">
        <v>8166</v>
      </c>
      <c r="H131" s="1921"/>
      <c r="I131" s="1921" t="s">
        <v>7249</v>
      </c>
      <c r="J131" s="1902" t="s">
        <v>65</v>
      </c>
      <c r="K131" s="1921" t="s">
        <v>142</v>
      </c>
      <c r="L131" s="3195" t="s">
        <v>8063</v>
      </c>
      <c r="M131" s="3079">
        <v>3140</v>
      </c>
      <c r="N131" s="3188" t="s">
        <v>7407</v>
      </c>
      <c r="O131" s="2429"/>
      <c r="P131" s="1745"/>
      <c r="Q131" s="3306">
        <v>2</v>
      </c>
      <c r="AC131" s="2643"/>
    </row>
    <row r="132" spans="1:29" s="2643" customFormat="1" ht="58.6" customHeight="1">
      <c r="A132" s="3769"/>
      <c r="B132" s="3021" t="str">
        <f t="shared" si="4"/>
        <v>2200002229</v>
      </c>
      <c r="C132" s="3009" t="s">
        <v>3508</v>
      </c>
      <c r="D132" s="3209"/>
      <c r="E132" s="3021"/>
      <c r="F132" s="1782" t="s">
        <v>18</v>
      </c>
      <c r="G132" s="1921"/>
      <c r="H132" s="1921"/>
      <c r="I132" s="1495" t="s">
        <v>7249</v>
      </c>
      <c r="J132" s="1493" t="s">
        <v>65</v>
      </c>
      <c r="K132" s="1495" t="s">
        <v>142</v>
      </c>
      <c r="L132" s="2878" t="s">
        <v>8094</v>
      </c>
      <c r="M132" s="3041">
        <v>1140</v>
      </c>
      <c r="N132" s="2196" t="s">
        <v>7959</v>
      </c>
      <c r="O132" s="1902"/>
      <c r="P132" s="1745"/>
      <c r="Q132" s="3232" t="s">
        <v>7370</v>
      </c>
    </row>
    <row r="133" spans="1:29" s="2643" customFormat="1" ht="58.6" customHeight="1">
      <c r="A133" s="3768">
        <v>33</v>
      </c>
      <c r="B133" s="3021" t="str">
        <f t="shared" si="4"/>
        <v>2200002229</v>
      </c>
      <c r="C133" s="3019" t="s">
        <v>7556</v>
      </c>
      <c r="D133" s="3209">
        <v>3730</v>
      </c>
      <c r="E133" s="1921" t="s">
        <v>8136</v>
      </c>
      <c r="F133" s="2667" t="s">
        <v>20</v>
      </c>
      <c r="G133" s="1921" t="s">
        <v>8167</v>
      </c>
      <c r="H133" s="1921"/>
      <c r="I133" s="1921" t="s">
        <v>7249</v>
      </c>
      <c r="J133" s="1902" t="s">
        <v>65</v>
      </c>
      <c r="K133" s="1921" t="s">
        <v>142</v>
      </c>
      <c r="L133" s="2904" t="s">
        <v>8168</v>
      </c>
      <c r="M133" s="3041">
        <v>1268</v>
      </c>
      <c r="N133" s="2196" t="s">
        <v>7959</v>
      </c>
      <c r="O133" s="1902"/>
      <c r="P133" s="1745"/>
      <c r="Q133" s="3232" t="s">
        <v>7370</v>
      </c>
    </row>
    <row r="134" spans="1:29" s="2643" customFormat="1" ht="58.6" customHeight="1">
      <c r="A134" s="3769"/>
      <c r="B134" s="3021" t="str">
        <f t="shared" si="4"/>
        <v>2000003410</v>
      </c>
      <c r="C134" s="3009" t="s">
        <v>7556</v>
      </c>
      <c r="D134" s="1494"/>
      <c r="E134" s="1495"/>
      <c r="F134" s="1782" t="s">
        <v>20</v>
      </c>
      <c r="G134" s="1495"/>
      <c r="H134" s="1495"/>
      <c r="I134" s="1495" t="s">
        <v>7249</v>
      </c>
      <c r="J134" s="3009" t="s">
        <v>65</v>
      </c>
      <c r="K134" s="1495" t="s">
        <v>117</v>
      </c>
      <c r="L134" s="1600" t="s">
        <v>8169</v>
      </c>
      <c r="M134" s="2357">
        <v>2500</v>
      </c>
      <c r="N134" s="2196" t="s">
        <v>5392</v>
      </c>
      <c r="O134" s="1493"/>
      <c r="P134" s="1859"/>
      <c r="Q134" s="3306">
        <v>2</v>
      </c>
      <c r="R134" s="1790"/>
      <c r="S134" s="1548"/>
      <c r="T134" s="1548"/>
      <c r="U134" s="1548"/>
      <c r="V134" s="1548"/>
      <c r="W134" s="1548"/>
      <c r="X134" s="1548"/>
      <c r="Y134" s="1548"/>
      <c r="Z134" s="1548"/>
      <c r="AA134" s="1548"/>
    </row>
    <row r="135" spans="1:29" s="2643" customFormat="1" ht="58.6" customHeight="1">
      <c r="A135" s="3216">
        <v>34</v>
      </c>
      <c r="B135" s="3021" t="str">
        <f t="shared" si="4"/>
        <v>2000003410</v>
      </c>
      <c r="C135" s="1902" t="s">
        <v>7944</v>
      </c>
      <c r="D135" s="2607">
        <v>4450</v>
      </c>
      <c r="E135" s="1921" t="s">
        <v>8170</v>
      </c>
      <c r="F135" s="1902" t="s">
        <v>26</v>
      </c>
      <c r="G135" s="1921" t="s">
        <v>8171</v>
      </c>
      <c r="H135" s="1921"/>
      <c r="I135" s="1495" t="s">
        <v>7249</v>
      </c>
      <c r="J135" s="3019" t="s">
        <v>65</v>
      </c>
      <c r="K135" s="1921" t="s">
        <v>117</v>
      </c>
      <c r="L135" s="1845" t="s">
        <v>8172</v>
      </c>
      <c r="M135" s="2583">
        <v>4450</v>
      </c>
      <c r="N135" s="2196" t="s">
        <v>5392</v>
      </c>
      <c r="O135" s="1902"/>
      <c r="P135" s="1775"/>
      <c r="Q135" s="3306">
        <v>2</v>
      </c>
      <c r="R135" s="2429"/>
      <c r="S135" s="2150"/>
      <c r="T135" s="2150"/>
      <c r="U135" s="2150"/>
      <c r="V135" s="2150"/>
      <c r="W135" s="2150"/>
      <c r="X135" s="2150"/>
      <c r="Y135" s="2150"/>
      <c r="Z135" s="2150"/>
      <c r="AA135" s="2150"/>
    </row>
    <row r="136" spans="1:29" s="2643" customFormat="1" ht="58.6" customHeight="1">
      <c r="A136" s="3847">
        <v>35</v>
      </c>
      <c r="B136" s="3021" t="str">
        <f t="shared" si="4"/>
        <v>2000003410</v>
      </c>
      <c r="C136" s="1902" t="s">
        <v>8173</v>
      </c>
      <c r="D136" s="3307">
        <v>3460</v>
      </c>
      <c r="E136" s="1902" t="s">
        <v>8170</v>
      </c>
      <c r="F136" s="1902" t="s">
        <v>24</v>
      </c>
      <c r="G136" s="1921"/>
      <c r="H136" s="1921"/>
      <c r="I136" s="1921" t="s">
        <v>7249</v>
      </c>
      <c r="J136" s="3019" t="s">
        <v>65</v>
      </c>
      <c r="K136" s="1921" t="s">
        <v>117</v>
      </c>
      <c r="L136" s="1845" t="s">
        <v>8174</v>
      </c>
      <c r="M136" s="2583">
        <v>1716</v>
      </c>
      <c r="N136" s="2196" t="s">
        <v>5392</v>
      </c>
      <c r="O136" s="1902"/>
      <c r="P136" s="1911"/>
      <c r="Q136" s="3316" t="s">
        <v>7370</v>
      </c>
      <c r="R136" s="3308"/>
      <c r="S136" s="2659"/>
      <c r="T136" s="2659"/>
      <c r="U136" s="3309"/>
      <c r="V136" s="1904"/>
      <c r="W136" s="2659"/>
      <c r="X136" s="2424"/>
      <c r="Y136" s="2424"/>
      <c r="Z136" s="1902"/>
      <c r="AA136" s="1921"/>
      <c r="AB136" s="3310"/>
      <c r="AC136" s="3311"/>
    </row>
    <row r="137" spans="1:29" s="1548" customFormat="1" ht="58.6" customHeight="1">
      <c r="A137" s="3849"/>
      <c r="B137" s="3021" t="str">
        <f t="shared" si="4"/>
        <v>2200002252</v>
      </c>
      <c r="C137" s="1493" t="s">
        <v>8173</v>
      </c>
      <c r="D137" s="1494"/>
      <c r="E137" s="1495"/>
      <c r="F137" s="1493" t="s">
        <v>24</v>
      </c>
      <c r="G137" s="1495"/>
      <c r="H137" s="1495"/>
      <c r="I137" s="1495" t="s">
        <v>7249</v>
      </c>
      <c r="J137" s="3009" t="s">
        <v>65</v>
      </c>
      <c r="K137" s="1495" t="s">
        <v>117</v>
      </c>
      <c r="L137" s="1600" t="s">
        <v>8175</v>
      </c>
      <c r="M137" s="3037">
        <v>1788</v>
      </c>
      <c r="N137" s="2196" t="s">
        <v>7959</v>
      </c>
      <c r="O137" s="1493"/>
      <c r="P137" s="1547"/>
      <c r="Q137" s="3316" t="s">
        <v>7370</v>
      </c>
      <c r="R137" s="3225"/>
      <c r="S137" s="1474"/>
      <c r="T137" s="1474"/>
      <c r="U137" s="3226"/>
      <c r="V137" s="1634"/>
      <c r="W137" s="1474"/>
      <c r="X137" s="2024"/>
      <c r="Y137" s="2024"/>
      <c r="Z137" s="1493"/>
      <c r="AA137" s="1495"/>
      <c r="AB137" s="1551"/>
      <c r="AC137" s="3227"/>
    </row>
    <row r="138" spans="1:29" s="2150" customFormat="1" ht="58.6" customHeight="1">
      <c r="A138" s="3847">
        <v>36</v>
      </c>
      <c r="B138" s="3021" t="str">
        <f t="shared" si="4"/>
        <v>2200002245</v>
      </c>
      <c r="C138" s="1902" t="s">
        <v>6609</v>
      </c>
      <c r="D138" s="3307">
        <v>4300</v>
      </c>
      <c r="E138" s="1902" t="s">
        <v>8176</v>
      </c>
      <c r="F138" s="1902" t="s">
        <v>24</v>
      </c>
      <c r="G138" s="1921" t="s">
        <v>8177</v>
      </c>
      <c r="H138" s="1921"/>
      <c r="I138" s="1921" t="s">
        <v>7249</v>
      </c>
      <c r="J138" s="3019" t="s">
        <v>65</v>
      </c>
      <c r="K138" s="1921" t="s">
        <v>117</v>
      </c>
      <c r="L138" s="1911" t="s">
        <v>8178</v>
      </c>
      <c r="M138" s="3041">
        <v>829</v>
      </c>
      <c r="N138" s="2196" t="s">
        <v>5392</v>
      </c>
      <c r="O138" s="1902"/>
      <c r="P138" s="1911"/>
      <c r="Q138" s="3316" t="s">
        <v>7370</v>
      </c>
      <c r="R138" s="3308"/>
      <c r="S138" s="2659"/>
      <c r="T138" s="2659"/>
      <c r="U138" s="3309"/>
      <c r="V138" s="1904"/>
      <c r="W138" s="2659"/>
      <c r="X138" s="2424"/>
      <c r="Y138" s="2424"/>
      <c r="Z138" s="1902"/>
      <c r="AA138" s="1921"/>
      <c r="AB138" s="3310"/>
      <c r="AC138" s="3311"/>
    </row>
    <row r="139" spans="1:29" s="1548" customFormat="1" ht="58.6" customHeight="1">
      <c r="A139" s="3848"/>
      <c r="B139" s="3021" t="str">
        <f t="shared" si="4"/>
        <v>2200002252</v>
      </c>
      <c r="C139" s="1493" t="s">
        <v>6609</v>
      </c>
      <c r="D139" s="1494"/>
      <c r="E139" s="1902" t="s">
        <v>8176</v>
      </c>
      <c r="F139" s="1902" t="s">
        <v>24</v>
      </c>
      <c r="G139" s="1495"/>
      <c r="H139" s="1495"/>
      <c r="I139" s="1495" t="s">
        <v>7249</v>
      </c>
      <c r="J139" s="3009" t="s">
        <v>65</v>
      </c>
      <c r="K139" s="1495" t="s">
        <v>117</v>
      </c>
      <c r="L139" s="1600" t="s">
        <v>8179</v>
      </c>
      <c r="M139" s="3037">
        <v>71</v>
      </c>
      <c r="N139" s="2196" t="s">
        <v>7959</v>
      </c>
      <c r="O139" s="1493"/>
      <c r="P139" s="1547"/>
      <c r="Q139" s="3316" t="s">
        <v>7370</v>
      </c>
      <c r="R139" s="3225"/>
      <c r="S139" s="1474"/>
      <c r="T139" s="1474"/>
      <c r="U139" s="3226"/>
      <c r="V139" s="1634"/>
      <c r="W139" s="1474"/>
      <c r="X139" s="2024"/>
      <c r="Y139" s="2024"/>
      <c r="Z139" s="1493"/>
      <c r="AA139" s="1495"/>
      <c r="AB139" s="1551"/>
      <c r="AC139" s="3227"/>
    </row>
    <row r="140" spans="1:29" s="1467" customFormat="1" ht="58.6" customHeight="1">
      <c r="A140" s="3848"/>
      <c r="B140" s="3189" t="str">
        <f t="shared" si="4"/>
        <v>2000003459</v>
      </c>
      <c r="C140" s="1493" t="s">
        <v>6609</v>
      </c>
      <c r="D140" s="1494"/>
      <c r="E140" s="1902" t="s">
        <v>8176</v>
      </c>
      <c r="F140" s="1493" t="s">
        <v>24</v>
      </c>
      <c r="G140" s="1495"/>
      <c r="H140" s="1495"/>
      <c r="I140" s="1495" t="s">
        <v>7249</v>
      </c>
      <c r="J140" s="3009" t="s">
        <v>65</v>
      </c>
      <c r="K140" s="1495" t="s">
        <v>117</v>
      </c>
      <c r="L140" s="1600" t="s">
        <v>8180</v>
      </c>
      <c r="M140" s="2357">
        <v>2123</v>
      </c>
      <c r="N140" s="2907" t="s">
        <v>7407</v>
      </c>
      <c r="O140" s="1493"/>
      <c r="P140" s="1859"/>
      <c r="Q140" s="3306" t="s">
        <v>7370</v>
      </c>
      <c r="R140" s="1548"/>
      <c r="S140" s="1548"/>
      <c r="T140" s="1548"/>
      <c r="U140" s="1548"/>
      <c r="V140" s="1548"/>
      <c r="W140" s="1548"/>
      <c r="X140" s="1548"/>
      <c r="Y140" s="1548"/>
      <c r="Z140" s="1548"/>
      <c r="AA140" s="1548"/>
    </row>
    <row r="141" spans="1:29" s="1467" customFormat="1" ht="58.6" customHeight="1">
      <c r="A141" s="3848"/>
      <c r="B141" s="3189" t="str">
        <f t="shared" si="4"/>
        <v>2000003399</v>
      </c>
      <c r="C141" s="1493" t="s">
        <v>6609</v>
      </c>
      <c r="D141" s="1494"/>
      <c r="E141" s="1902" t="s">
        <v>8176</v>
      </c>
      <c r="F141" s="1493" t="s">
        <v>24</v>
      </c>
      <c r="G141" s="1495"/>
      <c r="H141" s="1495"/>
      <c r="I141" s="1495" t="s">
        <v>7249</v>
      </c>
      <c r="J141" s="3009" t="s">
        <v>65</v>
      </c>
      <c r="K141" s="1495" t="s">
        <v>117</v>
      </c>
      <c r="L141" s="2878" t="s">
        <v>8181</v>
      </c>
      <c r="M141" s="2357">
        <v>950</v>
      </c>
      <c r="N141" s="2196" t="s">
        <v>5392</v>
      </c>
      <c r="O141" s="1493"/>
      <c r="P141" s="1859"/>
      <c r="Q141" s="3306" t="s">
        <v>7370</v>
      </c>
      <c r="R141" s="1548"/>
      <c r="S141" s="1548"/>
      <c r="T141" s="1548"/>
      <c r="U141" s="1548"/>
      <c r="V141" s="1548"/>
      <c r="W141" s="1548"/>
      <c r="X141" s="1548"/>
      <c r="Y141" s="1548"/>
      <c r="Z141" s="1548"/>
      <c r="AA141" s="1548"/>
    </row>
    <row r="142" spans="1:29" s="1467" customFormat="1" ht="58.6" customHeight="1">
      <c r="A142" s="3848"/>
      <c r="B142" s="3189" t="str">
        <f t="shared" si="4"/>
        <v>2200002263</v>
      </c>
      <c r="C142" s="1493" t="s">
        <v>6609</v>
      </c>
      <c r="D142" s="1494"/>
      <c r="E142" s="1495"/>
      <c r="F142" s="1493" t="s">
        <v>24</v>
      </c>
      <c r="G142" s="1495"/>
      <c r="H142" s="1495"/>
      <c r="I142" s="1495" t="s">
        <v>8182</v>
      </c>
      <c r="J142" s="3009" t="s">
        <v>65</v>
      </c>
      <c r="K142" s="1495" t="s">
        <v>117</v>
      </c>
      <c r="L142" s="2878" t="s">
        <v>8183</v>
      </c>
      <c r="M142" s="2357">
        <v>208</v>
      </c>
      <c r="N142" s="1495" t="s">
        <v>8184</v>
      </c>
      <c r="O142" s="1493"/>
      <c r="P142" s="1859"/>
      <c r="Q142" s="3306" t="s">
        <v>7370</v>
      </c>
      <c r="R142" s="1548"/>
      <c r="S142" s="1548"/>
      <c r="T142" s="1548"/>
      <c r="U142" s="1548"/>
      <c r="V142" s="1548"/>
      <c r="W142" s="1548"/>
      <c r="X142" s="1548"/>
      <c r="Y142" s="1548"/>
      <c r="Z142" s="1548"/>
      <c r="AA142" s="1548"/>
    </row>
    <row r="143" spans="1:29" s="1467" customFormat="1" ht="58.6" customHeight="1">
      <c r="A143" s="3849"/>
      <c r="B143" s="3189" t="str">
        <f t="shared" si="4"/>
        <v>2200002264</v>
      </c>
      <c r="C143" s="1493" t="s">
        <v>6609</v>
      </c>
      <c r="D143" s="1494"/>
      <c r="E143" s="1495"/>
      <c r="F143" s="1493" t="s">
        <v>24</v>
      </c>
      <c r="G143" s="1495"/>
      <c r="H143" s="1495"/>
      <c r="I143" s="1495" t="s">
        <v>8182</v>
      </c>
      <c r="J143" s="3009" t="s">
        <v>65</v>
      </c>
      <c r="K143" s="1495" t="s">
        <v>117</v>
      </c>
      <c r="L143" s="2878" t="s">
        <v>8185</v>
      </c>
      <c r="M143" s="2357">
        <v>200</v>
      </c>
      <c r="N143" s="2196" t="s">
        <v>7959</v>
      </c>
      <c r="O143" s="1493"/>
      <c r="P143" s="1859"/>
      <c r="Q143" s="3306" t="s">
        <v>7370</v>
      </c>
      <c r="R143" s="1548"/>
      <c r="S143" s="1548"/>
      <c r="T143" s="1548"/>
      <c r="U143" s="1548"/>
      <c r="V143" s="1548"/>
      <c r="W143" s="1548"/>
      <c r="X143" s="1548"/>
      <c r="Y143" s="1548"/>
      <c r="Z143" s="1548"/>
      <c r="AA143" s="1548"/>
    </row>
    <row r="144" spans="1:29" s="1467" customFormat="1" ht="58.6" customHeight="1">
      <c r="A144" s="3771">
        <v>37</v>
      </c>
      <c r="B144" s="3189" t="str">
        <f t="shared" si="4"/>
        <v>2200002264</v>
      </c>
      <c r="C144" s="1902" t="s">
        <v>5832</v>
      </c>
      <c r="D144" s="2607">
        <v>4300</v>
      </c>
      <c r="E144" s="1921" t="s">
        <v>8143</v>
      </c>
      <c r="F144" s="1902" t="s">
        <v>24</v>
      </c>
      <c r="G144" s="1921" t="s">
        <v>8186</v>
      </c>
      <c r="H144" s="1495"/>
      <c r="I144" s="1495" t="s">
        <v>7249</v>
      </c>
      <c r="J144" s="3009" t="s">
        <v>65</v>
      </c>
      <c r="K144" s="1495" t="s">
        <v>117</v>
      </c>
      <c r="L144" s="2878" t="s">
        <v>8187</v>
      </c>
      <c r="M144" s="2357">
        <v>1362</v>
      </c>
      <c r="N144" s="2196" t="s">
        <v>7959</v>
      </c>
      <c r="O144" s="1493"/>
      <c r="P144" s="1859"/>
      <c r="Q144" s="3306" t="s">
        <v>7370</v>
      </c>
      <c r="R144" s="1548"/>
      <c r="S144" s="1548"/>
      <c r="T144" s="1548"/>
      <c r="U144" s="1548"/>
      <c r="V144" s="1548"/>
      <c r="W144" s="1548"/>
      <c r="X144" s="1548"/>
      <c r="Y144" s="1548"/>
      <c r="Z144" s="1548"/>
      <c r="AA144" s="1548"/>
    </row>
    <row r="145" spans="1:35" s="1548" customFormat="1" ht="58.6" customHeight="1">
      <c r="A145" s="3772"/>
      <c r="B145" s="3189" t="str">
        <f t="shared" si="4"/>
        <v>2000003393</v>
      </c>
      <c r="C145" s="1493" t="s">
        <v>5832</v>
      </c>
      <c r="D145" s="1494"/>
      <c r="E145" s="1495"/>
      <c r="F145" s="1902" t="s">
        <v>24</v>
      </c>
      <c r="G145" s="1495"/>
      <c r="H145" s="1495"/>
      <c r="I145" s="1495" t="s">
        <v>7249</v>
      </c>
      <c r="J145" s="3009" t="s">
        <v>65</v>
      </c>
      <c r="K145" s="1495" t="s">
        <v>117</v>
      </c>
      <c r="L145" s="1600" t="s">
        <v>8188</v>
      </c>
      <c r="M145" s="2357">
        <v>860</v>
      </c>
      <c r="N145" s="2196" t="s">
        <v>5392</v>
      </c>
      <c r="O145" s="1493"/>
      <c r="P145" s="1859"/>
      <c r="Q145" s="3306" t="s">
        <v>7370</v>
      </c>
      <c r="R145" s="1790"/>
    </row>
    <row r="146" spans="1:35" s="2643" customFormat="1" ht="58.6" customHeight="1">
      <c r="A146" s="3772"/>
      <c r="B146" s="3021" t="str">
        <f t="shared" si="4"/>
        <v>2200002250</v>
      </c>
      <c r="C146" s="1493" t="s">
        <v>5832</v>
      </c>
      <c r="E146" s="2150"/>
      <c r="F146" s="1626" t="s">
        <v>24</v>
      </c>
      <c r="H146" s="1921"/>
      <c r="I146" s="1495" t="s">
        <v>7249</v>
      </c>
      <c r="J146" s="3009" t="s">
        <v>65</v>
      </c>
      <c r="K146" s="1495" t="s">
        <v>142</v>
      </c>
      <c r="L146" s="1845" t="s">
        <v>8189</v>
      </c>
      <c r="M146" s="3041">
        <v>324</v>
      </c>
      <c r="N146" s="2907" t="s">
        <v>8190</v>
      </c>
      <c r="O146" s="1902"/>
      <c r="P146" s="1911"/>
      <c r="Q146" s="3316" t="s">
        <v>7370</v>
      </c>
      <c r="R146" s="3308"/>
      <c r="S146" s="2659"/>
      <c r="T146" s="2659"/>
      <c r="U146" s="3309"/>
      <c r="V146" s="1904"/>
      <c r="W146" s="2659"/>
      <c r="X146" s="2424"/>
      <c r="Y146" s="2424"/>
      <c r="Z146" s="1902"/>
      <c r="AA146" s="1921"/>
      <c r="AB146" s="3310"/>
      <c r="AC146" s="3311"/>
    </row>
    <row r="147" spans="1:35" s="2643" customFormat="1" ht="58.6" customHeight="1">
      <c r="A147" s="3772"/>
      <c r="B147" s="3021" t="str">
        <f t="shared" si="4"/>
        <v>2200002249</v>
      </c>
      <c r="C147" s="1493" t="s">
        <v>5832</v>
      </c>
      <c r="D147" s="3210"/>
      <c r="E147" s="3154"/>
      <c r="F147" s="1493" t="s">
        <v>24</v>
      </c>
      <c r="G147" s="3007"/>
      <c r="H147" s="3068"/>
      <c r="I147" s="1495" t="s">
        <v>7249</v>
      </c>
      <c r="J147" s="3122" t="s">
        <v>65</v>
      </c>
      <c r="K147" s="1495" t="s">
        <v>142</v>
      </c>
      <c r="L147" s="2878" t="s">
        <v>8191</v>
      </c>
      <c r="M147" s="3217">
        <v>585</v>
      </c>
      <c r="N147" s="2196" t="s">
        <v>7625</v>
      </c>
      <c r="O147" s="3019"/>
      <c r="P147" s="3206"/>
      <c r="Q147" s="3306" t="s">
        <v>7370</v>
      </c>
      <c r="R147" s="2150"/>
      <c r="S147" s="2150"/>
      <c r="T147" s="2150"/>
      <c r="U147" s="2150"/>
      <c r="V147" s="2150"/>
      <c r="W147" s="2150"/>
      <c r="X147" s="2150"/>
      <c r="Y147" s="2150"/>
      <c r="Z147" s="2150"/>
      <c r="AA147" s="2150"/>
    </row>
    <row r="148" spans="1:35" s="1467" customFormat="1" ht="58.6" customHeight="1">
      <c r="A148" s="3772"/>
      <c r="B148" s="3021" t="str">
        <f t="shared" si="4"/>
        <v>2200002229</v>
      </c>
      <c r="C148" s="1493" t="s">
        <v>5832</v>
      </c>
      <c r="D148" s="3210"/>
      <c r="E148" s="3007"/>
      <c r="F148" s="1493" t="s">
        <v>24</v>
      </c>
      <c r="G148" s="1495"/>
      <c r="H148" s="1495"/>
      <c r="I148" s="1495" t="s">
        <v>7249</v>
      </c>
      <c r="J148" s="1493" t="s">
        <v>65</v>
      </c>
      <c r="K148" s="1495" t="s">
        <v>142</v>
      </c>
      <c r="L148" s="2878" t="s">
        <v>8192</v>
      </c>
      <c r="M148" s="3037">
        <v>272</v>
      </c>
      <c r="N148" s="2196" t="s">
        <v>7959</v>
      </c>
      <c r="O148" s="1493"/>
      <c r="P148" s="2590"/>
      <c r="Q148" s="3232" t="s">
        <v>7370</v>
      </c>
    </row>
    <row r="149" spans="1:35" s="1467" customFormat="1" ht="58.6" customHeight="1">
      <c r="A149" s="3772"/>
      <c r="B149" s="3021" t="str">
        <f t="shared" ref="B149:B180" si="5">TEXT(LEFT(L149,10),"0000000000")</f>
        <v>2200002265</v>
      </c>
      <c r="C149" s="1493" t="s">
        <v>5832</v>
      </c>
      <c r="D149" s="3210"/>
      <c r="E149" s="3007"/>
      <c r="F149" s="1493" t="s">
        <v>24</v>
      </c>
      <c r="G149" s="1495"/>
      <c r="H149" s="1495"/>
      <c r="I149" s="1495" t="s">
        <v>7249</v>
      </c>
      <c r="J149" s="1493" t="s">
        <v>65</v>
      </c>
      <c r="K149" s="1495" t="s">
        <v>142</v>
      </c>
      <c r="L149" s="2878" t="s">
        <v>8193</v>
      </c>
      <c r="M149" s="3037">
        <v>375</v>
      </c>
      <c r="N149" s="2196" t="s">
        <v>7625</v>
      </c>
      <c r="O149" s="1493"/>
      <c r="P149" s="2590"/>
      <c r="Q149" s="3232" t="s">
        <v>7370</v>
      </c>
    </row>
    <row r="150" spans="1:35" s="1467" customFormat="1" ht="58.6" customHeight="1">
      <c r="A150" s="3773"/>
      <c r="B150" s="3021" t="str">
        <f t="shared" si="5"/>
        <v>2200002266</v>
      </c>
      <c r="C150" s="1493" t="s">
        <v>5832</v>
      </c>
      <c r="D150" s="3210"/>
      <c r="E150" s="3007"/>
      <c r="F150" s="1493" t="s">
        <v>24</v>
      </c>
      <c r="G150" s="1495"/>
      <c r="H150" s="1495"/>
      <c r="I150" s="1495" t="s">
        <v>7249</v>
      </c>
      <c r="J150" s="1493" t="s">
        <v>65</v>
      </c>
      <c r="K150" s="1495" t="s">
        <v>142</v>
      </c>
      <c r="L150" s="2878" t="s">
        <v>8194</v>
      </c>
      <c r="M150" s="3037">
        <v>583</v>
      </c>
      <c r="N150" s="2196" t="s">
        <v>8163</v>
      </c>
      <c r="O150" s="1493"/>
      <c r="P150" s="2590"/>
      <c r="Q150" s="3232" t="s">
        <v>7370</v>
      </c>
    </row>
    <row r="151" spans="1:35" s="1467" customFormat="1" ht="58.6" customHeight="1">
      <c r="A151" s="3768">
        <v>38</v>
      </c>
      <c r="B151" s="3021" t="str">
        <f t="shared" si="5"/>
        <v>2200002254</v>
      </c>
      <c r="C151" s="1902" t="s">
        <v>4824</v>
      </c>
      <c r="D151" s="2607">
        <v>5820</v>
      </c>
      <c r="E151" s="1921" t="s">
        <v>8143</v>
      </c>
      <c r="F151" s="1902" t="s">
        <v>18</v>
      </c>
      <c r="G151" s="1921" t="s">
        <v>8177</v>
      </c>
      <c r="H151" s="1921"/>
      <c r="I151" s="1921" t="s">
        <v>6558</v>
      </c>
      <c r="J151" s="3019" t="s">
        <v>65</v>
      </c>
      <c r="K151" s="1921" t="s">
        <v>1179</v>
      </c>
      <c r="L151" s="2487" t="s">
        <v>8195</v>
      </c>
      <c r="M151" s="3037">
        <v>325</v>
      </c>
      <c r="N151" s="2907" t="s">
        <v>8190</v>
      </c>
      <c r="O151" s="1902"/>
      <c r="P151" s="1859"/>
      <c r="Q151" s="3319" t="s">
        <v>7370</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6" customHeight="1">
      <c r="A152" s="3770"/>
      <c r="B152" s="3021" t="str">
        <f t="shared" si="5"/>
        <v>2000003395</v>
      </c>
      <c r="C152" s="1493" t="s">
        <v>4824</v>
      </c>
      <c r="D152" s="2767"/>
      <c r="E152" s="1921"/>
      <c r="F152" s="1493" t="s">
        <v>18</v>
      </c>
      <c r="G152" s="1921"/>
      <c r="H152" s="1921"/>
      <c r="I152" s="1921" t="s">
        <v>7780</v>
      </c>
      <c r="J152" s="3019" t="s">
        <v>65</v>
      </c>
      <c r="K152" s="1921" t="s">
        <v>1179</v>
      </c>
      <c r="L152" s="1600" t="s">
        <v>8196</v>
      </c>
      <c r="M152" s="3037">
        <v>3100</v>
      </c>
      <c r="N152" s="2196" t="s">
        <v>6593</v>
      </c>
      <c r="O152" s="1902"/>
      <c r="P152" s="1859"/>
      <c r="Q152" s="3318" t="s">
        <v>7370</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6" customHeight="1">
      <c r="A153" s="3769"/>
      <c r="B153" s="3021" t="str">
        <f t="shared" si="5"/>
        <v>2200002233</v>
      </c>
      <c r="C153" s="1493" t="s">
        <v>4824</v>
      </c>
      <c r="D153" s="2767"/>
      <c r="E153" s="1921"/>
      <c r="F153" s="1493" t="s">
        <v>18</v>
      </c>
      <c r="G153" s="1921"/>
      <c r="H153" s="1921"/>
      <c r="I153" s="1921" t="s">
        <v>7780</v>
      </c>
      <c r="J153" s="3019" t="s">
        <v>65</v>
      </c>
      <c r="K153" s="1921" t="s">
        <v>1179</v>
      </c>
      <c r="L153" s="1547" t="s">
        <v>8197</v>
      </c>
      <c r="M153" s="3037">
        <v>2375</v>
      </c>
      <c r="N153" s="2196" t="s">
        <v>5392</v>
      </c>
      <c r="O153" s="1902"/>
      <c r="P153" s="1859"/>
      <c r="Q153" s="3318" t="s">
        <v>7370</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6" customHeight="1">
      <c r="A154" s="3856">
        <v>39</v>
      </c>
      <c r="B154" s="3021" t="str">
        <f t="shared" si="5"/>
        <v>2200002162</v>
      </c>
      <c r="C154" s="2667" t="s">
        <v>4455</v>
      </c>
      <c r="D154" s="3339">
        <v>24200</v>
      </c>
      <c r="E154" s="2180" t="s">
        <v>8170</v>
      </c>
      <c r="F154" s="2667" t="s">
        <v>14</v>
      </c>
      <c r="G154" s="3101" t="s">
        <v>8198</v>
      </c>
      <c r="H154" s="3101"/>
      <c r="I154" s="2180" t="s">
        <v>7780</v>
      </c>
      <c r="J154" s="2667" t="s">
        <v>65</v>
      </c>
      <c r="K154" s="1921" t="s">
        <v>1000</v>
      </c>
      <c r="L154" s="3118" t="s">
        <v>8070</v>
      </c>
      <c r="M154" s="3340">
        <v>11700</v>
      </c>
      <c r="N154" s="2907" t="s">
        <v>8122</v>
      </c>
      <c r="O154" s="3280"/>
      <c r="P154" s="2666"/>
      <c r="Q154" s="3318" t="s">
        <v>7370</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6" customHeight="1">
      <c r="A155" s="3857"/>
      <c r="B155" s="3021" t="str">
        <f t="shared" si="5"/>
        <v>2200002256</v>
      </c>
      <c r="C155" s="1630" t="s">
        <v>4455</v>
      </c>
      <c r="D155" s="2607"/>
      <c r="E155" s="1495"/>
      <c r="F155" s="1493" t="s">
        <v>14</v>
      </c>
      <c r="G155" s="1921"/>
      <c r="H155" s="1921"/>
      <c r="I155" s="2180" t="s">
        <v>7780</v>
      </c>
      <c r="J155" s="3019" t="s">
        <v>65</v>
      </c>
      <c r="K155" s="1495" t="s">
        <v>1000</v>
      </c>
      <c r="L155" s="1605" t="s">
        <v>8199</v>
      </c>
      <c r="M155" s="3037">
        <v>788</v>
      </c>
      <c r="N155" s="2907" t="s">
        <v>7625</v>
      </c>
      <c r="O155" s="1902"/>
      <c r="P155" s="1859"/>
      <c r="Q155" s="3318" t="s">
        <v>7370</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6" customHeight="1">
      <c r="A156" s="3857"/>
      <c r="B156" s="3021" t="str">
        <f t="shared" si="5"/>
        <v>2200002257</v>
      </c>
      <c r="C156" s="1630" t="s">
        <v>4455</v>
      </c>
      <c r="D156" s="2607"/>
      <c r="E156" s="1495"/>
      <c r="F156" s="1493" t="s">
        <v>14</v>
      </c>
      <c r="G156" s="1921"/>
      <c r="H156" s="1921"/>
      <c r="I156" s="2180" t="s">
        <v>7780</v>
      </c>
      <c r="J156" s="3019" t="s">
        <v>65</v>
      </c>
      <c r="K156" s="1495" t="s">
        <v>1000</v>
      </c>
      <c r="L156" s="1605" t="s">
        <v>8200</v>
      </c>
      <c r="M156" s="3037">
        <v>9402</v>
      </c>
      <c r="N156" s="2907" t="s">
        <v>8201</v>
      </c>
      <c r="O156" s="1902"/>
      <c r="P156" s="1859"/>
      <c r="Q156" s="3318" t="s">
        <v>7370</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6" customHeight="1">
      <c r="A157" s="3857"/>
      <c r="B157" s="3021" t="str">
        <f t="shared" si="5"/>
        <v>2200002258</v>
      </c>
      <c r="C157" s="1630" t="s">
        <v>4455</v>
      </c>
      <c r="D157" s="2607"/>
      <c r="E157" s="1495"/>
      <c r="F157" s="1493" t="s">
        <v>14</v>
      </c>
      <c r="G157" s="1921"/>
      <c r="H157" s="1921"/>
      <c r="I157" s="2180" t="s">
        <v>7780</v>
      </c>
      <c r="J157" s="3019" t="s">
        <v>65</v>
      </c>
      <c r="K157" s="1495" t="s">
        <v>1000</v>
      </c>
      <c r="L157" s="1605" t="s">
        <v>8202</v>
      </c>
      <c r="M157" s="3037">
        <v>215</v>
      </c>
      <c r="N157" s="2907" t="s">
        <v>7625</v>
      </c>
      <c r="O157" s="1902"/>
      <c r="P157" s="1859"/>
      <c r="Q157" s="3318" t="s">
        <v>7370</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6" customHeight="1">
      <c r="A158" s="3857"/>
      <c r="B158" s="3021" t="str">
        <f t="shared" si="5"/>
        <v>2200002259</v>
      </c>
      <c r="C158" s="1630" t="s">
        <v>4455</v>
      </c>
      <c r="D158" s="2607"/>
      <c r="E158" s="1495"/>
      <c r="F158" s="1493" t="s">
        <v>14</v>
      </c>
      <c r="G158" s="1921"/>
      <c r="H158" s="1921"/>
      <c r="I158" s="2180" t="s">
        <v>7780</v>
      </c>
      <c r="J158" s="3019" t="s">
        <v>65</v>
      </c>
      <c r="K158" s="1495" t="s">
        <v>1000</v>
      </c>
      <c r="L158" s="1605" t="s">
        <v>8203</v>
      </c>
      <c r="M158" s="3037">
        <v>852</v>
      </c>
      <c r="N158" s="2907" t="s">
        <v>8204</v>
      </c>
      <c r="O158" s="1902"/>
      <c r="P158" s="1859"/>
      <c r="Q158" s="3318" t="s">
        <v>7370</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6" customHeight="1">
      <c r="A159" s="3857"/>
      <c r="B159" s="3021" t="str">
        <f t="shared" si="5"/>
        <v>2200002260</v>
      </c>
      <c r="C159" s="1630" t="s">
        <v>4455</v>
      </c>
      <c r="D159" s="2607"/>
      <c r="E159" s="1495"/>
      <c r="F159" s="1493" t="s">
        <v>14</v>
      </c>
      <c r="G159" s="1921"/>
      <c r="H159" s="1921"/>
      <c r="I159" s="2180" t="s">
        <v>7780</v>
      </c>
      <c r="J159" s="3019" t="s">
        <v>65</v>
      </c>
      <c r="K159" s="1495" t="s">
        <v>1000</v>
      </c>
      <c r="L159" s="1605" t="s">
        <v>8205</v>
      </c>
      <c r="M159" s="3037">
        <v>74</v>
      </c>
      <c r="N159" s="2907" t="s">
        <v>8204</v>
      </c>
      <c r="O159" s="1902"/>
      <c r="P159" s="1859"/>
      <c r="Q159" s="3318" t="s">
        <v>7370</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6" customHeight="1">
      <c r="A160" s="3857"/>
      <c r="B160" s="3021" t="str">
        <f t="shared" si="5"/>
        <v>2200002267</v>
      </c>
      <c r="C160" s="1630" t="s">
        <v>4455</v>
      </c>
      <c r="D160" s="2607"/>
      <c r="E160" s="1495"/>
      <c r="F160" s="1493" t="s">
        <v>14</v>
      </c>
      <c r="G160" s="1921"/>
      <c r="H160" s="1921"/>
      <c r="I160" s="2180" t="s">
        <v>7780</v>
      </c>
      <c r="J160" s="3019" t="s">
        <v>65</v>
      </c>
      <c r="K160" s="1495" t="s">
        <v>1000</v>
      </c>
      <c r="L160" s="1605" t="s">
        <v>8206</v>
      </c>
      <c r="M160" s="3037">
        <v>25</v>
      </c>
      <c r="N160" s="2907" t="s">
        <v>8207</v>
      </c>
      <c r="O160" s="1902"/>
      <c r="P160" s="1859"/>
      <c r="Q160" s="3318" t="s">
        <v>7370</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6" customHeight="1">
      <c r="A161" s="3858"/>
      <c r="B161" s="3021" t="str">
        <f t="shared" si="5"/>
        <v>2200002268</v>
      </c>
      <c r="C161" s="1630" t="s">
        <v>4455</v>
      </c>
      <c r="D161" s="2607"/>
      <c r="E161" s="1495"/>
      <c r="F161" s="1493" t="s">
        <v>14</v>
      </c>
      <c r="G161" s="1921"/>
      <c r="H161" s="1921"/>
      <c r="I161" s="2180" t="s">
        <v>7780</v>
      </c>
      <c r="J161" s="3019" t="s">
        <v>65</v>
      </c>
      <c r="K161" s="1495" t="s">
        <v>1000</v>
      </c>
      <c r="L161" s="1605" t="s">
        <v>8208</v>
      </c>
      <c r="M161" s="3037">
        <v>1136</v>
      </c>
      <c r="N161" s="2907" t="s">
        <v>8204</v>
      </c>
      <c r="O161" s="1902"/>
      <c r="P161" s="1859"/>
      <c r="Q161" s="3318" t="s">
        <v>7370</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6" customHeight="1">
      <c r="A162" s="3216">
        <v>40</v>
      </c>
      <c r="B162" s="3258" t="str">
        <f t="shared" si="5"/>
        <v>2000003403</v>
      </c>
      <c r="C162" s="2263" t="s">
        <v>5239</v>
      </c>
      <c r="D162" s="2607">
        <v>3950</v>
      </c>
      <c r="E162" s="1921" t="s">
        <v>8143</v>
      </c>
      <c r="F162" s="1902" t="s">
        <v>22</v>
      </c>
      <c r="G162" s="3290"/>
      <c r="H162" s="3007"/>
      <c r="I162" s="3058" t="s">
        <v>7249</v>
      </c>
      <c r="J162" s="3009" t="s">
        <v>65</v>
      </c>
      <c r="K162" s="3007" t="s">
        <v>8209</v>
      </c>
      <c r="L162" s="2878" t="s">
        <v>8210</v>
      </c>
      <c r="M162" s="3217">
        <v>3950</v>
      </c>
      <c r="N162" s="2196" t="s">
        <v>6593</v>
      </c>
      <c r="O162" s="3019"/>
      <c r="P162" s="3206"/>
      <c r="Q162" s="3318" t="s">
        <v>7370</v>
      </c>
    </row>
    <row r="163" spans="1:35" s="2643" customFormat="1" ht="58.6" customHeight="1">
      <c r="A163" s="2436">
        <v>41</v>
      </c>
      <c r="B163" s="3069" t="str">
        <f t="shared" si="5"/>
        <v>2000003439</v>
      </c>
      <c r="C163" s="1902" t="s">
        <v>6893</v>
      </c>
      <c r="D163" s="2767">
        <v>4150</v>
      </c>
      <c r="E163" s="1921" t="s">
        <v>8143</v>
      </c>
      <c r="F163" s="1902" t="s">
        <v>24</v>
      </c>
      <c r="G163" s="1921"/>
      <c r="H163" s="1921"/>
      <c r="I163" s="1921" t="s">
        <v>7249</v>
      </c>
      <c r="J163" s="3019" t="s">
        <v>65</v>
      </c>
      <c r="K163" s="1921" t="s">
        <v>294</v>
      </c>
      <c r="L163" s="1845" t="s">
        <v>8211</v>
      </c>
      <c r="M163" s="2583">
        <v>4150</v>
      </c>
      <c r="N163" s="3188" t="s">
        <v>7407</v>
      </c>
      <c r="O163" s="1902"/>
      <c r="P163" s="1775"/>
      <c r="Q163" s="3319" t="s">
        <v>7370</v>
      </c>
      <c r="R163" s="2150"/>
      <c r="S163" s="2150"/>
      <c r="T163" s="2150"/>
      <c r="U163" s="2150"/>
      <c r="V163" s="2150"/>
      <c r="W163" s="2150"/>
      <c r="X163" s="2150"/>
      <c r="Y163" s="2150"/>
      <c r="Z163" s="2150"/>
      <c r="AA163" s="2150"/>
    </row>
    <row r="164" spans="1:35" s="2643" customFormat="1" ht="58.6" customHeight="1">
      <c r="A164" s="3847">
        <v>42</v>
      </c>
      <c r="B164" s="3021" t="str">
        <f t="shared" si="5"/>
        <v>2000003313</v>
      </c>
      <c r="C164" s="1545" t="s">
        <v>5654</v>
      </c>
      <c r="D164" s="3307">
        <v>4350</v>
      </c>
      <c r="E164" s="1902" t="s">
        <v>8150</v>
      </c>
      <c r="F164" s="1902" t="s">
        <v>22</v>
      </c>
      <c r="G164" s="1921"/>
      <c r="H164" s="1921"/>
      <c r="I164" s="1921" t="s">
        <v>7249</v>
      </c>
      <c r="J164" s="3019" t="s">
        <v>65</v>
      </c>
      <c r="K164" s="1921" t="s">
        <v>117</v>
      </c>
      <c r="L164" s="1845" t="s">
        <v>8212</v>
      </c>
      <c r="M164" s="3041">
        <v>3300</v>
      </c>
      <c r="N164" s="2907" t="s">
        <v>8213</v>
      </c>
      <c r="O164" s="1902">
        <v>25</v>
      </c>
      <c r="P164" s="1911"/>
      <c r="Q164" s="3338" t="s">
        <v>7370</v>
      </c>
      <c r="R164" s="3308"/>
      <c r="S164" s="2659"/>
      <c r="T164" s="2659"/>
      <c r="U164" s="3309"/>
      <c r="V164" s="1904"/>
      <c r="W164" s="2659"/>
      <c r="X164" s="2424"/>
      <c r="Y164" s="2424"/>
      <c r="Z164" s="1902"/>
      <c r="AA164" s="1921"/>
      <c r="AB164" s="3310"/>
      <c r="AC164" s="3311"/>
      <c r="AD164" s="2150"/>
      <c r="AE164" s="2150"/>
      <c r="AF164" s="2150"/>
      <c r="AG164" s="2150"/>
      <c r="AH164" s="2150"/>
      <c r="AI164" s="2150"/>
    </row>
    <row r="165" spans="1:35" s="2643" customFormat="1" ht="58.6" customHeight="1">
      <c r="A165" s="3849"/>
      <c r="B165" s="3021" t="str">
        <f t="shared" si="5"/>
        <v>2000003422</v>
      </c>
      <c r="C165" s="1545" t="s">
        <v>5654</v>
      </c>
      <c r="D165" s="2607"/>
      <c r="E165" s="1921"/>
      <c r="F165" s="1493" t="s">
        <v>22</v>
      </c>
      <c r="G165" s="1921"/>
      <c r="H165" s="1921"/>
      <c r="I165" s="1921" t="s">
        <v>7249</v>
      </c>
      <c r="J165" s="3019" t="s">
        <v>65</v>
      </c>
      <c r="K165" s="1921" t="s">
        <v>117</v>
      </c>
      <c r="L165" s="1845" t="s">
        <v>8214</v>
      </c>
      <c r="M165" s="2583">
        <v>1050</v>
      </c>
      <c r="N165" s="3188" t="s">
        <v>7407</v>
      </c>
      <c r="O165" s="1902"/>
      <c r="P165" s="1775"/>
      <c r="Q165" s="3316" t="s">
        <v>7370</v>
      </c>
      <c r="R165" s="2150"/>
      <c r="S165" s="2150"/>
      <c r="T165" s="2150"/>
      <c r="U165" s="2150"/>
      <c r="V165" s="2150"/>
      <c r="W165" s="2150"/>
      <c r="X165" s="2150"/>
      <c r="Y165" s="2150"/>
      <c r="Z165" s="2150"/>
      <c r="AA165" s="2150"/>
    </row>
    <row r="166" spans="1:35" s="2150" customFormat="1" ht="58.6" customHeight="1">
      <c r="A166" s="3847">
        <v>43</v>
      </c>
      <c r="B166" s="3069" t="str">
        <f t="shared" si="5"/>
        <v>2000003462</v>
      </c>
      <c r="C166" s="1902" t="s">
        <v>5428</v>
      </c>
      <c r="D166" s="3341">
        <v>3250</v>
      </c>
      <c r="E166" s="2118" t="s">
        <v>8215</v>
      </c>
      <c r="F166" s="2391" t="s">
        <v>22</v>
      </c>
      <c r="G166" s="1921"/>
      <c r="H166" s="1921"/>
      <c r="I166" s="1921" t="s">
        <v>7249</v>
      </c>
      <c r="J166" s="3019" t="s">
        <v>65</v>
      </c>
      <c r="K166" s="1921" t="s">
        <v>117</v>
      </c>
      <c r="L166" s="1911" t="s">
        <v>8216</v>
      </c>
      <c r="M166" s="3041">
        <v>2065</v>
      </c>
      <c r="N166" s="2196" t="s">
        <v>6593</v>
      </c>
      <c r="O166" s="1902"/>
      <c r="P166" s="1911"/>
      <c r="Q166" s="3342" t="s">
        <v>7370</v>
      </c>
      <c r="R166" s="3308"/>
      <c r="S166" s="2659"/>
      <c r="T166" s="2659"/>
      <c r="U166" s="3309"/>
      <c r="V166" s="1904"/>
      <c r="W166" s="2659"/>
      <c r="X166" s="2424"/>
      <c r="Y166" s="2424"/>
      <c r="Z166" s="1902"/>
      <c r="AA166" s="1921"/>
      <c r="AB166" s="3310"/>
      <c r="AC166" s="3311"/>
    </row>
    <row r="167" spans="1:35" s="2643" customFormat="1" ht="58.6" customHeight="1">
      <c r="A167" s="3848"/>
      <c r="B167" s="3021" t="str">
        <f t="shared" si="5"/>
        <v>2000003422</v>
      </c>
      <c r="C167" s="1630" t="s">
        <v>5428</v>
      </c>
      <c r="D167" s="1494"/>
      <c r="E167" s="1495"/>
      <c r="F167" s="1493" t="s">
        <v>22</v>
      </c>
      <c r="G167" s="1921"/>
      <c r="H167" s="1921"/>
      <c r="I167" s="1921" t="s">
        <v>7249</v>
      </c>
      <c r="J167" s="3019" t="s">
        <v>65</v>
      </c>
      <c r="K167" s="1921" t="s">
        <v>117</v>
      </c>
      <c r="L167" s="1845" t="s">
        <v>8217</v>
      </c>
      <c r="M167" s="2583">
        <v>1038</v>
      </c>
      <c r="N167" s="3188" t="s">
        <v>7407</v>
      </c>
      <c r="O167" s="1902"/>
      <c r="P167" s="1775"/>
      <c r="Q167" s="3306" t="s">
        <v>7370</v>
      </c>
      <c r="R167" s="2150"/>
      <c r="S167" s="2150"/>
      <c r="T167" s="2150"/>
      <c r="U167" s="2150"/>
      <c r="V167" s="2150"/>
      <c r="W167" s="2150"/>
      <c r="X167" s="2150"/>
      <c r="Y167" s="2150"/>
      <c r="Z167" s="2150"/>
      <c r="AA167" s="2150"/>
    </row>
    <row r="168" spans="1:35" s="1467" customFormat="1" ht="58.6" customHeight="1">
      <c r="A168" s="3849"/>
      <c r="B168" s="3021" t="str">
        <f t="shared" si="5"/>
        <v>2000003373</v>
      </c>
      <c r="C168" s="1493" t="s">
        <v>5428</v>
      </c>
      <c r="D168" s="1494"/>
      <c r="E168" s="1495"/>
      <c r="F168" s="1493" t="s">
        <v>22</v>
      </c>
      <c r="G168" s="1495"/>
      <c r="H168" s="1495"/>
      <c r="I168" s="1495" t="s">
        <v>7249</v>
      </c>
      <c r="J168" s="3009" t="s">
        <v>65</v>
      </c>
      <c r="K168" s="1495" t="s">
        <v>117</v>
      </c>
      <c r="L168" s="1600" t="s">
        <v>8218</v>
      </c>
      <c r="M168" s="2357">
        <v>80</v>
      </c>
      <c r="N168" s="2196" t="s">
        <v>6593</v>
      </c>
      <c r="O168" s="1493"/>
      <c r="P168" s="1859"/>
      <c r="Q168" s="3319" t="s">
        <v>7370</v>
      </c>
      <c r="R168" s="1548"/>
      <c r="S168" s="1548"/>
      <c r="T168" s="1548"/>
      <c r="U168" s="1548"/>
      <c r="V168" s="1548"/>
      <c r="W168" s="1548"/>
      <c r="X168" s="1548"/>
      <c r="Y168" s="1548"/>
      <c r="Z168" s="1548"/>
      <c r="AA168" s="1548"/>
    </row>
    <row r="169" spans="1:35" s="2150" customFormat="1" ht="58.6" customHeight="1">
      <c r="A169" s="3847">
        <v>44</v>
      </c>
      <c r="B169" s="3189" t="str">
        <f t="shared" si="5"/>
        <v>2000003428</v>
      </c>
      <c r="C169" s="1902" t="s">
        <v>5896</v>
      </c>
      <c r="D169" s="2607">
        <v>11900</v>
      </c>
      <c r="E169" s="1921" t="s">
        <v>8219</v>
      </c>
      <c r="F169" s="1902" t="s">
        <v>14</v>
      </c>
      <c r="G169" s="3021" t="s">
        <v>8220</v>
      </c>
      <c r="H169" s="3021"/>
      <c r="I169" s="3021" t="s">
        <v>7249</v>
      </c>
      <c r="J169" s="3019" t="s">
        <v>65</v>
      </c>
      <c r="K169" s="3021" t="s">
        <v>164</v>
      </c>
      <c r="L169" s="2904" t="s">
        <v>8221</v>
      </c>
      <c r="M169" s="3272">
        <v>2000</v>
      </c>
      <c r="N169" s="2907" t="s">
        <v>8222</v>
      </c>
      <c r="O169" s="3019"/>
      <c r="P169" s="3206"/>
      <c r="Q169" s="3306" t="s">
        <v>7370</v>
      </c>
    </row>
    <row r="170" spans="1:35" s="1548" customFormat="1" ht="58.6" customHeight="1">
      <c r="A170" s="3848"/>
      <c r="B170" s="3189" t="str">
        <f t="shared" si="5"/>
        <v>2000003369</v>
      </c>
      <c r="C170" s="1493" t="s">
        <v>5896</v>
      </c>
      <c r="D170" s="1494"/>
      <c r="E170" s="1495"/>
      <c r="F170" s="1493" t="s">
        <v>14</v>
      </c>
      <c r="G170" s="1495"/>
      <c r="H170" s="1495"/>
      <c r="I170" s="1624" t="s">
        <v>7249</v>
      </c>
      <c r="J170" s="1493" t="s">
        <v>65</v>
      </c>
      <c r="K170" s="1495" t="s">
        <v>164</v>
      </c>
      <c r="L170" s="1600" t="s">
        <v>8223</v>
      </c>
      <c r="M170" s="3037">
        <v>2500</v>
      </c>
      <c r="N170" s="2196" t="s">
        <v>6593</v>
      </c>
      <c r="O170" s="1493"/>
      <c r="P170" s="3224"/>
      <c r="Q170" s="3306" t="s">
        <v>7370</v>
      </c>
      <c r="R170" s="3225"/>
      <c r="S170" s="3053"/>
      <c r="T170" s="1474"/>
      <c r="U170" s="3226"/>
      <c r="V170" s="1634"/>
      <c r="W170" s="1474"/>
      <c r="X170" s="2024"/>
      <c r="Y170" s="2024"/>
      <c r="Z170" s="1493"/>
      <c r="AA170" s="1495"/>
      <c r="AB170" s="1551"/>
      <c r="AC170" s="3227"/>
      <c r="AD170" s="1467"/>
      <c r="AE170" s="1467"/>
      <c r="AF170" s="1467"/>
      <c r="AG170" s="1467"/>
      <c r="AH170" s="1467"/>
      <c r="AI170" s="1467"/>
    </row>
    <row r="171" spans="1:35" s="1467" customFormat="1" ht="58.6" customHeight="1">
      <c r="A171" s="3848"/>
      <c r="B171" s="3189" t="str">
        <f t="shared" si="5"/>
        <v>2000003464</v>
      </c>
      <c r="C171" s="1493" t="s">
        <v>5896</v>
      </c>
      <c r="D171" s="1494"/>
      <c r="E171" s="1495"/>
      <c r="F171" s="1493" t="s">
        <v>14</v>
      </c>
      <c r="G171" s="1495"/>
      <c r="H171" s="1495"/>
      <c r="I171" s="1624" t="s">
        <v>7249</v>
      </c>
      <c r="J171" s="3009" t="s">
        <v>65</v>
      </c>
      <c r="K171" s="1495" t="s">
        <v>106</v>
      </c>
      <c r="L171" s="1600" t="s">
        <v>8224</v>
      </c>
      <c r="M171" s="2357">
        <v>4160</v>
      </c>
      <c r="N171" s="2196" t="s">
        <v>5392</v>
      </c>
      <c r="O171" s="1493"/>
      <c r="P171" s="1859"/>
      <c r="Q171" s="3306" t="s">
        <v>7370</v>
      </c>
      <c r="R171" s="1548"/>
      <c r="S171" s="1548"/>
      <c r="T171" s="1548"/>
      <c r="U171" s="1548"/>
      <c r="V171" s="1548"/>
      <c r="W171" s="1548"/>
      <c r="X171" s="1548"/>
      <c r="Y171" s="1548"/>
      <c r="Z171" s="1548"/>
      <c r="AA171" s="1548"/>
    </row>
    <row r="172" spans="1:35" s="1467" customFormat="1" ht="58.6" customHeight="1">
      <c r="A172" s="3848"/>
      <c r="B172" s="3189" t="str">
        <f t="shared" si="5"/>
        <v>2000003449</v>
      </c>
      <c r="C172" s="1493" t="s">
        <v>5896</v>
      </c>
      <c r="D172" s="2613"/>
      <c r="E172" s="1495"/>
      <c r="F172" s="1493" t="s">
        <v>14</v>
      </c>
      <c r="G172" s="1495"/>
      <c r="H172" s="1495"/>
      <c r="I172" s="1624" t="s">
        <v>7249</v>
      </c>
      <c r="J172" s="3009" t="s">
        <v>65</v>
      </c>
      <c r="K172" s="1495" t="s">
        <v>106</v>
      </c>
      <c r="L172" s="1600" t="s">
        <v>8225</v>
      </c>
      <c r="M172" s="2357">
        <v>40</v>
      </c>
      <c r="N172" s="2384" t="s">
        <v>8226</v>
      </c>
      <c r="O172" s="1493"/>
      <c r="P172" s="1859"/>
      <c r="Q172" s="3306" t="s">
        <v>7370</v>
      </c>
      <c r="R172" s="1548"/>
      <c r="S172" s="1548"/>
      <c r="T172" s="1548"/>
      <c r="U172" s="1548"/>
      <c r="V172" s="1548"/>
      <c r="W172" s="1548"/>
      <c r="X172" s="1548"/>
      <c r="Y172" s="1548"/>
      <c r="Z172" s="1548"/>
      <c r="AA172" s="1548"/>
    </row>
    <row r="173" spans="1:35" s="1548" customFormat="1" ht="58.6" customHeight="1">
      <c r="A173" s="3848"/>
      <c r="B173" s="3189" t="str">
        <f t="shared" si="5"/>
        <v>2000003429</v>
      </c>
      <c r="C173" s="1493" t="s">
        <v>5896</v>
      </c>
      <c r="D173" s="3301"/>
      <c r="E173" s="3007"/>
      <c r="F173" s="1493" t="s">
        <v>14</v>
      </c>
      <c r="G173" s="3007"/>
      <c r="H173" s="3007"/>
      <c r="I173" s="3007" t="s">
        <v>7249</v>
      </c>
      <c r="J173" s="3009" t="s">
        <v>65</v>
      </c>
      <c r="K173" s="3007" t="s">
        <v>106</v>
      </c>
      <c r="L173" s="2878" t="s">
        <v>8227</v>
      </c>
      <c r="M173" s="3217">
        <v>1700</v>
      </c>
      <c r="N173" s="2196" t="s">
        <v>5392</v>
      </c>
      <c r="O173" s="3009"/>
      <c r="P173" s="3218"/>
      <c r="Q173" s="3306" t="s">
        <v>7370</v>
      </c>
    </row>
    <row r="174" spans="1:35" s="1548" customFormat="1" ht="58.6" customHeight="1">
      <c r="A174" s="3849"/>
      <c r="B174" s="3189" t="str">
        <f t="shared" si="5"/>
        <v>2000003430</v>
      </c>
      <c r="C174" s="1769" t="s">
        <v>5896</v>
      </c>
      <c r="D174" s="3209"/>
      <c r="E174" s="3189"/>
      <c r="F174" s="1493" t="s">
        <v>14</v>
      </c>
      <c r="G174" s="3021"/>
      <c r="H174" s="3021"/>
      <c r="I174" s="3007" t="s">
        <v>7249</v>
      </c>
      <c r="J174" s="3009" t="s">
        <v>65</v>
      </c>
      <c r="K174" s="3007" t="s">
        <v>106</v>
      </c>
      <c r="L174" s="2878" t="s">
        <v>8228</v>
      </c>
      <c r="M174" s="3217">
        <v>1700</v>
      </c>
      <c r="N174" s="2196" t="s">
        <v>5392</v>
      </c>
      <c r="O174" s="3009"/>
      <c r="P174" s="3218"/>
      <c r="Q174" s="3306" t="s">
        <v>7370</v>
      </c>
    </row>
    <row r="175" spans="1:35" s="2660" customFormat="1" ht="58.6" customHeight="1">
      <c r="A175" s="3853">
        <v>45</v>
      </c>
      <c r="B175" s="3278" t="str">
        <f t="shared" si="5"/>
        <v>2000003382</v>
      </c>
      <c r="C175" s="2667" t="s">
        <v>2968</v>
      </c>
      <c r="D175" s="2664">
        <v>12300</v>
      </c>
      <c r="E175" s="2180" t="s">
        <v>8215</v>
      </c>
      <c r="F175" s="2667" t="s">
        <v>14</v>
      </c>
      <c r="G175" s="2180" t="s">
        <v>8229</v>
      </c>
      <c r="H175" s="1748"/>
      <c r="I175" s="1780" t="s">
        <v>6558</v>
      </c>
      <c r="J175" s="2667" t="s">
        <v>65</v>
      </c>
      <c r="K175" s="2187" t="s">
        <v>66</v>
      </c>
      <c r="L175" s="1845" t="s">
        <v>8230</v>
      </c>
      <c r="M175" s="2583">
        <v>3940</v>
      </c>
      <c r="N175" s="3188" t="s">
        <v>7407</v>
      </c>
      <c r="O175" s="2667"/>
      <c r="P175" s="2666" t="s">
        <v>8231</v>
      </c>
      <c r="Q175" s="3284" t="s">
        <v>7370</v>
      </c>
      <c r="R175" s="3353"/>
      <c r="S175" s="2677"/>
      <c r="T175" s="2677"/>
      <c r="U175" s="3354"/>
      <c r="V175" s="3355"/>
      <c r="W175" s="2677"/>
      <c r="X175" s="3356"/>
      <c r="Y175" s="3356"/>
      <c r="Z175" s="2667"/>
      <c r="AA175" s="2180"/>
      <c r="AB175" s="3357"/>
      <c r="AC175" s="3358"/>
    </row>
    <row r="176" spans="1:35" s="1785" customFormat="1" ht="58.6" customHeight="1">
      <c r="A176" s="3854"/>
      <c r="B176" s="3278" t="str">
        <f t="shared" si="5"/>
        <v>2200002162</v>
      </c>
      <c r="C176" s="1782" t="s">
        <v>2968</v>
      </c>
      <c r="D176" s="1783"/>
      <c r="E176" s="1780"/>
      <c r="F176" s="1782" t="s">
        <v>14</v>
      </c>
      <c r="G176" s="1780"/>
      <c r="H176" s="1748"/>
      <c r="I176" s="1780" t="s">
        <v>6558</v>
      </c>
      <c r="J176" s="3282" t="s">
        <v>65</v>
      </c>
      <c r="K176" s="1495" t="s">
        <v>1179</v>
      </c>
      <c r="L176" s="3081" t="s">
        <v>8070</v>
      </c>
      <c r="M176" s="3040">
        <v>5750</v>
      </c>
      <c r="N176" s="2196" t="s">
        <v>8232</v>
      </c>
      <c r="O176" s="1782"/>
      <c r="P176" s="1784"/>
      <c r="Q176" s="3284" t="s">
        <v>7370</v>
      </c>
      <c r="R176" s="3359"/>
      <c r="S176" s="3360"/>
      <c r="T176" s="3360"/>
      <c r="U176" s="3361"/>
      <c r="V176" s="2443"/>
      <c r="W176" s="3360"/>
      <c r="X176" s="3362"/>
      <c r="Y176" s="3362"/>
      <c r="Z176" s="1782"/>
      <c r="AA176" s="1780"/>
      <c r="AB176" s="3363"/>
      <c r="AC176" s="3364"/>
    </row>
    <row r="177" spans="1:35" s="2676" customFormat="1" ht="58.6" customHeight="1">
      <c r="A177" s="3854"/>
      <c r="B177" s="3278" t="str">
        <f t="shared" si="5"/>
        <v>2200002254</v>
      </c>
      <c r="C177" s="1782" t="s">
        <v>2968</v>
      </c>
      <c r="D177" s="2664"/>
      <c r="E177" s="2180"/>
      <c r="F177" s="1782" t="s">
        <v>14</v>
      </c>
      <c r="G177" s="2180"/>
      <c r="H177" s="1748"/>
      <c r="I177" s="1780" t="s">
        <v>6558</v>
      </c>
      <c r="J177" s="3282" t="s">
        <v>65</v>
      </c>
      <c r="K177" s="1495" t="s">
        <v>1179</v>
      </c>
      <c r="L177" s="1605" t="s">
        <v>8233</v>
      </c>
      <c r="M177" s="3037">
        <v>557</v>
      </c>
      <c r="N177" s="2907" t="s">
        <v>8190</v>
      </c>
      <c r="O177" s="2667"/>
      <c r="P177" s="2666"/>
      <c r="Q177" s="3284" t="s">
        <v>7370</v>
      </c>
      <c r="R177" s="3353"/>
      <c r="S177" s="2677"/>
      <c r="T177" s="2677"/>
      <c r="U177" s="3354"/>
      <c r="V177" s="3355"/>
      <c r="W177" s="2677"/>
      <c r="X177" s="3356"/>
      <c r="Y177" s="3356"/>
      <c r="Z177" s="2667"/>
      <c r="AA177" s="2180"/>
      <c r="AB177" s="3357"/>
      <c r="AC177" s="3358"/>
    </row>
    <row r="178" spans="1:35" s="2676" customFormat="1" ht="58.6" customHeight="1">
      <c r="A178" s="3855"/>
      <c r="B178" s="3278" t="str">
        <f t="shared" si="5"/>
        <v>2000003394</v>
      </c>
      <c r="C178" s="1782" t="s">
        <v>2968</v>
      </c>
      <c r="D178" s="1783"/>
      <c r="E178" s="1780"/>
      <c r="F178" s="1782" t="s">
        <v>14</v>
      </c>
      <c r="G178" s="1780"/>
      <c r="H178" s="1748"/>
      <c r="I178" s="1780" t="s">
        <v>6558</v>
      </c>
      <c r="J178" s="3282" t="s">
        <v>65</v>
      </c>
      <c r="K178" s="1495" t="s">
        <v>1179</v>
      </c>
      <c r="L178" s="2878" t="s">
        <v>8234</v>
      </c>
      <c r="M178" s="2357">
        <v>2040</v>
      </c>
      <c r="N178" s="2196" t="s">
        <v>6593</v>
      </c>
      <c r="O178" s="1782"/>
      <c r="P178" s="1784"/>
      <c r="Q178" s="3284" t="s">
        <v>7370</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6" customHeight="1">
      <c r="A179" s="3216">
        <v>46</v>
      </c>
      <c r="B179" s="3024" t="str">
        <f t="shared" si="5"/>
        <v>2000003403</v>
      </c>
      <c r="C179" s="3365" t="s">
        <v>125</v>
      </c>
      <c r="D179" s="3366">
        <v>4150</v>
      </c>
      <c r="E179" s="2263" t="s">
        <v>8235</v>
      </c>
      <c r="F179" s="2667" t="s">
        <v>22</v>
      </c>
      <c r="G179" s="3021" t="s">
        <v>8236</v>
      </c>
      <c r="H179" s="3021"/>
      <c r="I179" s="3065" t="s">
        <v>7249</v>
      </c>
      <c r="J179" s="3019" t="s">
        <v>65</v>
      </c>
      <c r="K179" s="3021" t="s">
        <v>117</v>
      </c>
      <c r="L179" s="2904" t="s">
        <v>8210</v>
      </c>
      <c r="M179" s="3272">
        <v>4150</v>
      </c>
      <c r="N179" s="2196" t="s">
        <v>6593</v>
      </c>
      <c r="O179" s="3019"/>
      <c r="P179" s="3206"/>
      <c r="Q179" s="3306" t="s">
        <v>7284</v>
      </c>
    </row>
    <row r="180" spans="1:35" s="2150" customFormat="1" ht="58.6" customHeight="1">
      <c r="A180" s="3378">
        <v>47</v>
      </c>
      <c r="B180" s="3021" t="str">
        <f t="shared" si="5"/>
        <v>2000003403</v>
      </c>
      <c r="C180" s="2667" t="s">
        <v>5570</v>
      </c>
      <c r="D180" s="3379">
        <v>4300</v>
      </c>
      <c r="E180" s="3336" t="s">
        <v>8237</v>
      </c>
      <c r="F180" s="3380" t="s">
        <v>18</v>
      </c>
      <c r="G180" s="3021" t="s">
        <v>8238</v>
      </c>
      <c r="H180" s="3021" t="s">
        <v>8239</v>
      </c>
      <c r="I180" s="3065" t="s">
        <v>7249</v>
      </c>
      <c r="J180" s="3019" t="s">
        <v>65</v>
      </c>
      <c r="K180" s="3021" t="s">
        <v>117</v>
      </c>
      <c r="L180" s="2904" t="s">
        <v>8240</v>
      </c>
      <c r="M180" s="3272">
        <v>2380</v>
      </c>
      <c r="N180" s="2196" t="s">
        <v>6593</v>
      </c>
      <c r="O180" s="3019"/>
      <c r="P180" s="3206"/>
      <c r="Q180" s="3306">
        <v>3</v>
      </c>
    </row>
    <row r="181" spans="1:35" s="1467" customFormat="1" ht="58.6" customHeight="1">
      <c r="A181" s="3381"/>
      <c r="B181" s="3021" t="str">
        <f t="shared" ref="B181:B212" si="6">TEXT(LEFT(L181,10),"0000000000")</f>
        <v>2000003392</v>
      </c>
      <c r="C181" s="1782" t="s">
        <v>5570</v>
      </c>
      <c r="D181" s="1494"/>
      <c r="E181" s="1495"/>
      <c r="F181" s="3380" t="s">
        <v>18</v>
      </c>
      <c r="G181" s="1568"/>
      <c r="H181" s="1495"/>
      <c r="I181" s="1495" t="s">
        <v>7249</v>
      </c>
      <c r="J181" s="3009" t="s">
        <v>65</v>
      </c>
      <c r="K181" s="1495" t="s">
        <v>117</v>
      </c>
      <c r="L181" s="1600" t="s">
        <v>8241</v>
      </c>
      <c r="M181" s="2357">
        <v>952</v>
      </c>
      <c r="N181" s="2196" t="s">
        <v>5392</v>
      </c>
      <c r="O181" s="1493"/>
      <c r="P181" s="1859"/>
      <c r="Q181" s="3306" t="s">
        <v>7284</v>
      </c>
      <c r="R181" s="1548"/>
      <c r="S181" s="1548"/>
      <c r="T181" s="1548"/>
      <c r="U181" s="1548"/>
      <c r="V181" s="1548"/>
      <c r="W181" s="1548"/>
      <c r="X181" s="1548"/>
      <c r="Y181" s="1548"/>
      <c r="Z181" s="1548"/>
      <c r="AA181" s="1548"/>
    </row>
    <row r="182" spans="1:35" s="1467" customFormat="1" ht="58.6" customHeight="1">
      <c r="A182" s="2797"/>
      <c r="B182" s="3021" t="str">
        <f t="shared" si="6"/>
        <v>2200002283</v>
      </c>
      <c r="C182" s="1782" t="s">
        <v>5570</v>
      </c>
      <c r="D182" s="1494"/>
      <c r="E182" s="1495"/>
      <c r="F182" s="3380" t="s">
        <v>18</v>
      </c>
      <c r="G182" s="1568"/>
      <c r="H182" s="1495"/>
      <c r="I182" s="1495" t="s">
        <v>7249</v>
      </c>
      <c r="J182" s="1493" t="s">
        <v>65</v>
      </c>
      <c r="K182" s="1495" t="s">
        <v>117</v>
      </c>
      <c r="L182" s="1600" t="s">
        <v>8242</v>
      </c>
      <c r="M182" s="3037">
        <v>263</v>
      </c>
      <c r="N182" s="3188" t="s">
        <v>7625</v>
      </c>
      <c r="O182" s="1493"/>
      <c r="P182" s="1547"/>
      <c r="Q182" s="3306" t="s">
        <v>7284</v>
      </c>
      <c r="R182" s="3225"/>
      <c r="S182" s="1474"/>
      <c r="T182" s="1474"/>
      <c r="U182" s="3226"/>
      <c r="V182" s="1634"/>
      <c r="W182" s="1474"/>
      <c r="X182" s="2024"/>
      <c r="Y182" s="2024"/>
      <c r="Z182" s="1493"/>
      <c r="AA182" s="1495"/>
      <c r="AB182" s="1551"/>
      <c r="AC182" s="3227"/>
    </row>
    <row r="183" spans="1:35" s="1467" customFormat="1" ht="58.6" customHeight="1">
      <c r="A183" s="2797"/>
      <c r="B183" s="3021" t="str">
        <f t="shared" si="6"/>
        <v>2200002284</v>
      </c>
      <c r="C183" s="1782" t="s">
        <v>5570</v>
      </c>
      <c r="D183" s="1494"/>
      <c r="E183" s="1495"/>
      <c r="F183" s="3380" t="s">
        <v>18</v>
      </c>
      <c r="G183" s="1568"/>
      <c r="H183" s="1495"/>
      <c r="I183" s="1495" t="s">
        <v>7249</v>
      </c>
      <c r="J183" s="1493" t="s">
        <v>65</v>
      </c>
      <c r="K183" s="1495" t="s">
        <v>117</v>
      </c>
      <c r="L183" s="1843" t="s">
        <v>8243</v>
      </c>
      <c r="M183" s="3037">
        <v>700</v>
      </c>
      <c r="N183" s="2196" t="s">
        <v>8244</v>
      </c>
      <c r="O183" s="1493"/>
      <c r="P183" s="1547"/>
      <c r="Q183" s="3306" t="s">
        <v>7284</v>
      </c>
      <c r="R183" s="3225"/>
      <c r="S183" s="1474"/>
      <c r="T183" s="1474"/>
      <c r="U183" s="3226"/>
      <c r="V183" s="1634"/>
      <c r="W183" s="1474"/>
      <c r="X183" s="2024"/>
      <c r="Y183" s="2024"/>
      <c r="Z183" s="1493"/>
      <c r="AA183" s="1495"/>
      <c r="AB183" s="1551"/>
      <c r="AC183" s="3227"/>
    </row>
    <row r="184" spans="1:35" s="3103" customFormat="1" ht="58.6" customHeight="1">
      <c r="A184" s="3372"/>
      <c r="B184" s="3021" t="str">
        <f t="shared" si="6"/>
        <v>2000003417</v>
      </c>
      <c r="C184" s="1902" t="s">
        <v>7719</v>
      </c>
      <c r="D184" s="2607">
        <v>4450</v>
      </c>
      <c r="E184" s="2607" t="s">
        <v>8245</v>
      </c>
      <c r="F184" s="3019" t="s">
        <v>26</v>
      </c>
      <c r="G184" s="1909" t="s">
        <v>8246</v>
      </c>
      <c r="H184" s="1909"/>
      <c r="I184" s="2030" t="s">
        <v>7249</v>
      </c>
      <c r="J184" s="3019" t="s">
        <v>65</v>
      </c>
      <c r="K184" s="2180" t="s">
        <v>240</v>
      </c>
      <c r="L184" s="1859" t="s">
        <v>8247</v>
      </c>
      <c r="M184" s="3212">
        <v>4450</v>
      </c>
      <c r="N184" s="3188" t="s">
        <v>7407</v>
      </c>
      <c r="O184" s="2429"/>
      <c r="P184" s="1859"/>
      <c r="Q184" s="3306" t="s">
        <v>7284</v>
      </c>
      <c r="R184" s="3373"/>
      <c r="S184" s="3299"/>
      <c r="T184" s="3299"/>
      <c r="U184" s="3374"/>
      <c r="V184" s="3375"/>
      <c r="W184" s="3299"/>
      <c r="X184" s="2689"/>
      <c r="Y184" s="2689"/>
      <c r="Z184" s="3299"/>
      <c r="AA184" s="2689"/>
      <c r="AB184" s="3376"/>
      <c r="AC184" s="3377"/>
    </row>
    <row r="185" spans="1:35" s="1467" customFormat="1" ht="58.6" customHeight="1">
      <c r="A185" s="3216"/>
      <c r="B185" s="3258" t="str">
        <f t="shared" si="6"/>
        <v>2000003469</v>
      </c>
      <c r="C185" s="1902" t="s">
        <v>5579</v>
      </c>
      <c r="D185" s="2607">
        <v>4200</v>
      </c>
      <c r="E185" s="1921" t="s">
        <v>8237</v>
      </c>
      <c r="F185" s="3167" t="s">
        <v>20</v>
      </c>
      <c r="G185" s="1787"/>
      <c r="H185" s="1495"/>
      <c r="I185" s="2024" t="s">
        <v>7249</v>
      </c>
      <c r="J185" s="3009" t="s">
        <v>65</v>
      </c>
      <c r="K185" s="1495" t="s">
        <v>117</v>
      </c>
      <c r="L185" s="1600" t="s">
        <v>8248</v>
      </c>
      <c r="M185" s="2357">
        <v>4200</v>
      </c>
      <c r="N185" s="3188" t="s">
        <v>8249</v>
      </c>
      <c r="O185" s="1493"/>
      <c r="P185" s="1843" t="s">
        <v>8250</v>
      </c>
      <c r="Q185" s="3318" t="s">
        <v>7284</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6" customHeight="1">
      <c r="A186" s="1542"/>
      <c r="B186" s="3258" t="str">
        <f t="shared" si="6"/>
        <v>2000003399</v>
      </c>
      <c r="C186" s="1902" t="s">
        <v>3602</v>
      </c>
      <c r="D186" s="2607">
        <v>3450</v>
      </c>
      <c r="E186" s="1921" t="s">
        <v>8237</v>
      </c>
      <c r="F186" s="1902" t="s">
        <v>20</v>
      </c>
      <c r="G186" s="1568"/>
      <c r="H186" s="1495"/>
      <c r="I186" s="1495" t="s">
        <v>7249</v>
      </c>
      <c r="J186" s="3009" t="s">
        <v>65</v>
      </c>
      <c r="K186" s="1495" t="s">
        <v>117</v>
      </c>
      <c r="L186" s="1600" t="s">
        <v>8251</v>
      </c>
      <c r="M186" s="2357">
        <v>3450</v>
      </c>
      <c r="N186" s="2196" t="s">
        <v>5392</v>
      </c>
      <c r="O186" s="1493"/>
      <c r="P186" s="1859"/>
      <c r="Q186" s="3306" t="s">
        <v>7284</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6" customHeight="1">
      <c r="A187" s="2436"/>
      <c r="B187" s="3258" t="str">
        <f t="shared" si="6"/>
        <v>2000003463</v>
      </c>
      <c r="C187" s="1902" t="s">
        <v>3499</v>
      </c>
      <c r="D187" s="2357">
        <v>4000</v>
      </c>
      <c r="E187" s="1495" t="s">
        <v>8237</v>
      </c>
      <c r="F187" s="1493" t="s">
        <v>20</v>
      </c>
      <c r="G187" s="2279"/>
      <c r="H187" s="1921"/>
      <c r="I187" s="1921" t="s">
        <v>7249</v>
      </c>
      <c r="J187" s="3019" t="s">
        <v>65</v>
      </c>
      <c r="K187" s="1921" t="s">
        <v>117</v>
      </c>
      <c r="L187" s="2904" t="s">
        <v>8252</v>
      </c>
      <c r="M187" s="2583">
        <v>4000</v>
      </c>
      <c r="N187" s="3188" t="s">
        <v>7407</v>
      </c>
      <c r="O187" s="1902"/>
      <c r="P187" s="1775"/>
      <c r="Q187" s="3342" t="s">
        <v>7284</v>
      </c>
      <c r="R187" s="2150"/>
      <c r="S187" s="2150"/>
      <c r="T187" s="2150"/>
      <c r="U187" s="2150"/>
      <c r="V187" s="2150"/>
      <c r="W187" s="2150"/>
      <c r="X187" s="2150"/>
      <c r="Y187" s="2150"/>
      <c r="Z187" s="2150"/>
      <c r="AA187" s="2150"/>
    </row>
    <row r="188" spans="1:35" s="2150" customFormat="1" ht="58.6" customHeight="1">
      <c r="A188" s="2210"/>
      <c r="B188" s="3021" t="str">
        <f t="shared" si="6"/>
        <v>2200002279</v>
      </c>
      <c r="C188" s="2563" t="s">
        <v>6893</v>
      </c>
      <c r="D188" s="2607">
        <v>4150</v>
      </c>
      <c r="E188" s="1921" t="s">
        <v>8253</v>
      </c>
      <c r="F188" s="1902" t="s">
        <v>24</v>
      </c>
      <c r="G188" s="2279"/>
      <c r="H188" s="1921"/>
      <c r="I188" s="1921" t="s">
        <v>7249</v>
      </c>
      <c r="J188" s="1902" t="s">
        <v>65</v>
      </c>
      <c r="K188" s="1921" t="s">
        <v>117</v>
      </c>
      <c r="L188" s="1845" t="s">
        <v>8254</v>
      </c>
      <c r="M188" s="3041">
        <v>709</v>
      </c>
      <c r="N188" s="2196" t="s">
        <v>8255</v>
      </c>
      <c r="O188" s="1902"/>
      <c r="P188" s="1911"/>
      <c r="Q188" s="3338" t="s">
        <v>7284</v>
      </c>
      <c r="R188" s="3308"/>
      <c r="S188" s="2659"/>
      <c r="T188" s="2659"/>
      <c r="U188" s="3309"/>
      <c r="V188" s="1904"/>
      <c r="W188" s="2659"/>
      <c r="X188" s="2424"/>
      <c r="Y188" s="2424"/>
      <c r="Z188" s="1902"/>
      <c r="AA188" s="1921"/>
      <c r="AB188" s="3310"/>
      <c r="AC188" s="3311"/>
    </row>
    <row r="189" spans="1:35" s="3403" customFormat="1" ht="58.6" customHeight="1">
      <c r="A189" s="3396"/>
      <c r="B189" s="3021" t="str">
        <f t="shared" si="6"/>
        <v>2000003417</v>
      </c>
      <c r="C189" s="1626" t="s">
        <v>6893</v>
      </c>
      <c r="D189" s="1494"/>
      <c r="E189" s="1921" t="s">
        <v>8253</v>
      </c>
      <c r="F189" s="1493" t="s">
        <v>24</v>
      </c>
      <c r="G189" s="2376"/>
      <c r="H189" s="2030"/>
      <c r="I189" s="2030" t="s">
        <v>7249</v>
      </c>
      <c r="J189" s="3028" t="s">
        <v>65</v>
      </c>
      <c r="K189" s="3397" t="s">
        <v>240</v>
      </c>
      <c r="L189" s="3130" t="s">
        <v>8256</v>
      </c>
      <c r="M189" s="3123">
        <v>559</v>
      </c>
      <c r="N189" s="3398" t="s">
        <v>7407</v>
      </c>
      <c r="O189" s="1882"/>
      <c r="P189" s="2576"/>
      <c r="Q189" s="3306" t="s">
        <v>7284</v>
      </c>
      <c r="R189" s="3399"/>
      <c r="S189" s="3053"/>
      <c r="T189" s="3053"/>
      <c r="U189" s="3400"/>
      <c r="V189" s="3401"/>
      <c r="W189" s="3053"/>
      <c r="X189" s="2057"/>
      <c r="Y189" s="2057"/>
      <c r="Z189" s="3053"/>
      <c r="AA189" s="2057"/>
      <c r="AB189" s="2719"/>
      <c r="AC189" s="3402"/>
    </row>
    <row r="190" spans="1:35" s="2643" customFormat="1" ht="58.6" customHeight="1">
      <c r="A190" s="2436"/>
      <c r="B190" s="3404" t="str">
        <f t="shared" si="6"/>
        <v>2000003463</v>
      </c>
      <c r="C190" s="1493" t="s">
        <v>6893</v>
      </c>
      <c r="D190" s="1494"/>
      <c r="E190" s="1921" t="s">
        <v>8253</v>
      </c>
      <c r="F190" s="1493" t="s">
        <v>24</v>
      </c>
      <c r="G190" s="2279"/>
      <c r="H190" s="1921"/>
      <c r="I190" s="1921" t="s">
        <v>7249</v>
      </c>
      <c r="J190" s="3019" t="s">
        <v>65</v>
      </c>
      <c r="K190" s="1921" t="s">
        <v>117</v>
      </c>
      <c r="L190" s="2904" t="s">
        <v>8257</v>
      </c>
      <c r="M190" s="2583">
        <v>939</v>
      </c>
      <c r="N190" s="3188" t="s">
        <v>7407</v>
      </c>
      <c r="O190" s="1902"/>
      <c r="P190" s="1775"/>
      <c r="Q190" s="3342" t="s">
        <v>7284</v>
      </c>
      <c r="R190" s="2150"/>
      <c r="S190" s="2150"/>
      <c r="T190" s="2150"/>
      <c r="U190" s="2150"/>
      <c r="V190" s="2150"/>
      <c r="W190" s="2150"/>
      <c r="X190" s="2150"/>
      <c r="Y190" s="2150"/>
      <c r="Z190" s="2150"/>
      <c r="AA190" s="2150"/>
    </row>
    <row r="191" spans="1:35" s="2643" customFormat="1" ht="58.6" customHeight="1">
      <c r="A191" s="1542"/>
      <c r="B191" s="3258" t="str">
        <f t="shared" si="6"/>
        <v>2000003399</v>
      </c>
      <c r="C191" s="1493" t="s">
        <v>6893</v>
      </c>
      <c r="D191" s="2150"/>
      <c r="E191" s="1921" t="s">
        <v>8253</v>
      </c>
      <c r="F191" s="1493" t="s">
        <v>24</v>
      </c>
      <c r="G191" s="1568"/>
      <c r="H191" s="1495"/>
      <c r="I191" s="1495" t="s">
        <v>7249</v>
      </c>
      <c r="J191" s="3009" t="s">
        <v>65</v>
      </c>
      <c r="K191" s="1495" t="s">
        <v>117</v>
      </c>
      <c r="L191" s="2878" t="s">
        <v>8258</v>
      </c>
      <c r="M191" s="2357">
        <v>2000</v>
      </c>
      <c r="N191" s="2907" t="s">
        <v>5392</v>
      </c>
      <c r="O191" s="1493"/>
      <c r="P191" s="1859"/>
      <c r="Q191" s="3306" t="s">
        <v>7284</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6" customHeight="1">
      <c r="A192" s="2436">
        <v>347</v>
      </c>
      <c r="B192" s="3423" t="str">
        <f t="shared" si="6"/>
        <v>2000003446</v>
      </c>
      <c r="C192" s="1902" t="s">
        <v>252</v>
      </c>
      <c r="D192" s="2607">
        <v>4000</v>
      </c>
      <c r="E192" s="2607" t="s">
        <v>8259</v>
      </c>
      <c r="F192" s="3019" t="s">
        <v>20</v>
      </c>
      <c r="G192" s="2279"/>
      <c r="H192" s="1921"/>
      <c r="I192" s="1495" t="s">
        <v>7249</v>
      </c>
      <c r="J192" s="3019" t="s">
        <v>65</v>
      </c>
      <c r="K192" s="1921" t="s">
        <v>117</v>
      </c>
      <c r="L192" s="2194" t="s">
        <v>8260</v>
      </c>
      <c r="M192" s="2583">
        <v>350</v>
      </c>
      <c r="N192" s="3188" t="s">
        <v>7407</v>
      </c>
      <c r="O192" s="1902"/>
      <c r="P192" s="1775"/>
      <c r="Q192" s="3342" t="s">
        <v>7284</v>
      </c>
      <c r="R192" s="2150"/>
      <c r="S192" s="2150"/>
      <c r="T192" s="2150"/>
      <c r="U192" s="2150"/>
      <c r="V192" s="2150"/>
      <c r="W192" s="2150"/>
      <c r="X192" s="2150"/>
      <c r="Y192" s="2150"/>
      <c r="Z192" s="2150"/>
      <c r="AA192" s="2150"/>
    </row>
    <row r="193" spans="1:35" s="1467" customFormat="1" ht="58.6" customHeight="1">
      <c r="A193" s="1542"/>
      <c r="B193" s="3069" t="str">
        <f t="shared" si="6"/>
        <v>2000003461</v>
      </c>
      <c r="C193" s="1493" t="s">
        <v>252</v>
      </c>
      <c r="D193" s="2613"/>
      <c r="E193" s="2607" t="s">
        <v>8259</v>
      </c>
      <c r="F193" s="3009" t="s">
        <v>20</v>
      </c>
      <c r="G193" s="1568"/>
      <c r="H193" s="1495"/>
      <c r="I193" s="1495" t="s">
        <v>7249</v>
      </c>
      <c r="J193" s="3009" t="s">
        <v>65</v>
      </c>
      <c r="K193" s="1495" t="s">
        <v>117</v>
      </c>
      <c r="L193" s="1496" t="s">
        <v>8261</v>
      </c>
      <c r="M193" s="2357">
        <v>1650</v>
      </c>
      <c r="N193" s="2196" t="s">
        <v>8262</v>
      </c>
      <c r="O193" s="1493"/>
      <c r="P193" s="1859"/>
      <c r="Q193" s="3306" t="s">
        <v>7284</v>
      </c>
      <c r="R193" s="1548"/>
      <c r="S193" s="1548"/>
      <c r="T193" s="1548"/>
      <c r="U193" s="1548"/>
      <c r="V193" s="1548"/>
      <c r="W193" s="1548"/>
      <c r="X193" s="1548"/>
      <c r="Y193" s="1548"/>
      <c r="Z193" s="1548"/>
      <c r="AA193" s="1548"/>
    </row>
    <row r="194" spans="1:35" s="1467" customFormat="1" ht="58.6" customHeight="1">
      <c r="A194" s="1542"/>
      <c r="B194" s="3424" t="str">
        <f t="shared" si="6"/>
        <v>2200002294</v>
      </c>
      <c r="C194" s="1493" t="s">
        <v>252</v>
      </c>
      <c r="D194" s="1494"/>
      <c r="E194" s="2607" t="s">
        <v>8259</v>
      </c>
      <c r="F194" s="3009" t="s">
        <v>20</v>
      </c>
      <c r="G194" s="1495"/>
      <c r="H194" s="1568"/>
      <c r="I194" s="1495" t="s">
        <v>8263</v>
      </c>
      <c r="J194" s="3009" t="s">
        <v>65</v>
      </c>
      <c r="K194" s="1495" t="s">
        <v>117</v>
      </c>
      <c r="L194" s="1600" t="s">
        <v>8264</v>
      </c>
      <c r="M194" s="2357">
        <f>600-177</f>
        <v>423</v>
      </c>
      <c r="N194" s="2907" t="s">
        <v>5392</v>
      </c>
      <c r="O194" s="1493"/>
      <c r="P194" s="1859"/>
      <c r="Q194" s="3318" t="s">
        <v>7284</v>
      </c>
      <c r="R194" s="1548"/>
      <c r="S194" s="1548"/>
      <c r="T194" s="1548"/>
      <c r="U194" s="1548"/>
      <c r="V194" s="1548"/>
      <c r="W194" s="1548"/>
      <c r="X194" s="1548"/>
      <c r="Y194" s="1548"/>
      <c r="Z194" s="1548"/>
      <c r="AA194" s="1548"/>
    </row>
    <row r="195" spans="1:35" s="1467" customFormat="1" ht="58.6" customHeight="1">
      <c r="A195" s="3369"/>
      <c r="B195" s="3424" t="str">
        <f t="shared" si="6"/>
        <v>2000003469</v>
      </c>
      <c r="C195" s="1493" t="s">
        <v>252</v>
      </c>
      <c r="D195" s="1548"/>
      <c r="E195" s="2607" t="s">
        <v>8259</v>
      </c>
      <c r="F195" s="3009" t="s">
        <v>20</v>
      </c>
      <c r="G195" s="1787"/>
      <c r="H195" s="1568"/>
      <c r="I195" s="2024" t="s">
        <v>7249</v>
      </c>
      <c r="J195" s="3009" t="s">
        <v>65</v>
      </c>
      <c r="K195" s="1495" t="s">
        <v>117</v>
      </c>
      <c r="L195" s="1600" t="s">
        <v>8265</v>
      </c>
      <c r="M195" s="2357">
        <v>1577</v>
      </c>
      <c r="N195" s="3425" t="s">
        <v>7407</v>
      </c>
      <c r="O195" s="1493"/>
      <c r="P195" s="1843" t="s">
        <v>8250</v>
      </c>
      <c r="Q195" s="3318" t="s">
        <v>7284</v>
      </c>
      <c r="R195" s="1790"/>
    </row>
    <row r="196" spans="1:35" s="2150" customFormat="1" ht="58.6" customHeight="1">
      <c r="B196" s="3434" t="str">
        <f t="shared" si="6"/>
        <v>2200002279</v>
      </c>
      <c r="C196" s="1902" t="s">
        <v>3252</v>
      </c>
      <c r="D196" s="2550">
        <v>4300</v>
      </c>
      <c r="E196" s="1902" t="s">
        <v>8266</v>
      </c>
      <c r="F196" s="1902" t="s">
        <v>18</v>
      </c>
      <c r="G196" s="2159"/>
      <c r="H196" s="1921"/>
      <c r="I196" s="1921" t="s">
        <v>7249</v>
      </c>
      <c r="J196" s="1902" t="s">
        <v>65</v>
      </c>
      <c r="K196" s="1921" t="s">
        <v>117</v>
      </c>
      <c r="L196" s="2904" t="s">
        <v>8267</v>
      </c>
      <c r="M196" s="3041">
        <v>301</v>
      </c>
      <c r="N196" s="2196" t="s">
        <v>8255</v>
      </c>
      <c r="O196" s="1902"/>
      <c r="P196" s="1911"/>
      <c r="Q196" s="3338" t="s">
        <v>7284</v>
      </c>
      <c r="R196" s="3308"/>
      <c r="S196" s="2659"/>
      <c r="T196" s="2659"/>
      <c r="U196" s="3309"/>
      <c r="V196" s="1904"/>
      <c r="W196" s="2659"/>
      <c r="X196" s="2424"/>
      <c r="Y196" s="2424"/>
      <c r="Z196" s="1902"/>
      <c r="AA196" s="1921"/>
      <c r="AB196" s="3310"/>
      <c r="AC196" s="3311"/>
    </row>
    <row r="197" spans="1:35" s="1467" customFormat="1" ht="58.6" customHeight="1">
      <c r="A197" s="2797"/>
      <c r="B197" s="3434" t="str">
        <f t="shared" si="6"/>
        <v>2200002284</v>
      </c>
      <c r="C197" s="1493" t="s">
        <v>3252</v>
      </c>
      <c r="D197" s="2484"/>
      <c r="E197" s="1493"/>
      <c r="F197" s="1493" t="s">
        <v>18</v>
      </c>
      <c r="G197" s="1900"/>
      <c r="H197" s="1543"/>
      <c r="I197" s="1495" t="s">
        <v>7249</v>
      </c>
      <c r="J197" s="1493" t="s">
        <v>65</v>
      </c>
      <c r="K197" s="1495" t="s">
        <v>117</v>
      </c>
      <c r="L197" s="1600" t="s">
        <v>8268</v>
      </c>
      <c r="M197" s="3037">
        <v>253</v>
      </c>
      <c r="N197" s="2196" t="s">
        <v>8269</v>
      </c>
      <c r="O197" s="1493"/>
      <c r="P197" s="1547"/>
      <c r="Q197" s="3338" t="s">
        <v>7284</v>
      </c>
      <c r="R197" s="3225"/>
      <c r="S197" s="1474"/>
      <c r="T197" s="1474"/>
      <c r="U197" s="3226"/>
      <c r="V197" s="1634"/>
      <c r="W197" s="1474"/>
      <c r="X197" s="2024"/>
      <c r="Y197" s="2024"/>
      <c r="Z197" s="1493"/>
      <c r="AA197" s="1495"/>
      <c r="AB197" s="1551"/>
      <c r="AC197" s="3227"/>
    </row>
    <row r="198" spans="1:35" s="1467" customFormat="1" ht="58.6" customHeight="1">
      <c r="A198" s="1542"/>
      <c r="B198" s="3535" t="str">
        <f t="shared" si="6"/>
        <v>2200002294</v>
      </c>
      <c r="C198" s="1493" t="s">
        <v>3252</v>
      </c>
      <c r="D198" s="2484"/>
      <c r="E198" s="1493"/>
      <c r="F198" s="1493" t="s">
        <v>18</v>
      </c>
      <c r="G198" s="1495"/>
      <c r="H198" s="1568"/>
      <c r="I198" s="1495" t="s">
        <v>7249</v>
      </c>
      <c r="J198" s="3009" t="s">
        <v>65</v>
      </c>
      <c r="K198" s="1495" t="s">
        <v>117</v>
      </c>
      <c r="L198" s="1600" t="s">
        <v>8270</v>
      </c>
      <c r="M198" s="2357">
        <v>600</v>
      </c>
      <c r="N198" s="2907" t="s">
        <v>5392</v>
      </c>
      <c r="O198" s="1493"/>
      <c r="P198" s="1859"/>
      <c r="Q198" s="3338" t="s">
        <v>7284</v>
      </c>
      <c r="R198" s="1548"/>
      <c r="S198" s="1548"/>
      <c r="T198" s="1548"/>
      <c r="U198" s="1548"/>
      <c r="V198" s="1548"/>
      <c r="W198" s="1548"/>
      <c r="X198" s="1548"/>
      <c r="Y198" s="1548"/>
      <c r="Z198" s="1548"/>
      <c r="AA198" s="1548"/>
    </row>
    <row r="199" spans="1:35" s="1467" customFormat="1" ht="58.6" customHeight="1">
      <c r="A199" s="2797"/>
      <c r="B199" s="3434" t="str">
        <f t="shared" si="6"/>
        <v>2200002302</v>
      </c>
      <c r="C199" s="1493" t="s">
        <v>3252</v>
      </c>
      <c r="D199" s="2484"/>
      <c r="E199" s="1493"/>
      <c r="F199" s="1493" t="s">
        <v>18</v>
      </c>
      <c r="G199" s="1900"/>
      <c r="H199" s="1543"/>
      <c r="I199" s="1495" t="s">
        <v>8271</v>
      </c>
      <c r="J199" s="1493" t="s">
        <v>65</v>
      </c>
      <c r="K199" s="1495" t="s">
        <v>117</v>
      </c>
      <c r="L199" s="1600" t="s">
        <v>8272</v>
      </c>
      <c r="M199" s="3037">
        <v>1375</v>
      </c>
      <c r="N199" s="2196" t="s">
        <v>8273</v>
      </c>
      <c r="O199" s="1493"/>
      <c r="P199" s="1547"/>
      <c r="Q199" s="3338" t="s">
        <v>7284</v>
      </c>
      <c r="R199" s="3225"/>
      <c r="S199" s="1474"/>
      <c r="T199" s="1474"/>
      <c r="U199" s="3226"/>
      <c r="V199" s="1634"/>
      <c r="W199" s="1474"/>
      <c r="X199" s="2024"/>
      <c r="Y199" s="2024"/>
      <c r="Z199" s="1493"/>
      <c r="AA199" s="1495"/>
      <c r="AB199" s="1551"/>
      <c r="AC199" s="3227"/>
    </row>
    <row r="200" spans="1:35" s="1467" customFormat="1" ht="58.6" customHeight="1">
      <c r="A200" s="2797"/>
      <c r="B200" s="3434" t="str">
        <f t="shared" si="6"/>
        <v>2200002303</v>
      </c>
      <c r="C200" s="1493" t="s">
        <v>3252</v>
      </c>
      <c r="D200" s="2484"/>
      <c r="E200" s="1493"/>
      <c r="F200" s="1493" t="s">
        <v>18</v>
      </c>
      <c r="G200" s="1900"/>
      <c r="H200" s="1543"/>
      <c r="I200" s="1495" t="s">
        <v>8271</v>
      </c>
      <c r="J200" s="1493" t="s">
        <v>65</v>
      </c>
      <c r="K200" s="1495" t="s">
        <v>142</v>
      </c>
      <c r="L200" s="1600" t="s">
        <v>8274</v>
      </c>
      <c r="M200" s="3037">
        <v>587</v>
      </c>
      <c r="N200" s="2196" t="s">
        <v>8273</v>
      </c>
      <c r="O200" s="1493"/>
      <c r="P200" s="1547"/>
      <c r="Q200" s="3338" t="s">
        <v>7284</v>
      </c>
      <c r="R200" s="3225"/>
      <c r="S200" s="1474"/>
      <c r="T200" s="1474"/>
      <c r="U200" s="3226"/>
      <c r="V200" s="1634"/>
      <c r="W200" s="1474"/>
      <c r="X200" s="2024"/>
      <c r="Y200" s="2024"/>
      <c r="Z200" s="1493"/>
      <c r="AA200" s="1495"/>
      <c r="AB200" s="1551"/>
      <c r="AC200" s="3227"/>
    </row>
    <row r="201" spans="1:35" s="1548" customFormat="1" ht="58.6" customHeight="1">
      <c r="A201" s="1667"/>
      <c r="B201" s="3021" t="str">
        <f t="shared" si="6"/>
        <v>2200002153</v>
      </c>
      <c r="C201" s="1626" t="s">
        <v>3252</v>
      </c>
      <c r="D201" s="2484"/>
      <c r="E201" s="1493"/>
      <c r="F201" s="1493" t="s">
        <v>18</v>
      </c>
      <c r="G201" s="1495"/>
      <c r="H201" s="1495"/>
      <c r="I201" s="1766" t="s">
        <v>7249</v>
      </c>
      <c r="J201" s="3009" t="s">
        <v>65</v>
      </c>
      <c r="K201" s="1495" t="s">
        <v>142</v>
      </c>
      <c r="L201" s="2878" t="s">
        <v>8275</v>
      </c>
      <c r="M201" s="2357">
        <v>1184</v>
      </c>
      <c r="N201" s="2196" t="s">
        <v>8276</v>
      </c>
      <c r="O201" s="1493"/>
      <c r="P201" s="1859"/>
      <c r="Q201" s="3338" t="s">
        <v>7284</v>
      </c>
    </row>
    <row r="202" spans="1:35" s="2676" customFormat="1" ht="58.6" customHeight="1">
      <c r="A202" s="2781"/>
      <c r="B202" s="3021" t="str">
        <f t="shared" si="6"/>
        <v>2000003438</v>
      </c>
      <c r="C202" s="2439" t="s">
        <v>87</v>
      </c>
      <c r="D202" s="2585">
        <v>5900</v>
      </c>
      <c r="E202" s="2159" t="s">
        <v>8277</v>
      </c>
      <c r="F202" s="2391" t="s">
        <v>14</v>
      </c>
      <c r="G202" s="2118" t="s">
        <v>8278</v>
      </c>
      <c r="H202" s="2118"/>
      <c r="I202" s="1495" t="s">
        <v>7249</v>
      </c>
      <c r="J202" s="3019" t="s">
        <v>65</v>
      </c>
      <c r="K202" s="1921" t="s">
        <v>66</v>
      </c>
      <c r="L202" s="1862" t="s">
        <v>8279</v>
      </c>
      <c r="M202" s="2583">
        <v>5890</v>
      </c>
      <c r="N202" s="3188" t="s">
        <v>8280</v>
      </c>
      <c r="O202" s="1902"/>
      <c r="P202" s="1859"/>
      <c r="Q202" s="3319" t="s">
        <v>7284</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6" customHeight="1">
      <c r="A203" s="3216"/>
      <c r="B203" s="3151" t="str">
        <f t="shared" si="6"/>
        <v>2200002162</v>
      </c>
      <c r="C203" s="1902" t="s">
        <v>3772</v>
      </c>
      <c r="D203" s="2585">
        <v>8800</v>
      </c>
      <c r="E203" s="1921" t="s">
        <v>8281</v>
      </c>
      <c r="F203" s="1902" t="s">
        <v>16</v>
      </c>
      <c r="G203" s="1909" t="s">
        <v>8282</v>
      </c>
      <c r="H203" s="1909" t="s">
        <v>8283</v>
      </c>
      <c r="I203" s="3094" t="s">
        <v>7249</v>
      </c>
      <c r="J203" s="1902" t="s">
        <v>65</v>
      </c>
      <c r="K203" s="1921" t="s">
        <v>1179</v>
      </c>
      <c r="L203" s="3118" t="s">
        <v>8284</v>
      </c>
      <c r="M203" s="3036">
        <v>900</v>
      </c>
      <c r="N203" s="3188" t="s">
        <v>7407</v>
      </c>
      <c r="O203" s="1902"/>
      <c r="P203" s="2682"/>
      <c r="Q203" s="3319" t="s">
        <v>7284</v>
      </c>
      <c r="R203" s="1902"/>
    </row>
    <row r="204" spans="1:35" s="2643" customFormat="1" ht="58.6" customHeight="1">
      <c r="A204" s="3216"/>
      <c r="B204" s="3189" t="str">
        <f t="shared" si="6"/>
        <v>2200002270</v>
      </c>
      <c r="C204" s="1493" t="s">
        <v>3772</v>
      </c>
      <c r="D204" s="2585"/>
      <c r="E204" s="1921"/>
      <c r="F204" s="1493" t="s">
        <v>16</v>
      </c>
      <c r="G204" s="1921"/>
      <c r="H204" s="1921"/>
      <c r="I204" s="1624" t="s">
        <v>7249</v>
      </c>
      <c r="J204" s="1493" t="s">
        <v>65</v>
      </c>
      <c r="K204" s="1495" t="s">
        <v>1179</v>
      </c>
      <c r="L204" s="3090" t="s">
        <v>8285</v>
      </c>
      <c r="M204" s="3040">
        <v>1008</v>
      </c>
      <c r="N204" s="2196" t="s">
        <v>7541</v>
      </c>
      <c r="O204" s="1902"/>
      <c r="P204" s="2682"/>
      <c r="Q204" s="3319" t="s">
        <v>7284</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6" customHeight="1">
      <c r="A205" s="3216"/>
      <c r="B205" s="3189" t="str">
        <f t="shared" si="6"/>
        <v>2200002271</v>
      </c>
      <c r="C205" s="1493" t="s">
        <v>3772</v>
      </c>
      <c r="D205" s="2585"/>
      <c r="E205" s="1921"/>
      <c r="F205" s="1493" t="s">
        <v>16</v>
      </c>
      <c r="G205" s="1921"/>
      <c r="H205" s="1921"/>
      <c r="I205" s="1624" t="s">
        <v>7249</v>
      </c>
      <c r="J205" s="1493" t="s">
        <v>65</v>
      </c>
      <c r="K205" s="1495" t="s">
        <v>1179</v>
      </c>
      <c r="L205" s="3090" t="s">
        <v>8286</v>
      </c>
      <c r="M205" s="3040">
        <v>132</v>
      </c>
      <c r="N205" s="3188" t="s">
        <v>7625</v>
      </c>
      <c r="O205" s="1902"/>
      <c r="P205" s="2682"/>
      <c r="Q205" s="3319" t="s">
        <v>7284</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6" customHeight="1">
      <c r="A206" s="3216"/>
      <c r="B206" s="3189" t="str">
        <f t="shared" si="6"/>
        <v>2200002272</v>
      </c>
      <c r="C206" s="1493" t="s">
        <v>3772</v>
      </c>
      <c r="D206" s="2585"/>
      <c r="E206" s="1921"/>
      <c r="F206" s="1493" t="s">
        <v>16</v>
      </c>
      <c r="G206" s="1921"/>
      <c r="H206" s="1921"/>
      <c r="I206" s="1624" t="s">
        <v>7249</v>
      </c>
      <c r="J206" s="1493" t="s">
        <v>65</v>
      </c>
      <c r="K206" s="1495" t="s">
        <v>1179</v>
      </c>
      <c r="L206" s="3090" t="s">
        <v>8287</v>
      </c>
      <c r="M206" s="3040">
        <v>1860</v>
      </c>
      <c r="N206" s="2196" t="s">
        <v>7541</v>
      </c>
      <c r="O206" s="1902"/>
      <c r="P206" s="2682"/>
      <c r="Q206" s="3319" t="s">
        <v>7284</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6" customHeight="1">
      <c r="A207" s="3216"/>
      <c r="B207" s="3189" t="str">
        <f t="shared" si="6"/>
        <v>2200002273</v>
      </c>
      <c r="C207" s="1493" t="s">
        <v>3772</v>
      </c>
      <c r="D207" s="2585"/>
      <c r="E207" s="1921"/>
      <c r="F207" s="1493" t="s">
        <v>16</v>
      </c>
      <c r="G207" s="1921"/>
      <c r="H207" s="1921"/>
      <c r="I207" s="1624" t="s">
        <v>7249</v>
      </c>
      <c r="J207" s="1493" t="s">
        <v>65</v>
      </c>
      <c r="K207" s="1495" t="s">
        <v>1179</v>
      </c>
      <c r="L207" s="3090" t="s">
        <v>8288</v>
      </c>
      <c r="M207" s="3040">
        <v>42</v>
      </c>
      <c r="N207" s="2196" t="s">
        <v>7541</v>
      </c>
      <c r="O207" s="1902"/>
      <c r="P207" s="2682"/>
      <c r="Q207" s="3319" t="s">
        <v>7284</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6" customHeight="1">
      <c r="A208" s="3216"/>
      <c r="B208" s="3189" t="str">
        <f t="shared" si="6"/>
        <v>2200002274</v>
      </c>
      <c r="C208" s="1493" t="s">
        <v>3772</v>
      </c>
      <c r="D208" s="2585"/>
      <c r="E208" s="1921"/>
      <c r="F208" s="1493" t="s">
        <v>16</v>
      </c>
      <c r="G208" s="1921"/>
      <c r="H208" s="1921"/>
      <c r="I208" s="1624" t="s">
        <v>7249</v>
      </c>
      <c r="J208" s="1493" t="s">
        <v>65</v>
      </c>
      <c r="K208" s="1495" t="s">
        <v>1179</v>
      </c>
      <c r="L208" s="3090" t="s">
        <v>8289</v>
      </c>
      <c r="M208" s="3040">
        <v>162</v>
      </c>
      <c r="N208" s="3188" t="s">
        <v>8290</v>
      </c>
      <c r="O208" s="1902"/>
      <c r="P208" s="2682"/>
      <c r="Q208" s="3319" t="s">
        <v>7284</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6" customHeight="1">
      <c r="A209" s="3216"/>
      <c r="B209" s="3189" t="str">
        <f t="shared" si="6"/>
        <v>2200002275</v>
      </c>
      <c r="C209" s="1493" t="s">
        <v>3772</v>
      </c>
      <c r="D209" s="2585"/>
      <c r="E209" s="1921"/>
      <c r="F209" s="1493" t="s">
        <v>16</v>
      </c>
      <c r="G209" s="1921"/>
      <c r="H209" s="1921"/>
      <c r="I209" s="1624" t="s">
        <v>7249</v>
      </c>
      <c r="J209" s="1493" t="s">
        <v>65</v>
      </c>
      <c r="K209" s="1495" t="s">
        <v>1179</v>
      </c>
      <c r="L209" s="3090" t="s">
        <v>8291</v>
      </c>
      <c r="M209" s="3040">
        <v>53</v>
      </c>
      <c r="N209" s="2196" t="s">
        <v>7541</v>
      </c>
      <c r="O209" s="1902"/>
      <c r="P209" s="2682"/>
      <c r="Q209" s="3319" t="s">
        <v>7284</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6" customHeight="1">
      <c r="A210" s="3216"/>
      <c r="B210" s="3189" t="str">
        <f t="shared" si="6"/>
        <v>2200002184</v>
      </c>
      <c r="C210" s="1493" t="s">
        <v>3772</v>
      </c>
      <c r="D210" s="3368"/>
      <c r="E210" s="1495"/>
      <c r="F210" s="1493" t="s">
        <v>16</v>
      </c>
      <c r="G210" s="1921"/>
      <c r="H210" s="1495"/>
      <c r="I210" s="1624" t="s">
        <v>7249</v>
      </c>
      <c r="J210" s="1493" t="s">
        <v>65</v>
      </c>
      <c r="K210" s="1495" t="s">
        <v>1179</v>
      </c>
      <c r="L210" s="1496" t="s">
        <v>8292</v>
      </c>
      <c r="M210" s="3089">
        <v>2300</v>
      </c>
      <c r="N210" s="2196" t="s">
        <v>5392</v>
      </c>
      <c r="O210" s="1493"/>
      <c r="P210" s="1828"/>
      <c r="Q210" s="3319" t="s">
        <v>7284</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6" customHeight="1">
      <c r="A211" s="3369"/>
      <c r="B211" s="3189" t="str">
        <f t="shared" si="6"/>
        <v>2200002255</v>
      </c>
      <c r="C211" s="1493" t="s">
        <v>3772</v>
      </c>
      <c r="D211" s="3210"/>
      <c r="E211" s="3007"/>
      <c r="F211" s="1493" t="s">
        <v>16</v>
      </c>
      <c r="G211" s="3007"/>
      <c r="H211" s="3007"/>
      <c r="I211" s="1624" t="s">
        <v>7249</v>
      </c>
      <c r="J211" s="1493" t="s">
        <v>65</v>
      </c>
      <c r="K211" s="1495" t="s">
        <v>1179</v>
      </c>
      <c r="L211" s="1605" t="s">
        <v>8293</v>
      </c>
      <c r="M211" s="3077">
        <v>2400</v>
      </c>
      <c r="N211" s="3188" t="s">
        <v>7407</v>
      </c>
      <c r="O211" s="3009"/>
      <c r="P211" s="3370"/>
      <c r="Q211" s="3319" t="s">
        <v>7284</v>
      </c>
      <c r="Z211" s="1548"/>
      <c r="AA211" s="1548"/>
      <c r="AD211" s="1548"/>
      <c r="AE211" s="1548"/>
      <c r="AF211" s="1548"/>
      <c r="AG211" s="1548"/>
      <c r="AH211" s="1548"/>
      <c r="AI211" s="1548"/>
    </row>
    <row r="212" spans="1:35" s="2643" customFormat="1" ht="58.6" customHeight="1">
      <c r="A212" s="3216"/>
      <c r="B212" s="3189" t="str">
        <f t="shared" si="6"/>
        <v>2000003456</v>
      </c>
      <c r="C212" s="1902" t="s">
        <v>3595</v>
      </c>
      <c r="D212" s="3209">
        <v>4300</v>
      </c>
      <c r="E212" s="3021" t="s">
        <v>8277</v>
      </c>
      <c r="F212" s="2391" t="s">
        <v>22</v>
      </c>
      <c r="G212" s="3021"/>
      <c r="H212" s="3026" t="s">
        <v>8294</v>
      </c>
      <c r="I212" s="1921" t="s">
        <v>7249</v>
      </c>
      <c r="J212" s="1902" t="s">
        <v>65</v>
      </c>
      <c r="K212" s="1921" t="s">
        <v>1179</v>
      </c>
      <c r="L212" s="2682" t="s">
        <v>8295</v>
      </c>
      <c r="M212" s="3075">
        <v>4300</v>
      </c>
      <c r="N212" s="2506" t="s">
        <v>8296</v>
      </c>
      <c r="O212" s="3019"/>
      <c r="P212" s="3367"/>
      <c r="Q212" s="3342" t="s">
        <v>7370</v>
      </c>
      <c r="Z212" s="2150"/>
      <c r="AA212" s="2150"/>
    </row>
    <row r="213" spans="1:35" s="3179" customFormat="1" ht="58.6" customHeight="1">
      <c r="A213" s="3277"/>
      <c r="B213" s="3221" t="str">
        <f t="shared" ref="B213:B244" si="7">TEXT(LEFT(L213,10),"0000000000")</f>
        <v>2000003396</v>
      </c>
      <c r="C213" s="3174" t="s">
        <v>2509</v>
      </c>
      <c r="D213" s="3211">
        <v>300</v>
      </c>
      <c r="E213" s="3173" t="s">
        <v>8176</v>
      </c>
      <c r="F213" s="3175"/>
      <c r="G213" s="3173"/>
      <c r="H213" s="3180" t="s">
        <v>292</v>
      </c>
      <c r="I213" s="3245" t="s">
        <v>7249</v>
      </c>
      <c r="J213" s="3175" t="s">
        <v>65</v>
      </c>
      <c r="K213" s="3173" t="s">
        <v>1653</v>
      </c>
      <c r="L213" s="3176" t="s">
        <v>8297</v>
      </c>
      <c r="M213" s="3177">
        <v>300</v>
      </c>
      <c r="N213" s="3182" t="s">
        <v>7499</v>
      </c>
      <c r="O213" s="3175"/>
      <c r="P213" s="3178"/>
      <c r="Q213" s="3321" t="s">
        <v>7370</v>
      </c>
    </row>
    <row r="214" spans="1:35" s="3179" customFormat="1" ht="58.6" customHeight="1">
      <c r="A214" s="3207"/>
      <c r="B214" s="3221" t="str">
        <f t="shared" si="7"/>
        <v>2000003396</v>
      </c>
      <c r="C214" s="3174" t="s">
        <v>2509</v>
      </c>
      <c r="D214" s="3211">
        <v>350</v>
      </c>
      <c r="E214" s="3173" t="s">
        <v>8235</v>
      </c>
      <c r="F214" s="3175"/>
      <c r="G214" s="3173"/>
      <c r="H214" s="3180" t="s">
        <v>292</v>
      </c>
      <c r="I214" s="3245" t="s">
        <v>7249</v>
      </c>
      <c r="J214" s="3175" t="s">
        <v>65</v>
      </c>
      <c r="K214" s="3173" t="s">
        <v>1653</v>
      </c>
      <c r="L214" s="3176" t="s">
        <v>8297</v>
      </c>
      <c r="M214" s="3177">
        <v>350</v>
      </c>
      <c r="N214" s="3182" t="s">
        <v>7499</v>
      </c>
      <c r="O214" s="3175"/>
      <c r="P214" s="3178"/>
      <c r="Q214" s="3321" t="s">
        <v>7370</v>
      </c>
    </row>
    <row r="215" spans="1:35" s="3184" customFormat="1" ht="58.6" customHeight="1">
      <c r="A215" s="3207"/>
      <c r="B215" s="3221" t="str">
        <f t="shared" si="7"/>
        <v>2000003385</v>
      </c>
      <c r="C215" s="3174" t="s">
        <v>2509</v>
      </c>
      <c r="D215" s="3211">
        <v>350</v>
      </c>
      <c r="E215" s="3173"/>
      <c r="F215" s="3175"/>
      <c r="G215" s="3180"/>
      <c r="H215" s="3180" t="s">
        <v>292</v>
      </c>
      <c r="I215" s="3245" t="s">
        <v>7249</v>
      </c>
      <c r="J215" s="3175" t="s">
        <v>65</v>
      </c>
      <c r="K215" s="3173" t="s">
        <v>1653</v>
      </c>
      <c r="L215" s="3176" t="s">
        <v>8298</v>
      </c>
      <c r="M215" s="3181">
        <v>350</v>
      </c>
      <c r="N215" s="3182" t="s">
        <v>7499</v>
      </c>
      <c r="O215" s="3174"/>
      <c r="P215" s="3183"/>
      <c r="Q215" s="3321">
        <v>1</v>
      </c>
    </row>
    <row r="216" spans="1:35" s="3184" customFormat="1" ht="58.6" customHeight="1">
      <c r="A216" s="3207"/>
      <c r="B216" s="3221" t="str">
        <f t="shared" si="7"/>
        <v>2200002216</v>
      </c>
      <c r="C216" s="3174" t="s">
        <v>2509</v>
      </c>
      <c r="D216" s="3211">
        <v>200</v>
      </c>
      <c r="E216" s="3173" t="s">
        <v>8299</v>
      </c>
      <c r="F216" s="3175"/>
      <c r="G216" s="3180"/>
      <c r="H216" s="3180" t="s">
        <v>292</v>
      </c>
      <c r="I216" s="3245" t="s">
        <v>7249</v>
      </c>
      <c r="J216" s="3175" t="s">
        <v>65</v>
      </c>
      <c r="K216" s="3173" t="s">
        <v>275</v>
      </c>
      <c r="L216" s="3176" t="s">
        <v>8300</v>
      </c>
      <c r="M216" s="3181">
        <v>200</v>
      </c>
      <c r="N216" s="3182" t="s">
        <v>7625</v>
      </c>
      <c r="O216" s="3174"/>
      <c r="P216" s="3183"/>
      <c r="Q216" s="3321" t="s">
        <v>7252</v>
      </c>
      <c r="S216" s="3201"/>
      <c r="T216" s="3201"/>
      <c r="U216" s="3201"/>
      <c r="V216" s="3201"/>
      <c r="W216" s="3201"/>
      <c r="X216" s="3201"/>
      <c r="Y216" s="3201"/>
      <c r="Z216" s="3201"/>
      <c r="AA216" s="3201"/>
    </row>
    <row r="217" spans="1:35" s="3184" customFormat="1" ht="58.6" customHeight="1">
      <c r="A217" s="3207"/>
      <c r="B217" s="3221" t="str">
        <f t="shared" si="7"/>
        <v>2200002217</v>
      </c>
      <c r="C217" s="3174" t="s">
        <v>2509</v>
      </c>
      <c r="D217" s="3211">
        <v>2097</v>
      </c>
      <c r="E217" s="3173" t="s">
        <v>8301</v>
      </c>
      <c r="F217" s="3175"/>
      <c r="G217" s="3180"/>
      <c r="H217" s="3180" t="s">
        <v>292</v>
      </c>
      <c r="I217" s="3245" t="s">
        <v>7249</v>
      </c>
      <c r="J217" s="3175" t="s">
        <v>65</v>
      </c>
      <c r="K217" s="3173" t="s">
        <v>275</v>
      </c>
      <c r="L217" s="3176" t="s">
        <v>8302</v>
      </c>
      <c r="M217" s="3181">
        <v>2097</v>
      </c>
      <c r="N217" s="3182" t="s">
        <v>7541</v>
      </c>
      <c r="O217" s="3174"/>
      <c r="P217" s="3183"/>
      <c r="Q217" s="3321" t="s">
        <v>7252</v>
      </c>
      <c r="S217" s="3201"/>
      <c r="T217" s="3201"/>
      <c r="U217" s="3201"/>
      <c r="V217" s="3201"/>
      <c r="W217" s="3201"/>
      <c r="X217" s="3201"/>
      <c r="Y217" s="3201"/>
      <c r="Z217" s="3201"/>
      <c r="AA217" s="3201"/>
    </row>
    <row r="218" spans="1:35" s="3184" customFormat="1" ht="58.6" customHeight="1">
      <c r="A218" s="3207"/>
      <c r="B218" s="3221" t="str">
        <f t="shared" si="7"/>
        <v>2000003319</v>
      </c>
      <c r="C218" s="3174" t="s">
        <v>2509</v>
      </c>
      <c r="D218" s="3211">
        <v>350</v>
      </c>
      <c r="E218" s="3173" t="s">
        <v>8303</v>
      </c>
      <c r="F218" s="3175"/>
      <c r="G218" s="3180"/>
      <c r="H218" s="3180" t="s">
        <v>292</v>
      </c>
      <c r="I218" s="3245" t="s">
        <v>7249</v>
      </c>
      <c r="J218" s="3175" t="s">
        <v>65</v>
      </c>
      <c r="K218" s="3173" t="s">
        <v>275</v>
      </c>
      <c r="L218" s="3176" t="s">
        <v>8304</v>
      </c>
      <c r="M218" s="3181">
        <v>350</v>
      </c>
      <c r="N218" s="3182" t="s">
        <v>7499</v>
      </c>
      <c r="O218" s="3174"/>
      <c r="P218" s="3183"/>
      <c r="Q218" s="3321" t="s">
        <v>7252</v>
      </c>
      <c r="S218" s="3201"/>
      <c r="T218" s="3201"/>
      <c r="U218" s="3201"/>
      <c r="V218" s="3201"/>
      <c r="W218" s="3201"/>
      <c r="X218" s="3201"/>
      <c r="Y218" s="3201"/>
      <c r="Z218" s="3201"/>
      <c r="AA218" s="3201"/>
    </row>
    <row r="219" spans="1:35" s="3184" customFormat="1" ht="58.6" customHeight="1">
      <c r="A219" s="3207"/>
      <c r="B219" s="3221" t="str">
        <f t="shared" si="7"/>
        <v>2000003452</v>
      </c>
      <c r="C219" s="3174" t="s">
        <v>2509</v>
      </c>
      <c r="D219" s="3211">
        <v>1750</v>
      </c>
      <c r="E219" s="3313" t="s">
        <v>1801</v>
      </c>
      <c r="F219" s="3175"/>
      <c r="G219" s="3180"/>
      <c r="H219" s="3180" t="s">
        <v>292</v>
      </c>
      <c r="I219" s="3245" t="s">
        <v>7249</v>
      </c>
      <c r="J219" s="3175" t="s">
        <v>65</v>
      </c>
      <c r="K219" s="3173" t="s">
        <v>275</v>
      </c>
      <c r="L219" s="3176" t="s">
        <v>8305</v>
      </c>
      <c r="M219" s="3181">
        <v>1750</v>
      </c>
      <c r="N219" s="3182" t="s">
        <v>7499</v>
      </c>
      <c r="O219" s="3174"/>
      <c r="P219" s="3183"/>
      <c r="Q219" s="3321" t="s">
        <v>7284</v>
      </c>
      <c r="S219" s="3201"/>
      <c r="T219" s="3201"/>
      <c r="U219" s="3201"/>
      <c r="V219" s="3201"/>
      <c r="W219" s="3201"/>
      <c r="X219" s="3201"/>
      <c r="Y219" s="3201"/>
      <c r="Z219" s="3201"/>
      <c r="AA219" s="3201"/>
    </row>
    <row r="220" spans="1:35" s="3184" customFormat="1" ht="58.6" customHeight="1">
      <c r="A220" s="3207"/>
      <c r="B220" s="3221" t="str">
        <f t="shared" si="7"/>
        <v>2000003451</v>
      </c>
      <c r="C220" s="3174" t="s">
        <v>2509</v>
      </c>
      <c r="D220" s="3211">
        <v>250</v>
      </c>
      <c r="E220" s="3313" t="s">
        <v>8306</v>
      </c>
      <c r="F220" s="3175"/>
      <c r="G220" s="3180"/>
      <c r="H220" s="3180" t="s">
        <v>292</v>
      </c>
      <c r="I220" s="3245" t="s">
        <v>7249</v>
      </c>
      <c r="J220" s="3175" t="s">
        <v>65</v>
      </c>
      <c r="K220" s="3173" t="s">
        <v>275</v>
      </c>
      <c r="L220" s="3176" t="s">
        <v>8307</v>
      </c>
      <c r="M220" s="3181">
        <v>250</v>
      </c>
      <c r="N220" s="3182" t="s">
        <v>7572</v>
      </c>
      <c r="O220" s="3174"/>
      <c r="P220" s="3183"/>
      <c r="Q220" s="3321" t="s">
        <v>7370</v>
      </c>
      <c r="S220" s="3201"/>
      <c r="T220" s="3201"/>
      <c r="U220" s="3201"/>
      <c r="V220" s="3201"/>
      <c r="W220" s="3201"/>
      <c r="X220" s="3201"/>
      <c r="Y220" s="3201"/>
      <c r="Z220" s="3201"/>
      <c r="AA220" s="3201"/>
    </row>
    <row r="221" spans="1:35" s="3184" customFormat="1" ht="58.6" customHeight="1">
      <c r="A221" s="3207"/>
      <c r="B221" s="3221" t="str">
        <f t="shared" si="7"/>
        <v>2000003453</v>
      </c>
      <c r="C221" s="3174" t="s">
        <v>2509</v>
      </c>
      <c r="D221" s="3211">
        <v>1000</v>
      </c>
      <c r="E221" s="3313" t="s">
        <v>8308</v>
      </c>
      <c r="F221" s="3175"/>
      <c r="G221" s="3180"/>
      <c r="H221" s="3180" t="s">
        <v>292</v>
      </c>
      <c r="I221" s="3245" t="s">
        <v>7249</v>
      </c>
      <c r="J221" s="3175" t="s">
        <v>65</v>
      </c>
      <c r="K221" s="3173" t="s">
        <v>275</v>
      </c>
      <c r="L221" s="3176" t="s">
        <v>8309</v>
      </c>
      <c r="M221" s="3181">
        <v>1000</v>
      </c>
      <c r="N221" s="3182" t="s">
        <v>7572</v>
      </c>
      <c r="O221" s="3174"/>
      <c r="P221" s="3183"/>
      <c r="Q221" s="3321" t="s">
        <v>7284</v>
      </c>
      <c r="S221" s="3201"/>
      <c r="T221" s="3201"/>
      <c r="U221" s="3201"/>
      <c r="V221" s="3201"/>
      <c r="W221" s="3201"/>
      <c r="X221" s="3201"/>
      <c r="Y221" s="3201"/>
      <c r="Z221" s="3201"/>
      <c r="AA221" s="3201"/>
    </row>
    <row r="222" spans="1:35" s="3201" customFormat="1" ht="58.6" customHeight="1">
      <c r="A222" s="3207"/>
      <c r="B222" s="3221" t="str">
        <f t="shared" si="7"/>
        <v>2200002226</v>
      </c>
      <c r="C222" s="3174" t="s">
        <v>2509</v>
      </c>
      <c r="D222" s="3211">
        <v>1030</v>
      </c>
      <c r="E222" s="3173" t="s">
        <v>8310</v>
      </c>
      <c r="F222" s="3175"/>
      <c r="G222" s="3180"/>
      <c r="H222" s="3180" t="s">
        <v>292</v>
      </c>
      <c r="I222" s="3245" t="s">
        <v>7249</v>
      </c>
      <c r="J222" s="3175" t="s">
        <v>65</v>
      </c>
      <c r="K222" s="3173" t="s">
        <v>275</v>
      </c>
      <c r="L222" s="3176" t="s">
        <v>8311</v>
      </c>
      <c r="M222" s="3181">
        <v>1030</v>
      </c>
      <c r="N222" s="3182" t="s">
        <v>7625</v>
      </c>
      <c r="O222" s="3244"/>
      <c r="P222" s="3183"/>
      <c r="Q222" s="3321" t="s">
        <v>7252</v>
      </c>
    </row>
    <row r="223" spans="1:35" s="3201" customFormat="1" ht="58.6" customHeight="1">
      <c r="A223" s="3207"/>
      <c r="B223" s="3221" t="str">
        <f t="shared" si="7"/>
        <v>2200002227</v>
      </c>
      <c r="C223" s="3174" t="s">
        <v>2509</v>
      </c>
      <c r="D223" s="3211">
        <v>2497</v>
      </c>
      <c r="E223" s="3173" t="s">
        <v>8312</v>
      </c>
      <c r="F223" s="3175"/>
      <c r="G223" s="3180"/>
      <c r="H223" s="3180" t="s">
        <v>292</v>
      </c>
      <c r="I223" s="3254" t="s">
        <v>7249</v>
      </c>
      <c r="J223" s="3175" t="s">
        <v>65</v>
      </c>
      <c r="K223" s="3173" t="s">
        <v>275</v>
      </c>
      <c r="L223" s="3176" t="s">
        <v>8313</v>
      </c>
      <c r="M223" s="3181">
        <v>2497</v>
      </c>
      <c r="N223" s="3182" t="s">
        <v>8314</v>
      </c>
      <c r="O223" s="3244"/>
      <c r="P223" s="3183"/>
      <c r="Q223" s="3321" t="s">
        <v>7252</v>
      </c>
    </row>
    <row r="224" spans="1:35" s="3248" customFormat="1" ht="58.6" customHeight="1">
      <c r="A224" s="3207"/>
      <c r="B224" s="3180" t="str">
        <f t="shared" si="7"/>
        <v>2000003398</v>
      </c>
      <c r="C224" s="3174" t="s">
        <v>2509</v>
      </c>
      <c r="D224" s="3211">
        <v>1260</v>
      </c>
      <c r="E224" s="3173"/>
      <c r="F224" s="3175"/>
      <c r="G224" s="3173"/>
      <c r="H224" s="3180" t="s">
        <v>292</v>
      </c>
      <c r="I224" s="3245" t="s">
        <v>7249</v>
      </c>
      <c r="J224" s="3175" t="s">
        <v>65</v>
      </c>
      <c r="K224" s="3173" t="s">
        <v>275</v>
      </c>
      <c r="L224" s="3176" t="s">
        <v>8315</v>
      </c>
      <c r="M224" s="3177">
        <v>1260</v>
      </c>
      <c r="N224" s="3182" t="s">
        <v>7499</v>
      </c>
      <c r="O224" s="3246"/>
      <c r="P224" s="3247"/>
      <c r="Q224" s="3321" t="s">
        <v>7252</v>
      </c>
    </row>
    <row r="225" spans="1:35" s="3201" customFormat="1" ht="58.6" customHeight="1">
      <c r="A225" s="3207"/>
      <c r="B225" s="3250" t="str">
        <f t="shared" si="7"/>
        <v>2200002163</v>
      </c>
      <c r="C225" s="3174" t="s">
        <v>2509</v>
      </c>
      <c r="D225" s="3252">
        <v>500</v>
      </c>
      <c r="E225" s="3253"/>
      <c r="F225" s="3251"/>
      <c r="G225" s="3254"/>
      <c r="H225" s="3180" t="s">
        <v>292</v>
      </c>
      <c r="I225" s="3254" t="s">
        <v>7249</v>
      </c>
      <c r="J225" s="3251" t="s">
        <v>65</v>
      </c>
      <c r="K225" s="3254" t="s">
        <v>275</v>
      </c>
      <c r="L225" s="3255" t="s">
        <v>8316</v>
      </c>
      <c r="M225" s="3256">
        <v>500</v>
      </c>
      <c r="N225" s="3254" t="s">
        <v>8317</v>
      </c>
      <c r="O225" s="3175"/>
      <c r="P225" s="3257"/>
      <c r="Q225" s="3321" t="s">
        <v>7370</v>
      </c>
      <c r="R225" s="3179"/>
      <c r="S225" s="3179"/>
      <c r="T225" s="3179"/>
      <c r="U225" s="3179"/>
      <c r="V225" s="3179"/>
      <c r="W225" s="3179"/>
      <c r="X225" s="3179"/>
      <c r="Y225" s="3179"/>
      <c r="Z225" s="3179"/>
      <c r="AA225" s="3179"/>
      <c r="AB225" s="3179"/>
      <c r="AC225" s="3179"/>
    </row>
    <row r="226" spans="1:35" s="3201" customFormat="1" ht="58.6" customHeight="1">
      <c r="A226" s="3249"/>
      <c r="B226" s="3250" t="str">
        <f t="shared" si="7"/>
        <v>2200002269</v>
      </c>
      <c r="C226" s="3174" t="s">
        <v>2509</v>
      </c>
      <c r="D226" s="3252">
        <v>7900</v>
      </c>
      <c r="E226" s="3322" t="s">
        <v>8308</v>
      </c>
      <c r="F226" s="3251"/>
      <c r="G226" s="3254"/>
      <c r="H226" s="3180" t="s">
        <v>292</v>
      </c>
      <c r="I226" s="3254" t="s">
        <v>7249</v>
      </c>
      <c r="J226" s="3251" t="s">
        <v>65</v>
      </c>
      <c r="K226" s="3254" t="s">
        <v>275</v>
      </c>
      <c r="L226" s="3255" t="s">
        <v>8318</v>
      </c>
      <c r="M226" s="3256">
        <v>7900</v>
      </c>
      <c r="N226" s="3325" t="s">
        <v>8319</v>
      </c>
      <c r="O226" s="3175"/>
      <c r="P226" s="3257"/>
      <c r="Q226" s="3321"/>
      <c r="R226" s="3179"/>
      <c r="S226" s="3179"/>
      <c r="T226" s="3179"/>
      <c r="U226" s="3179"/>
      <c r="V226" s="3179"/>
      <c r="W226" s="3179"/>
      <c r="X226" s="3179"/>
      <c r="Y226" s="3179"/>
      <c r="Z226" s="3179"/>
      <c r="AA226" s="3179"/>
      <c r="AB226" s="3179"/>
      <c r="AC226" s="3179"/>
    </row>
    <row r="227" spans="1:35" s="3201" customFormat="1" ht="58.6" customHeight="1">
      <c r="A227" s="3249"/>
      <c r="B227" s="3250" t="str">
        <f t="shared" si="7"/>
        <v>2200002247</v>
      </c>
      <c r="C227" s="3174" t="s">
        <v>2509</v>
      </c>
      <c r="D227" s="3252">
        <v>821</v>
      </c>
      <c r="E227" s="3322" t="s">
        <v>8320</v>
      </c>
      <c r="F227" s="3251"/>
      <c r="G227" s="3254"/>
      <c r="H227" s="3253" t="s">
        <v>292</v>
      </c>
      <c r="I227" s="3254" t="s">
        <v>7249</v>
      </c>
      <c r="J227" s="3251" t="s">
        <v>65</v>
      </c>
      <c r="K227" s="3254" t="s">
        <v>275</v>
      </c>
      <c r="L227" s="3255" t="s">
        <v>8321</v>
      </c>
      <c r="M227" s="3256">
        <v>821</v>
      </c>
      <c r="N227" s="3182" t="s">
        <v>7625</v>
      </c>
      <c r="O227" s="3175"/>
      <c r="P227" s="3257"/>
      <c r="Q227" s="3321" t="s">
        <v>7370</v>
      </c>
      <c r="R227" s="3179"/>
      <c r="S227" s="3179"/>
      <c r="T227" s="3179"/>
      <c r="U227" s="3179"/>
      <c r="V227" s="3179"/>
      <c r="W227" s="3179"/>
      <c r="X227" s="3179"/>
      <c r="Y227" s="3179"/>
      <c r="Z227" s="3179"/>
      <c r="AA227" s="3179"/>
      <c r="AB227" s="3179"/>
      <c r="AC227" s="3179"/>
    </row>
    <row r="228" spans="1:35" s="3201" customFormat="1" ht="58.6" customHeight="1">
      <c r="A228" s="3249"/>
      <c r="B228" s="3250" t="str">
        <f t="shared" si="7"/>
        <v>2200002248</v>
      </c>
      <c r="C228" s="3174" t="s">
        <v>2509</v>
      </c>
      <c r="D228" s="3252">
        <v>720</v>
      </c>
      <c r="E228" s="3322" t="s">
        <v>8322</v>
      </c>
      <c r="F228" s="3251"/>
      <c r="G228" s="3254"/>
      <c r="H228" s="3253" t="s">
        <v>292</v>
      </c>
      <c r="I228" s="3254" t="s">
        <v>7249</v>
      </c>
      <c r="J228" s="3251" t="s">
        <v>65</v>
      </c>
      <c r="K228" s="3254" t="s">
        <v>275</v>
      </c>
      <c r="L228" s="3255" t="s">
        <v>8323</v>
      </c>
      <c r="M228" s="3256">
        <v>720</v>
      </c>
      <c r="N228" s="3182" t="s">
        <v>7499</v>
      </c>
      <c r="O228" s="3175"/>
      <c r="P228" s="3257"/>
      <c r="Q228" s="3321" t="s">
        <v>7370</v>
      </c>
      <c r="R228" s="3179"/>
      <c r="S228" s="3179"/>
      <c r="T228" s="3179"/>
      <c r="U228" s="3179"/>
      <c r="V228" s="3179"/>
      <c r="W228" s="3179"/>
      <c r="X228" s="3179"/>
      <c r="Y228" s="3179"/>
      <c r="Z228" s="3179"/>
      <c r="AA228" s="3179"/>
      <c r="AB228" s="3179"/>
      <c r="AC228" s="3179"/>
    </row>
    <row r="229" spans="1:35" s="3201" customFormat="1" ht="58.6" customHeight="1">
      <c r="A229" s="3249"/>
      <c r="B229" s="3250" t="str">
        <f t="shared" si="7"/>
        <v>2200002261</v>
      </c>
      <c r="C229" s="3174" t="s">
        <v>2509</v>
      </c>
      <c r="D229" s="3252">
        <v>1137</v>
      </c>
      <c r="E229" s="3322" t="s">
        <v>8324</v>
      </c>
      <c r="F229" s="3251"/>
      <c r="G229" s="3254"/>
      <c r="H229" s="3253" t="s">
        <v>292</v>
      </c>
      <c r="I229" s="3254" t="s">
        <v>7249</v>
      </c>
      <c r="J229" s="3251" t="s">
        <v>65</v>
      </c>
      <c r="K229" s="3254" t="s">
        <v>275</v>
      </c>
      <c r="L229" s="3255" t="s">
        <v>8325</v>
      </c>
      <c r="M229" s="3256">
        <v>1137</v>
      </c>
      <c r="N229" s="3182" t="s">
        <v>7625</v>
      </c>
      <c r="O229" s="3175"/>
      <c r="P229" s="3257"/>
      <c r="Q229" s="3321" t="s">
        <v>7284</v>
      </c>
      <c r="R229" s="3248"/>
      <c r="S229" s="3248"/>
      <c r="T229" s="3248"/>
      <c r="U229" s="3248"/>
      <c r="V229" s="3248"/>
      <c r="W229" s="3248"/>
      <c r="X229" s="3248"/>
      <c r="Y229" s="3248"/>
      <c r="Z229" s="3179"/>
      <c r="AA229" s="3179"/>
      <c r="AB229" s="3248"/>
      <c r="AC229" s="3248"/>
    </row>
    <row r="230" spans="1:35" s="3201" customFormat="1" ht="58.6" customHeight="1">
      <c r="A230" s="3249"/>
      <c r="B230" s="3250" t="str">
        <f t="shared" si="7"/>
        <v>2200002262</v>
      </c>
      <c r="C230" s="3174" t="s">
        <v>2509</v>
      </c>
      <c r="D230" s="3252">
        <v>4726</v>
      </c>
      <c r="E230" s="3322" t="s">
        <v>8324</v>
      </c>
      <c r="F230" s="3251"/>
      <c r="G230" s="3254"/>
      <c r="H230" s="3253" t="s">
        <v>292</v>
      </c>
      <c r="I230" s="3254" t="s">
        <v>7249</v>
      </c>
      <c r="J230" s="3251" t="s">
        <v>65</v>
      </c>
      <c r="K230" s="3254" t="s">
        <v>275</v>
      </c>
      <c r="L230" s="3255" t="s">
        <v>8326</v>
      </c>
      <c r="M230" s="3256">
        <v>4726</v>
      </c>
      <c r="N230" s="3325" t="s">
        <v>8314</v>
      </c>
      <c r="O230" s="3175"/>
      <c r="P230" s="3257"/>
      <c r="Q230" s="3321" t="s">
        <v>7284</v>
      </c>
      <c r="R230" s="3248"/>
      <c r="S230" s="3248"/>
      <c r="T230" s="3248"/>
      <c r="U230" s="3248"/>
      <c r="V230" s="3248"/>
      <c r="W230" s="3248"/>
      <c r="X230" s="3248"/>
      <c r="Y230" s="3248"/>
      <c r="Z230" s="3179"/>
      <c r="AA230" s="3179"/>
      <c r="AB230" s="3248"/>
      <c r="AC230" s="3248"/>
    </row>
    <row r="231" spans="1:35" s="3201" customFormat="1" ht="58.6" customHeight="1">
      <c r="A231" s="3249"/>
      <c r="B231" s="3250" t="str">
        <f t="shared" si="7"/>
        <v>2200002276</v>
      </c>
      <c r="C231" s="3174" t="s">
        <v>2509</v>
      </c>
      <c r="D231" s="3252">
        <v>1183</v>
      </c>
      <c r="E231" s="3322"/>
      <c r="F231" s="3251"/>
      <c r="G231" s="3254"/>
      <c r="H231" s="3254"/>
      <c r="I231" s="3254" t="s">
        <v>7249</v>
      </c>
      <c r="J231" s="3251" t="s">
        <v>65</v>
      </c>
      <c r="K231" s="3254" t="s">
        <v>275</v>
      </c>
      <c r="L231" s="3255" t="s">
        <v>7933</v>
      </c>
      <c r="M231" s="3256">
        <v>1183</v>
      </c>
      <c r="N231" s="3325" t="s">
        <v>7934</v>
      </c>
      <c r="O231" s="3175"/>
      <c r="P231" s="3257"/>
      <c r="Q231" s="3321"/>
      <c r="R231" s="3248"/>
      <c r="S231" s="3248"/>
      <c r="T231" s="3248"/>
      <c r="U231" s="3248"/>
      <c r="V231" s="3248"/>
      <c r="W231" s="3248"/>
      <c r="X231" s="3248"/>
      <c r="Y231" s="3248"/>
      <c r="Z231" s="3179"/>
      <c r="AA231" s="3179"/>
      <c r="AB231" s="3248"/>
      <c r="AC231" s="3248"/>
    </row>
    <row r="232" spans="1:35" s="3201" customFormat="1" ht="58.6" customHeight="1">
      <c r="A232" s="3249"/>
      <c r="B232" s="3250" t="str">
        <f t="shared" si="7"/>
        <v>2200002277</v>
      </c>
      <c r="C232" s="3174" t="s">
        <v>2509</v>
      </c>
      <c r="D232" s="3252">
        <v>419</v>
      </c>
      <c r="E232" s="3322"/>
      <c r="F232" s="3251"/>
      <c r="G232" s="3254"/>
      <c r="H232" s="3254"/>
      <c r="I232" s="3254" t="s">
        <v>7249</v>
      </c>
      <c r="J232" s="3251" t="s">
        <v>65</v>
      </c>
      <c r="K232" s="3254" t="s">
        <v>275</v>
      </c>
      <c r="L232" s="3255" t="s">
        <v>7940</v>
      </c>
      <c r="M232" s="3256">
        <v>419</v>
      </c>
      <c r="N232" s="3182" t="s">
        <v>7625</v>
      </c>
      <c r="O232" s="3175"/>
      <c r="P232" s="3257"/>
      <c r="Q232" s="3321"/>
      <c r="R232" s="3248"/>
      <c r="S232" s="3248"/>
      <c r="T232" s="3248"/>
      <c r="U232" s="3248"/>
      <c r="V232" s="3248"/>
      <c r="W232" s="3248"/>
      <c r="X232" s="3248"/>
      <c r="Y232" s="3248"/>
      <c r="Z232" s="3179"/>
      <c r="AA232" s="3179"/>
      <c r="AB232" s="3248"/>
      <c r="AC232" s="3248"/>
    </row>
    <row r="233" spans="1:35" s="2643" customFormat="1" ht="58.6" customHeight="1">
      <c r="A233" s="3382"/>
      <c r="B233" s="3189" t="str">
        <f t="shared" si="7"/>
        <v>2000003456</v>
      </c>
      <c r="C233" s="2180" t="s">
        <v>6852</v>
      </c>
      <c r="D233" s="2607">
        <v>10675</v>
      </c>
      <c r="E233" s="1921" t="s">
        <v>8327</v>
      </c>
      <c r="F233" s="2391" t="s">
        <v>18</v>
      </c>
      <c r="G233" s="1921"/>
      <c r="H233" s="1909"/>
      <c r="I233" s="1921" t="s">
        <v>7249</v>
      </c>
      <c r="J233" s="3019" t="s">
        <v>65</v>
      </c>
      <c r="K233" s="1921" t="s">
        <v>1179</v>
      </c>
      <c r="L233" s="1862" t="s">
        <v>8328</v>
      </c>
      <c r="M233" s="2583">
        <v>4493</v>
      </c>
      <c r="N233" s="3188" t="s">
        <v>7407</v>
      </c>
      <c r="O233" s="1902"/>
      <c r="P233" s="1862"/>
      <c r="Q233" s="3383" t="s">
        <v>7284</v>
      </c>
      <c r="R233" s="2150"/>
      <c r="S233" s="2150"/>
      <c r="T233" s="2150"/>
      <c r="U233" s="2150"/>
      <c r="V233" s="2150"/>
      <c r="W233" s="2150"/>
      <c r="X233" s="2150"/>
      <c r="Y233" s="2150"/>
      <c r="Z233" s="2150"/>
      <c r="AA233" s="2150"/>
    </row>
    <row r="234" spans="1:35" s="2643" customFormat="1" ht="58.6" customHeight="1">
      <c r="A234" s="3216"/>
      <c r="B234" s="3189" t="str">
        <f t="shared" si="7"/>
        <v>2200002272</v>
      </c>
      <c r="C234" s="1780" t="s">
        <v>6852</v>
      </c>
      <c r="D234" s="2585"/>
      <c r="E234" s="1921"/>
      <c r="F234" s="1630" t="s">
        <v>18</v>
      </c>
      <c r="G234" s="1921"/>
      <c r="H234" s="1921"/>
      <c r="I234" s="1624" t="s">
        <v>7249</v>
      </c>
      <c r="J234" s="1493" t="s">
        <v>65</v>
      </c>
      <c r="K234" s="1495" t="s">
        <v>1179</v>
      </c>
      <c r="L234" s="3090" t="s">
        <v>8329</v>
      </c>
      <c r="M234" s="3040">
        <v>17</v>
      </c>
      <c r="N234" s="2196" t="s">
        <v>7541</v>
      </c>
      <c r="O234" s="1902"/>
      <c r="P234" s="2682"/>
      <c r="Q234" s="3319" t="s">
        <v>7284</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6" customHeight="1">
      <c r="A235" s="3382"/>
      <c r="B235" s="3189" t="str">
        <f t="shared" si="7"/>
        <v>2200002162</v>
      </c>
      <c r="C235" s="1780" t="s">
        <v>6852</v>
      </c>
      <c r="D235" s="2607"/>
      <c r="E235" s="1921"/>
      <c r="F235" s="1630" t="s">
        <v>18</v>
      </c>
      <c r="G235" s="1921"/>
      <c r="H235" s="1909"/>
      <c r="I235" s="1495" t="s">
        <v>7780</v>
      </c>
      <c r="J235" s="1493" t="s">
        <v>65</v>
      </c>
      <c r="K235" s="1495" t="s">
        <v>1179</v>
      </c>
      <c r="L235" s="2878" t="s">
        <v>8330</v>
      </c>
      <c r="M235" s="3040">
        <v>3323</v>
      </c>
      <c r="N235" s="3188" t="s">
        <v>7407</v>
      </c>
      <c r="O235" s="1902"/>
      <c r="P235" s="1862"/>
      <c r="Q235" s="3383" t="s">
        <v>7284</v>
      </c>
      <c r="R235" s="2150"/>
      <c r="S235" s="2150"/>
      <c r="T235" s="2150"/>
      <c r="U235" s="2150"/>
      <c r="V235" s="2150"/>
      <c r="W235" s="2150"/>
      <c r="X235" s="2150"/>
      <c r="Y235" s="2150"/>
      <c r="Z235" s="2150"/>
      <c r="AA235" s="2150"/>
    </row>
    <row r="236" spans="1:35" s="2643" customFormat="1" ht="58.6" customHeight="1">
      <c r="A236" s="3382"/>
      <c r="B236" s="3189" t="str">
        <f t="shared" si="7"/>
        <v>2200002281</v>
      </c>
      <c r="C236" s="1780" t="s">
        <v>6852</v>
      </c>
      <c r="D236" s="2607"/>
      <c r="E236" s="1921"/>
      <c r="F236" s="1630" t="s">
        <v>18</v>
      </c>
      <c r="G236" s="1921"/>
      <c r="H236" s="1909"/>
      <c r="I236" s="1495" t="s">
        <v>7780</v>
      </c>
      <c r="J236" s="1493" t="s">
        <v>65</v>
      </c>
      <c r="K236" s="1495" t="s">
        <v>1179</v>
      </c>
      <c r="L236" s="2878" t="s">
        <v>8331</v>
      </c>
      <c r="M236" s="3040">
        <v>796</v>
      </c>
      <c r="N236" s="3188" t="s">
        <v>7683</v>
      </c>
      <c r="O236" s="1902"/>
      <c r="P236" s="1862"/>
      <c r="Q236" s="3383" t="s">
        <v>7284</v>
      </c>
      <c r="R236" s="2150"/>
      <c r="S236" s="2150"/>
      <c r="T236" s="2150"/>
      <c r="U236" s="2150"/>
      <c r="V236" s="2150"/>
      <c r="W236" s="2150"/>
      <c r="X236" s="2150"/>
      <c r="Y236" s="2150"/>
      <c r="Z236" s="2150"/>
      <c r="AA236" s="2150"/>
    </row>
    <row r="237" spans="1:35" s="2643" customFormat="1" ht="58.6" customHeight="1">
      <c r="A237" s="3371"/>
      <c r="B237" s="3189" t="str">
        <f t="shared" si="7"/>
        <v>2200002282</v>
      </c>
      <c r="C237" s="1780" t="s">
        <v>6852</v>
      </c>
      <c r="D237" s="2607"/>
      <c r="E237" s="1921"/>
      <c r="F237" s="1630" t="s">
        <v>18</v>
      </c>
      <c r="G237" s="1921"/>
      <c r="H237" s="1909"/>
      <c r="I237" s="1495" t="s">
        <v>7780</v>
      </c>
      <c r="J237" s="1493" t="s">
        <v>65</v>
      </c>
      <c r="K237" s="1495" t="s">
        <v>1179</v>
      </c>
      <c r="L237" s="2878" t="s">
        <v>8332</v>
      </c>
      <c r="M237" s="3040">
        <v>58</v>
      </c>
      <c r="N237" s="3188" t="s">
        <v>7625</v>
      </c>
      <c r="O237" s="1902"/>
      <c r="P237" s="1862"/>
      <c r="Q237" s="3383" t="s">
        <v>7284</v>
      </c>
      <c r="Z237" s="2150"/>
      <c r="AA237" s="2150"/>
    </row>
    <row r="238" spans="1:35" s="2643" customFormat="1" ht="58.6" customHeight="1">
      <c r="A238" s="3371"/>
      <c r="B238" s="3189" t="str">
        <f t="shared" si="7"/>
        <v>2200002285</v>
      </c>
      <c r="C238" s="1780" t="s">
        <v>6852</v>
      </c>
      <c r="D238" s="2607"/>
      <c r="E238" s="1921"/>
      <c r="F238" s="1630" t="s">
        <v>18</v>
      </c>
      <c r="G238" s="1921"/>
      <c r="H238" s="1909"/>
      <c r="I238" s="1495" t="s">
        <v>7780</v>
      </c>
      <c r="J238" s="1493" t="s">
        <v>65</v>
      </c>
      <c r="K238" s="1495" t="s">
        <v>1179</v>
      </c>
      <c r="L238" s="2878" t="s">
        <v>8333</v>
      </c>
      <c r="M238" s="3040">
        <v>585</v>
      </c>
      <c r="N238" s="3188" t="s">
        <v>7625</v>
      </c>
      <c r="O238" s="1902"/>
      <c r="P238" s="1862"/>
      <c r="Q238" s="3383" t="s">
        <v>7284</v>
      </c>
      <c r="Z238" s="2150"/>
      <c r="AA238" s="2150"/>
    </row>
    <row r="239" spans="1:35" s="2643" customFormat="1" ht="58.6" customHeight="1">
      <c r="A239" s="3371"/>
      <c r="B239" s="3189" t="str">
        <f t="shared" si="7"/>
        <v>2200002286</v>
      </c>
      <c r="C239" s="1780" t="s">
        <v>6852</v>
      </c>
      <c r="D239" s="2607"/>
      <c r="E239" s="1921"/>
      <c r="F239" s="1630" t="s">
        <v>18</v>
      </c>
      <c r="G239" s="1921"/>
      <c r="H239" s="1909"/>
      <c r="I239" s="1495" t="s">
        <v>7780</v>
      </c>
      <c r="J239" s="1493" t="s">
        <v>65</v>
      </c>
      <c r="K239" s="1495" t="s">
        <v>1179</v>
      </c>
      <c r="L239" s="2878" t="s">
        <v>8334</v>
      </c>
      <c r="M239" s="3040">
        <v>1403</v>
      </c>
      <c r="N239" s="3188" t="s">
        <v>8335</v>
      </c>
      <c r="O239" s="1902"/>
      <c r="P239" s="1862"/>
      <c r="Q239" s="3383" t="s">
        <v>7284</v>
      </c>
      <c r="Z239" s="2150"/>
      <c r="AA239" s="2150"/>
    </row>
    <row r="240" spans="1:35" s="2643" customFormat="1" ht="58.6" customHeight="1">
      <c r="A240" s="3419"/>
      <c r="B240" s="3278" t="str">
        <f t="shared" si="7"/>
        <v>2000003456</v>
      </c>
      <c r="C240" s="2667" t="s">
        <v>4102</v>
      </c>
      <c r="D240" s="2664">
        <v>13600</v>
      </c>
      <c r="E240" s="2180" t="s">
        <v>8237</v>
      </c>
      <c r="F240" s="2667" t="s">
        <v>14</v>
      </c>
      <c r="G240" s="1909"/>
      <c r="H240" s="1909"/>
      <c r="I240" s="1921" t="s">
        <v>7249</v>
      </c>
      <c r="J240" s="1902" t="s">
        <v>65</v>
      </c>
      <c r="K240" s="1921" t="s">
        <v>1179</v>
      </c>
      <c r="L240" s="3420" t="s">
        <v>8336</v>
      </c>
      <c r="M240" s="2583">
        <v>6480</v>
      </c>
      <c r="N240" s="3188" t="s">
        <v>7407</v>
      </c>
      <c r="O240" s="2429"/>
      <c r="P240" s="3421"/>
      <c r="Q240" s="3383" t="s">
        <v>7284</v>
      </c>
      <c r="R240" s="3299"/>
      <c r="S240" s="3103"/>
      <c r="T240" s="3103"/>
      <c r="U240" s="3103"/>
      <c r="V240" s="3103"/>
      <c r="W240" s="3103"/>
      <c r="X240" s="3103"/>
      <c r="Y240" s="3103"/>
      <c r="Z240" s="3103"/>
      <c r="AA240" s="3103"/>
      <c r="AB240" s="3103"/>
      <c r="AC240" s="3103"/>
      <c r="AD240" s="3103"/>
      <c r="AE240" s="3103"/>
      <c r="AF240" s="3103"/>
      <c r="AG240" s="3103"/>
      <c r="AH240" s="3103"/>
      <c r="AI240" s="3103"/>
    </row>
    <row r="241" spans="1:35" s="2676" customFormat="1" ht="58.6" customHeight="1">
      <c r="A241" s="3418"/>
      <c r="B241" s="3278" t="str">
        <f t="shared" si="7"/>
        <v>2200002161</v>
      </c>
      <c r="C241" s="1782" t="s">
        <v>4102</v>
      </c>
      <c r="D241" s="3422"/>
      <c r="E241" s="1780" t="s">
        <v>8237</v>
      </c>
      <c r="F241" s="1782" t="s">
        <v>14</v>
      </c>
      <c r="G241" s="1921"/>
      <c r="H241" s="1748"/>
      <c r="I241" s="1495" t="s">
        <v>7249</v>
      </c>
      <c r="J241" s="3282" t="s">
        <v>65</v>
      </c>
      <c r="K241" s="1495" t="s">
        <v>1179</v>
      </c>
      <c r="L241" s="3198" t="s">
        <v>8337</v>
      </c>
      <c r="M241" s="3132">
        <v>4500</v>
      </c>
      <c r="N241" s="2196" t="s">
        <v>6593</v>
      </c>
      <c r="O241" s="2429"/>
      <c r="P241" s="3421"/>
      <c r="Q241" s="3383" t="s">
        <v>7284</v>
      </c>
      <c r="R241" s="3103"/>
      <c r="S241" s="3103"/>
      <c r="T241" s="3103"/>
      <c r="U241" s="3103"/>
      <c r="V241" s="3103"/>
      <c r="W241" s="3103"/>
      <c r="X241" s="3103"/>
      <c r="Y241" s="3103"/>
      <c r="Z241" s="3103"/>
      <c r="AA241" s="3103"/>
      <c r="AB241" s="3103"/>
      <c r="AC241" s="3103"/>
      <c r="AD241" s="3103"/>
      <c r="AE241" s="3103"/>
      <c r="AF241" s="3103"/>
      <c r="AG241" s="3103"/>
      <c r="AH241" s="3103"/>
      <c r="AI241" s="3103"/>
    </row>
    <row r="242" spans="1:35" s="2676" customFormat="1" ht="58.6" customHeight="1">
      <c r="A242" s="3412"/>
      <c r="B242" s="3278" t="str">
        <f t="shared" si="7"/>
        <v>2000003475</v>
      </c>
      <c r="C242" s="1782" t="s">
        <v>4102</v>
      </c>
      <c r="D242" s="2767"/>
      <c r="E242" s="1780" t="s">
        <v>8237</v>
      </c>
      <c r="F242" s="1782" t="s">
        <v>14</v>
      </c>
      <c r="G242" s="2180"/>
      <c r="H242" s="1748"/>
      <c r="I242" s="1780" t="s">
        <v>7249</v>
      </c>
      <c r="J242" s="3282" t="s">
        <v>65</v>
      </c>
      <c r="K242" s="1495" t="s">
        <v>1179</v>
      </c>
      <c r="L242" s="1600" t="s">
        <v>8338</v>
      </c>
      <c r="M242" s="2357">
        <v>541</v>
      </c>
      <c r="N242" s="2907" t="s">
        <v>8339</v>
      </c>
      <c r="O242" s="2667"/>
      <c r="P242" s="2666"/>
      <c r="Q242" s="3383" t="s">
        <v>7284</v>
      </c>
      <c r="R242" s="3353"/>
      <c r="S242" s="2677"/>
      <c r="T242" s="2677"/>
      <c r="U242" s="3354"/>
      <c r="V242" s="3355"/>
      <c r="W242" s="2677"/>
      <c r="X242" s="3356"/>
      <c r="Y242" s="3356"/>
      <c r="Z242" s="2677"/>
      <c r="AA242" s="3356"/>
      <c r="AB242" s="3357"/>
      <c r="AC242" s="3358"/>
    </row>
    <row r="243" spans="1:35" s="2676" customFormat="1" ht="58.6" customHeight="1">
      <c r="A243" s="3412"/>
      <c r="B243" s="3278" t="str">
        <f t="shared" si="7"/>
        <v>2000003476</v>
      </c>
      <c r="C243" s="1782" t="s">
        <v>4102</v>
      </c>
      <c r="D243" s="2767"/>
      <c r="E243" s="1780" t="s">
        <v>8237</v>
      </c>
      <c r="F243" s="1782" t="s">
        <v>14</v>
      </c>
      <c r="G243" s="2180"/>
      <c r="H243" s="1748"/>
      <c r="I243" s="1780" t="s">
        <v>7249</v>
      </c>
      <c r="J243" s="3282" t="s">
        <v>65</v>
      </c>
      <c r="K243" s="1495" t="s">
        <v>1179</v>
      </c>
      <c r="L243" s="1600" t="s">
        <v>8340</v>
      </c>
      <c r="M243" s="2357">
        <v>68</v>
      </c>
      <c r="N243" s="2584" t="s">
        <v>8341</v>
      </c>
      <c r="O243" s="2667"/>
      <c r="P243" s="2666"/>
      <c r="Q243" s="3383" t="s">
        <v>7284</v>
      </c>
      <c r="R243" s="3353"/>
      <c r="S243" s="2677"/>
      <c r="T243" s="2677"/>
      <c r="U243" s="3354"/>
      <c r="V243" s="3355"/>
      <c r="W243" s="2677"/>
      <c r="X243" s="3356"/>
      <c r="Y243" s="3356"/>
      <c r="Z243" s="2677"/>
      <c r="AA243" s="3356"/>
      <c r="AB243" s="3357"/>
      <c r="AC243" s="3358"/>
    </row>
    <row r="244" spans="1:35" s="2676" customFormat="1" ht="58.6" customHeight="1">
      <c r="A244" s="3412"/>
      <c r="B244" s="3278" t="str">
        <f t="shared" si="7"/>
        <v>2200002193</v>
      </c>
      <c r="C244" s="1782" t="s">
        <v>4102</v>
      </c>
      <c r="D244" s="2767"/>
      <c r="E244" s="1780" t="s">
        <v>8237</v>
      </c>
      <c r="F244" s="1782" t="s">
        <v>14</v>
      </c>
      <c r="G244" s="2180"/>
      <c r="H244" s="1748"/>
      <c r="I244" s="1495" t="s">
        <v>7249</v>
      </c>
      <c r="J244" s="3282" t="s">
        <v>65</v>
      </c>
      <c r="K244" s="1495" t="s">
        <v>1179</v>
      </c>
      <c r="L244" s="1600" t="s">
        <v>8342</v>
      </c>
      <c r="M244" s="3037">
        <v>2010</v>
      </c>
      <c r="N244" s="2196" t="s">
        <v>6593</v>
      </c>
      <c r="O244" s="2667"/>
      <c r="P244" s="2666"/>
      <c r="Q244" s="3383" t="s">
        <v>7284</v>
      </c>
      <c r="R244" s="3353"/>
      <c r="S244" s="2677"/>
      <c r="T244" s="2677"/>
      <c r="U244" s="3354"/>
      <c r="V244" s="3355"/>
      <c r="W244" s="2677"/>
      <c r="X244" s="3356"/>
      <c r="Y244" s="3356"/>
      <c r="Z244" s="2677"/>
      <c r="AA244" s="3356"/>
      <c r="AB244" s="3357"/>
      <c r="AC244" s="3358"/>
    </row>
    <row r="245" spans="1:35" s="2676" customFormat="1" ht="58.6" customHeight="1">
      <c r="A245" s="3412"/>
      <c r="B245" s="3278" t="str">
        <f t="shared" ref="B245:B279" si="8">TEXT(LEFT(L245,10),"0000000000")</f>
        <v>2200002288</v>
      </c>
      <c r="C245" s="2684" t="s">
        <v>7701</v>
      </c>
      <c r="D245" s="2607">
        <v>10650</v>
      </c>
      <c r="E245" s="2180" t="s">
        <v>8259</v>
      </c>
      <c r="F245" s="2663" t="s">
        <v>16</v>
      </c>
      <c r="G245" s="2180"/>
      <c r="H245" s="1909"/>
      <c r="I245" s="1921" t="s">
        <v>7249</v>
      </c>
      <c r="J245" s="3280" t="s">
        <v>65</v>
      </c>
      <c r="K245" s="1921" t="s">
        <v>1179</v>
      </c>
      <c r="L245" s="1600" t="s">
        <v>8343</v>
      </c>
      <c r="M245" s="2665">
        <v>5935</v>
      </c>
      <c r="N245" s="2196" t="s">
        <v>7407</v>
      </c>
      <c r="O245" s="2667"/>
      <c r="P245" s="2666"/>
      <c r="Q245" s="3383" t="s">
        <v>7284</v>
      </c>
      <c r="R245" s="3353"/>
      <c r="S245" s="2677"/>
      <c r="T245" s="2677"/>
      <c r="U245" s="3354"/>
      <c r="V245" s="3355"/>
      <c r="W245" s="2677"/>
      <c r="X245" s="3356"/>
      <c r="Y245" s="3356"/>
      <c r="Z245" s="2677"/>
      <c r="AA245" s="3356"/>
      <c r="AB245" s="3357"/>
      <c r="AC245" s="3358"/>
    </row>
    <row r="246" spans="1:35" s="2676" customFormat="1" ht="58.6" customHeight="1">
      <c r="A246" s="3412"/>
      <c r="B246" s="3278" t="str">
        <f t="shared" si="8"/>
        <v>2200002299</v>
      </c>
      <c r="C246" s="2856" t="s">
        <v>7701</v>
      </c>
      <c r="D246" s="2607"/>
      <c r="E246" s="1780" t="s">
        <v>8259</v>
      </c>
      <c r="F246" s="3304" t="s">
        <v>16</v>
      </c>
      <c r="G246" s="2180"/>
      <c r="H246" s="1909"/>
      <c r="I246" s="1921" t="s">
        <v>7387</v>
      </c>
      <c r="J246" s="3282" t="s">
        <v>65</v>
      </c>
      <c r="K246" s="1495" t="s">
        <v>1179</v>
      </c>
      <c r="L246" s="1862" t="s">
        <v>8344</v>
      </c>
      <c r="M246" s="3283">
        <v>2905</v>
      </c>
      <c r="N246" s="2196" t="s">
        <v>7538</v>
      </c>
      <c r="O246" s="2667"/>
      <c r="P246" s="2666"/>
      <c r="Q246" s="3383" t="s">
        <v>7284</v>
      </c>
      <c r="R246" s="3353"/>
      <c r="S246" s="2677"/>
      <c r="T246" s="2677"/>
      <c r="U246" s="3354"/>
      <c r="V246" s="3355"/>
      <c r="W246" s="2677"/>
      <c r="X246" s="3356"/>
      <c r="Y246" s="3356"/>
      <c r="Z246" s="2667"/>
      <c r="AA246" s="2180"/>
      <c r="AB246" s="3357"/>
      <c r="AC246" s="3358"/>
    </row>
    <row r="247" spans="1:35" s="2676" customFormat="1" ht="58.6" customHeight="1">
      <c r="A247" s="3412"/>
      <c r="B247" s="3278" t="str">
        <f t="shared" si="8"/>
        <v>2200002298</v>
      </c>
      <c r="C247" s="1782" t="s">
        <v>7701</v>
      </c>
      <c r="D247" s="2607"/>
      <c r="E247" s="1780"/>
      <c r="F247" s="3304" t="s">
        <v>16</v>
      </c>
      <c r="G247" s="2180"/>
      <c r="H247" s="1909"/>
      <c r="I247" s="1921" t="s">
        <v>7387</v>
      </c>
      <c r="J247" s="3282" t="s">
        <v>65</v>
      </c>
      <c r="K247" s="1495" t="s">
        <v>1179</v>
      </c>
      <c r="L247" s="1496" t="s">
        <v>8345</v>
      </c>
      <c r="M247" s="3283">
        <v>1790</v>
      </c>
      <c r="N247" s="2196" t="s">
        <v>7942</v>
      </c>
      <c r="O247" s="2667"/>
      <c r="P247" s="2666"/>
      <c r="Q247" s="3383" t="s">
        <v>7284</v>
      </c>
      <c r="R247" s="3353"/>
      <c r="S247" s="2677"/>
      <c r="T247" s="2677"/>
      <c r="U247" s="3354"/>
      <c r="V247" s="3355"/>
      <c r="W247" s="2677"/>
      <c r="X247" s="3356"/>
      <c r="Y247" s="3356"/>
      <c r="Z247" s="2667"/>
      <c r="AA247" s="2180"/>
      <c r="AB247" s="3357"/>
      <c r="AC247" s="3358"/>
    </row>
    <row r="248" spans="1:35" s="2643" customFormat="1" ht="58.6" customHeight="1">
      <c r="A248" s="3419"/>
      <c r="B248" s="3278" t="str">
        <f t="shared" si="8"/>
        <v>2200002299</v>
      </c>
      <c r="C248" s="2667" t="s">
        <v>7247</v>
      </c>
      <c r="D248" s="2664">
        <v>12350</v>
      </c>
      <c r="E248" s="2180" t="s">
        <v>8266</v>
      </c>
      <c r="F248" s="2663" t="s">
        <v>16</v>
      </c>
      <c r="G248" s="2261"/>
      <c r="H248" s="2261"/>
      <c r="I248" s="1921" t="s">
        <v>7249</v>
      </c>
      <c r="J248" s="1902" t="s">
        <v>65</v>
      </c>
      <c r="K248" s="1921" t="s">
        <v>1179</v>
      </c>
      <c r="L248" s="1862" t="s">
        <v>8344</v>
      </c>
      <c r="M248" s="3283">
        <v>1160</v>
      </c>
      <c r="N248" s="2196" t="s">
        <v>7538</v>
      </c>
      <c r="O248" s="3093"/>
      <c r="P248" s="3421"/>
      <c r="Q248" s="3383" t="s">
        <v>7284</v>
      </c>
      <c r="R248" s="3299"/>
      <c r="S248" s="3103"/>
      <c r="T248" s="3103"/>
      <c r="U248" s="3103"/>
      <c r="V248" s="3103"/>
      <c r="W248" s="3103"/>
      <c r="X248" s="3103"/>
      <c r="Y248" s="3103"/>
      <c r="Z248" s="3103"/>
      <c r="AA248" s="3103"/>
      <c r="AB248" s="3103"/>
      <c r="AC248" s="3103"/>
      <c r="AD248" s="3103"/>
      <c r="AE248" s="3103"/>
      <c r="AF248" s="3103"/>
      <c r="AG248" s="3103"/>
      <c r="AH248" s="3103"/>
      <c r="AI248" s="3103"/>
    </row>
    <row r="249" spans="1:35" s="1467" customFormat="1" ht="58.6" customHeight="1">
      <c r="A249" s="3442"/>
      <c r="B249" s="3281" t="str">
        <f t="shared" si="8"/>
        <v>2000003456</v>
      </c>
      <c r="C249" s="1782" t="s">
        <v>7247</v>
      </c>
      <c r="D249" s="1783"/>
      <c r="E249" s="1780" t="s">
        <v>8266</v>
      </c>
      <c r="F249" s="3304" t="s">
        <v>16</v>
      </c>
      <c r="G249" s="1748"/>
      <c r="H249" s="1748"/>
      <c r="I249" s="1495" t="s">
        <v>7249</v>
      </c>
      <c r="J249" s="1493" t="s">
        <v>65</v>
      </c>
      <c r="K249" s="1495" t="s">
        <v>1179</v>
      </c>
      <c r="L249" s="3198" t="s">
        <v>8346</v>
      </c>
      <c r="M249" s="2357">
        <v>10750</v>
      </c>
      <c r="N249" s="3188" t="s">
        <v>7407</v>
      </c>
      <c r="O249" s="1790"/>
      <c r="P249" s="3439"/>
      <c r="Q249" s="3284" t="s">
        <v>7284</v>
      </c>
      <c r="R249" s="3053"/>
      <c r="S249" s="3403"/>
      <c r="T249" s="3403"/>
      <c r="U249" s="3403"/>
      <c r="V249" s="3403"/>
      <c r="W249" s="3403"/>
      <c r="X249" s="3403"/>
      <c r="Y249" s="3403"/>
      <c r="Z249" s="3403"/>
      <c r="AA249" s="3403"/>
      <c r="AB249" s="3403"/>
      <c r="AC249" s="3403"/>
      <c r="AD249" s="3403"/>
      <c r="AE249" s="3403"/>
      <c r="AF249" s="3403"/>
      <c r="AG249" s="3403"/>
      <c r="AH249" s="3403"/>
      <c r="AI249" s="3403"/>
    </row>
    <row r="250" spans="1:35" s="2676" customFormat="1" ht="58.6" customHeight="1">
      <c r="A250" s="3412"/>
      <c r="B250" s="3278" t="str">
        <f t="shared" si="8"/>
        <v>2200002305</v>
      </c>
      <c r="C250" s="2856" t="s">
        <v>7247</v>
      </c>
      <c r="D250" s="2607"/>
      <c r="E250" s="1780" t="s">
        <v>8266</v>
      </c>
      <c r="F250" s="3304" t="s">
        <v>16</v>
      </c>
      <c r="G250" s="2180"/>
      <c r="H250" s="1909"/>
      <c r="I250" s="1921" t="s">
        <v>7387</v>
      </c>
      <c r="J250" s="3282" t="s">
        <v>65</v>
      </c>
      <c r="K250" s="1495" t="s">
        <v>1179</v>
      </c>
      <c r="L250" s="1496" t="s">
        <v>8347</v>
      </c>
      <c r="M250" s="3283">
        <v>250</v>
      </c>
      <c r="N250" s="2196" t="s">
        <v>7538</v>
      </c>
      <c r="O250" s="2667"/>
      <c r="P250" s="2666"/>
      <c r="Q250" s="3383" t="s">
        <v>7284</v>
      </c>
      <c r="R250" s="3353"/>
      <c r="S250" s="2677"/>
      <c r="T250" s="2677"/>
      <c r="U250" s="3354"/>
      <c r="V250" s="3355"/>
      <c r="W250" s="2677"/>
      <c r="X250" s="3356"/>
      <c r="Y250" s="3356"/>
      <c r="Z250" s="2677"/>
      <c r="AA250" s="3356"/>
      <c r="AB250" s="3357"/>
      <c r="AC250" s="3358"/>
    </row>
    <row r="251" spans="1:35" s="2676" customFormat="1" ht="58.6" customHeight="1">
      <c r="A251" s="3412"/>
      <c r="B251" s="3278" t="str">
        <f t="shared" si="8"/>
        <v>2200002306</v>
      </c>
      <c r="C251" s="2856" t="s">
        <v>7247</v>
      </c>
      <c r="D251" s="2607"/>
      <c r="E251" s="1780" t="s">
        <v>8266</v>
      </c>
      <c r="F251" s="3304" t="s">
        <v>16</v>
      </c>
      <c r="G251" s="2180"/>
      <c r="H251" s="1909"/>
      <c r="I251" s="1921" t="s">
        <v>7387</v>
      </c>
      <c r="J251" s="3282" t="s">
        <v>65</v>
      </c>
      <c r="K251" s="1495" t="s">
        <v>1179</v>
      </c>
      <c r="L251" s="1496" t="s">
        <v>8348</v>
      </c>
      <c r="M251" s="3283">
        <v>190</v>
      </c>
      <c r="N251" s="2196" t="s">
        <v>7942</v>
      </c>
      <c r="O251" s="2667"/>
      <c r="P251" s="2666"/>
      <c r="Q251" s="3383" t="s">
        <v>7284</v>
      </c>
      <c r="R251" s="3353"/>
      <c r="S251" s="2677"/>
      <c r="T251" s="2677"/>
      <c r="U251" s="3354"/>
      <c r="V251" s="3355"/>
      <c r="W251" s="2677"/>
      <c r="X251" s="3356"/>
      <c r="Y251" s="3356"/>
      <c r="Z251" s="2677"/>
      <c r="AA251" s="3356"/>
      <c r="AB251" s="3357"/>
      <c r="AC251" s="3358"/>
    </row>
    <row r="252" spans="1:35" s="2643" customFormat="1" ht="58.6" customHeight="1">
      <c r="A252" s="1542"/>
      <c r="B252" s="3278" t="str">
        <f t="shared" si="8"/>
        <v>2000003440</v>
      </c>
      <c r="C252" s="1902" t="s">
        <v>3747</v>
      </c>
      <c r="D252" s="2607">
        <v>5700</v>
      </c>
      <c r="E252" s="1921" t="s">
        <v>8349</v>
      </c>
      <c r="F252" s="1902" t="s">
        <v>14</v>
      </c>
      <c r="G252" s="1921" t="s">
        <v>8350</v>
      </c>
      <c r="H252" s="1921"/>
      <c r="I252" s="1921" t="s">
        <v>7249</v>
      </c>
      <c r="J252" s="3019" t="s">
        <v>65</v>
      </c>
      <c r="K252" s="1921" t="s">
        <v>294</v>
      </c>
      <c r="L252" s="2904" t="s">
        <v>8351</v>
      </c>
      <c r="M252" s="2583">
        <v>5700</v>
      </c>
      <c r="N252" s="2907" t="s">
        <v>5392</v>
      </c>
      <c r="O252" s="1902"/>
      <c r="P252" s="1775"/>
      <c r="Q252" s="3342" t="s">
        <v>7284</v>
      </c>
      <c r="R252" s="2150"/>
      <c r="S252" s="2150"/>
      <c r="T252" s="2150"/>
      <c r="U252" s="2150"/>
      <c r="V252" s="2150"/>
      <c r="W252" s="2150"/>
      <c r="X252" s="2150"/>
      <c r="Y252" s="2150"/>
      <c r="Z252" s="2150"/>
      <c r="AA252" s="2150"/>
    </row>
    <row r="253" spans="1:35" s="2643" customFormat="1" ht="58.6" customHeight="1">
      <c r="A253" s="3768"/>
      <c r="B253" s="3189" t="str">
        <f t="shared" si="8"/>
        <v>2000003465</v>
      </c>
      <c r="C253" s="1902" t="s">
        <v>7656</v>
      </c>
      <c r="D253" s="2607">
        <v>10500</v>
      </c>
      <c r="E253" s="1921" t="s">
        <v>8253</v>
      </c>
      <c r="F253" s="1902" t="s">
        <v>14</v>
      </c>
      <c r="G253" s="1921" t="s">
        <v>8352</v>
      </c>
      <c r="H253" s="1921"/>
      <c r="I253" s="3021" t="s">
        <v>7249</v>
      </c>
      <c r="J253" s="3019" t="s">
        <v>65</v>
      </c>
      <c r="K253" s="1921" t="s">
        <v>106</v>
      </c>
      <c r="L253" s="1845" t="s">
        <v>8353</v>
      </c>
      <c r="M253" s="2583">
        <v>2800</v>
      </c>
      <c r="N253" s="1921" t="s">
        <v>5392</v>
      </c>
      <c r="O253" s="1902"/>
      <c r="P253" s="1775"/>
      <c r="Q253" s="3342" t="s">
        <v>7284</v>
      </c>
      <c r="R253" s="2150"/>
      <c r="S253" s="2150"/>
      <c r="T253" s="2150"/>
      <c r="U253" s="2150"/>
      <c r="V253" s="2150"/>
      <c r="W253" s="2150"/>
      <c r="X253" s="2150"/>
      <c r="Y253" s="2150"/>
      <c r="Z253" s="2150"/>
      <c r="AA253" s="2150"/>
    </row>
    <row r="254" spans="1:35" s="1467" customFormat="1" ht="57.75" customHeight="1">
      <c r="A254" s="3770"/>
      <c r="B254" s="3189" t="str">
        <f t="shared" si="8"/>
        <v>2000003498</v>
      </c>
      <c r="C254" s="1493" t="s">
        <v>7656</v>
      </c>
      <c r="D254" s="1494"/>
      <c r="E254" s="1495" t="s">
        <v>8253</v>
      </c>
      <c r="F254" s="1493" t="s">
        <v>14</v>
      </c>
      <c r="G254" s="1495"/>
      <c r="H254" s="1495"/>
      <c r="I254" s="3007" t="s">
        <v>7249</v>
      </c>
      <c r="J254" s="3009" t="s">
        <v>65</v>
      </c>
      <c r="K254" s="1495" t="s">
        <v>106</v>
      </c>
      <c r="L254" s="1600" t="s">
        <v>8354</v>
      </c>
      <c r="M254" s="2357">
        <v>2300</v>
      </c>
      <c r="N254" s="2196" t="s">
        <v>8355</v>
      </c>
      <c r="O254" s="1493"/>
      <c r="P254" s="1859"/>
      <c r="Q254" s="3342" t="s">
        <v>7284</v>
      </c>
      <c r="R254" s="1548"/>
      <c r="S254" s="1548"/>
      <c r="T254" s="1548"/>
      <c r="U254" s="1548"/>
      <c r="V254" s="1548"/>
      <c r="W254" s="1548"/>
      <c r="X254" s="1548"/>
      <c r="Y254" s="1548"/>
      <c r="Z254" s="1548"/>
      <c r="AA254" s="1548"/>
    </row>
    <row r="255" spans="1:35" s="1548" customFormat="1" ht="58.6" customHeight="1">
      <c r="A255" s="3770"/>
      <c r="B255" s="3189" t="str">
        <f t="shared" si="8"/>
        <v>2000003430</v>
      </c>
      <c r="C255" s="1493" t="s">
        <v>7656</v>
      </c>
      <c r="D255" s="3209"/>
      <c r="E255" s="1495" t="s">
        <v>8253</v>
      </c>
      <c r="F255" s="1493" t="s">
        <v>14</v>
      </c>
      <c r="G255" s="3021"/>
      <c r="H255" s="3021"/>
      <c r="I255" s="3007" t="s">
        <v>7249</v>
      </c>
      <c r="J255" s="3009" t="s">
        <v>65</v>
      </c>
      <c r="K255" s="3007" t="s">
        <v>106</v>
      </c>
      <c r="L255" s="2878" t="s">
        <v>8356</v>
      </c>
      <c r="M255" s="3217">
        <v>3300</v>
      </c>
      <c r="N255" s="1495" t="s">
        <v>8357</v>
      </c>
      <c r="O255" s="3009"/>
      <c r="P255" s="3218"/>
      <c r="Q255" s="3342" t="s">
        <v>7284</v>
      </c>
    </row>
    <row r="256" spans="1:35" s="1467" customFormat="1" ht="58.6" customHeight="1">
      <c r="A256" s="3770"/>
      <c r="B256" s="3189" t="str">
        <f t="shared" si="8"/>
        <v>2000003432</v>
      </c>
      <c r="C256" s="1493" t="s">
        <v>7656</v>
      </c>
      <c r="D256" s="3209"/>
      <c r="E256" s="1495" t="s">
        <v>8253</v>
      </c>
      <c r="F256" s="1493" t="s">
        <v>14</v>
      </c>
      <c r="G256" s="1495"/>
      <c r="H256" s="1495"/>
      <c r="I256" s="1495" t="s">
        <v>7249</v>
      </c>
      <c r="J256" s="3009" t="s">
        <v>65</v>
      </c>
      <c r="K256" s="1495" t="s">
        <v>5400</v>
      </c>
      <c r="L256" s="3405" t="s">
        <v>8358</v>
      </c>
      <c r="M256" s="2357">
        <v>930</v>
      </c>
      <c r="N256" s="2907" t="s">
        <v>5392</v>
      </c>
      <c r="O256" s="1493"/>
      <c r="P256" s="1859" t="s">
        <v>8359</v>
      </c>
      <c r="Q256" s="3342" t="s">
        <v>7284</v>
      </c>
      <c r="R256" s="1548"/>
      <c r="S256" s="1548"/>
      <c r="T256" s="1548"/>
      <c r="U256" s="1548"/>
      <c r="V256" s="1548"/>
      <c r="W256" s="1548"/>
      <c r="X256" s="1548"/>
      <c r="Y256" s="1548"/>
      <c r="Z256" s="1548"/>
      <c r="AA256" s="1548"/>
    </row>
    <row r="257" spans="1:35" s="1467" customFormat="1" ht="58.6" customHeight="1">
      <c r="A257" s="3770"/>
      <c r="B257" s="3189" t="str">
        <f t="shared" si="8"/>
        <v>2000003433</v>
      </c>
      <c r="C257" s="1493" t="s">
        <v>7656</v>
      </c>
      <c r="D257" s="3209"/>
      <c r="E257" s="1495" t="s">
        <v>8253</v>
      </c>
      <c r="F257" s="1493" t="s">
        <v>14</v>
      </c>
      <c r="G257" s="1495"/>
      <c r="H257" s="1495"/>
      <c r="I257" s="1495" t="s">
        <v>7249</v>
      </c>
      <c r="J257" s="3009" t="s">
        <v>65</v>
      </c>
      <c r="K257" s="1495" t="s">
        <v>5400</v>
      </c>
      <c r="L257" s="3405" t="s">
        <v>8360</v>
      </c>
      <c r="M257" s="2357">
        <v>1094</v>
      </c>
      <c r="N257" s="2196" t="s">
        <v>8361</v>
      </c>
      <c r="O257" s="1493"/>
      <c r="P257" s="1859"/>
      <c r="Q257" s="3342" t="s">
        <v>7284</v>
      </c>
      <c r="R257" s="1548"/>
      <c r="S257" s="1548"/>
      <c r="T257" s="1548"/>
      <c r="U257" s="1548"/>
      <c r="V257" s="1548"/>
      <c r="W257" s="1548"/>
      <c r="X257" s="1548"/>
      <c r="Y257" s="1548"/>
      <c r="Z257" s="1548"/>
      <c r="AA257" s="1548"/>
    </row>
    <row r="258" spans="1:35" s="1467" customFormat="1" ht="58.6" customHeight="1">
      <c r="A258" s="3769"/>
      <c r="B258" s="3189" t="str">
        <f t="shared" si="8"/>
        <v>2000003426</v>
      </c>
      <c r="C258" s="1545" t="s">
        <v>7656</v>
      </c>
      <c r="D258" s="3406"/>
      <c r="E258" s="1495" t="s">
        <v>8253</v>
      </c>
      <c r="F258" s="1545" t="s">
        <v>14</v>
      </c>
      <c r="G258" s="3007"/>
      <c r="H258" s="3007"/>
      <c r="I258" s="1495" t="s">
        <v>7249</v>
      </c>
      <c r="J258" s="3009" t="s">
        <v>65</v>
      </c>
      <c r="K258" s="3007" t="s">
        <v>5400</v>
      </c>
      <c r="L258" s="2878" t="s">
        <v>8362</v>
      </c>
      <c r="M258" s="3217">
        <v>200</v>
      </c>
      <c r="N258" s="2907" t="s">
        <v>7407</v>
      </c>
      <c r="O258" s="3009"/>
      <c r="P258" s="3218"/>
      <c r="Q258" s="3342" t="s">
        <v>7284</v>
      </c>
    </row>
    <row r="259" spans="1:35" s="2643" customFormat="1" ht="58.6" customHeight="1">
      <c r="A259" s="3414"/>
      <c r="B259" s="3258" t="str">
        <f t="shared" si="8"/>
        <v>2000003454</v>
      </c>
      <c r="C259" s="1902" t="s">
        <v>3150</v>
      </c>
      <c r="D259" s="1494">
        <v>18500</v>
      </c>
      <c r="E259" s="1902" t="s">
        <v>8363</v>
      </c>
      <c r="F259" s="1902" t="s">
        <v>16</v>
      </c>
      <c r="G259" s="2279" t="s">
        <v>8364</v>
      </c>
      <c r="H259" s="1921"/>
      <c r="I259" s="1495" t="s">
        <v>7249</v>
      </c>
      <c r="J259" s="3019" t="s">
        <v>65</v>
      </c>
      <c r="K259" s="1921" t="s">
        <v>106</v>
      </c>
      <c r="L259" s="1845" t="s">
        <v>8365</v>
      </c>
      <c r="M259" s="2583">
        <v>1000</v>
      </c>
      <c r="N259" s="2196" t="s">
        <v>5392</v>
      </c>
      <c r="O259" s="1902"/>
      <c r="P259" s="1775"/>
      <c r="Q259" s="3342" t="s">
        <v>7284</v>
      </c>
      <c r="R259" s="2150"/>
      <c r="S259" s="2150"/>
      <c r="T259" s="2150"/>
      <c r="U259" s="2150"/>
      <c r="V259" s="2150"/>
      <c r="W259" s="2150"/>
      <c r="X259" s="2150"/>
      <c r="Y259" s="2150"/>
      <c r="Z259" s="2150"/>
      <c r="AA259" s="2150"/>
    </row>
    <row r="260" spans="1:35" s="1548" customFormat="1" ht="58.6" customHeight="1">
      <c r="A260" s="3415"/>
      <c r="B260" s="3290" t="str">
        <f t="shared" si="8"/>
        <v>2000003429</v>
      </c>
      <c r="C260" s="1493" t="s">
        <v>3150</v>
      </c>
      <c r="D260" s="3210"/>
      <c r="E260" s="3007"/>
      <c r="F260" s="1493" t="s">
        <v>16</v>
      </c>
      <c r="G260" s="3007"/>
      <c r="H260" s="3007"/>
      <c r="I260" s="3007" t="s">
        <v>7249</v>
      </c>
      <c r="J260" s="3009" t="s">
        <v>65</v>
      </c>
      <c r="K260" s="3007" t="s">
        <v>106</v>
      </c>
      <c r="L260" s="3090" t="s">
        <v>8366</v>
      </c>
      <c r="M260" s="3217">
        <v>3234</v>
      </c>
      <c r="N260" s="2907" t="s">
        <v>5392</v>
      </c>
      <c r="O260" s="3009"/>
      <c r="P260" s="3241" t="s">
        <v>8367</v>
      </c>
      <c r="Q260" s="3316" t="s">
        <v>7284</v>
      </c>
    </row>
    <row r="261" spans="1:35" s="1467" customFormat="1" ht="58.6" customHeight="1">
      <c r="A261" s="3415"/>
      <c r="B261" s="3290" t="str">
        <f t="shared" si="8"/>
        <v>2000003496</v>
      </c>
      <c r="C261" s="1493" t="s">
        <v>3150</v>
      </c>
      <c r="D261" s="1494"/>
      <c r="E261" s="1495"/>
      <c r="F261" s="1493" t="s">
        <v>16</v>
      </c>
      <c r="G261" s="1495"/>
      <c r="H261" s="1495"/>
      <c r="I261" s="3007" t="s">
        <v>7249</v>
      </c>
      <c r="J261" s="3009" t="s">
        <v>65</v>
      </c>
      <c r="K261" s="1495" t="s">
        <v>106</v>
      </c>
      <c r="L261" s="2878" t="s">
        <v>8368</v>
      </c>
      <c r="M261" s="2357">
        <v>3016</v>
      </c>
      <c r="N261" s="2907" t="s">
        <v>5392</v>
      </c>
      <c r="O261" s="1493"/>
      <c r="P261" s="1547" t="s">
        <v>8369</v>
      </c>
      <c r="Q261" s="3316" t="s">
        <v>7284</v>
      </c>
      <c r="R261" s="1548"/>
      <c r="S261" s="1548"/>
      <c r="T261" s="1548"/>
      <c r="U261" s="1548"/>
      <c r="V261" s="1548"/>
      <c r="W261" s="1548"/>
      <c r="X261" s="1548"/>
      <c r="Y261" s="1548"/>
      <c r="Z261" s="1548"/>
      <c r="AA261" s="1548"/>
    </row>
    <row r="262" spans="1:35" s="1467" customFormat="1" ht="58.6" customHeight="1">
      <c r="A262" s="3415"/>
      <c r="B262" s="3290" t="str">
        <f t="shared" si="8"/>
        <v>2000003497</v>
      </c>
      <c r="C262" s="1493" t="s">
        <v>3150</v>
      </c>
      <c r="D262" s="1494"/>
      <c r="E262" s="1495"/>
      <c r="F262" s="1493" t="s">
        <v>16</v>
      </c>
      <c r="G262" s="1495"/>
      <c r="H262" s="1495"/>
      <c r="I262" s="3007" t="s">
        <v>7249</v>
      </c>
      <c r="J262" s="3009" t="s">
        <v>65</v>
      </c>
      <c r="K262" s="1495" t="s">
        <v>106</v>
      </c>
      <c r="L262" s="2878" t="s">
        <v>8370</v>
      </c>
      <c r="M262" s="2357">
        <v>2787</v>
      </c>
      <c r="N262" s="2907" t="s">
        <v>5392</v>
      </c>
      <c r="O262" s="1493"/>
      <c r="P262" s="1547"/>
      <c r="Q262" s="3316" t="s">
        <v>7284</v>
      </c>
      <c r="R262" s="1548"/>
      <c r="S262" s="1548"/>
      <c r="T262" s="1548"/>
      <c r="U262" s="1548"/>
      <c r="V262" s="1548"/>
      <c r="W262" s="1548"/>
      <c r="X262" s="1548"/>
      <c r="Y262" s="1548"/>
      <c r="Z262" s="1548"/>
      <c r="AA262" s="1548"/>
    </row>
    <row r="263" spans="1:35" s="1467" customFormat="1" ht="58.6" customHeight="1">
      <c r="A263" s="3416"/>
      <c r="B263" s="3258" t="str">
        <f t="shared" si="8"/>
        <v>2000003423</v>
      </c>
      <c r="C263" s="1493" t="s">
        <v>3150</v>
      </c>
      <c r="D263" s="1808"/>
      <c r="E263" s="1495"/>
      <c r="F263" s="1493" t="s">
        <v>16</v>
      </c>
      <c r="G263" s="1495"/>
      <c r="H263" s="1495"/>
      <c r="I263" s="3007" t="s">
        <v>7249</v>
      </c>
      <c r="J263" s="3009" t="s">
        <v>65</v>
      </c>
      <c r="K263" s="1495" t="s">
        <v>164</v>
      </c>
      <c r="L263" s="1600" t="s">
        <v>8371</v>
      </c>
      <c r="M263" s="2357">
        <v>2075</v>
      </c>
      <c r="N263" s="3188" t="s">
        <v>8372</v>
      </c>
      <c r="O263" s="1493"/>
      <c r="P263" s="1859"/>
      <c r="Q263" s="3342" t="s">
        <v>7284</v>
      </c>
      <c r="R263" s="1548"/>
      <c r="S263" s="1548"/>
      <c r="T263" s="1548"/>
      <c r="U263" s="1548"/>
      <c r="V263" s="1548"/>
      <c r="W263" s="1548"/>
      <c r="X263" s="1548"/>
      <c r="Y263" s="1548"/>
      <c r="Z263" s="1548"/>
      <c r="AA263" s="1548"/>
    </row>
    <row r="264" spans="1:35" s="1467" customFormat="1" ht="58.6" customHeight="1">
      <c r="A264" s="3416"/>
      <c r="B264" s="3258" t="str">
        <f t="shared" si="8"/>
        <v>2000003265</v>
      </c>
      <c r="C264" s="1493" t="s">
        <v>3150</v>
      </c>
      <c r="D264" s="1808"/>
      <c r="E264" s="1495"/>
      <c r="F264" s="1493" t="s">
        <v>16</v>
      </c>
      <c r="G264" s="1495"/>
      <c r="H264" s="1495"/>
      <c r="I264" s="3007" t="s">
        <v>7249</v>
      </c>
      <c r="J264" s="3009" t="s">
        <v>65</v>
      </c>
      <c r="K264" s="1495" t="s">
        <v>164</v>
      </c>
      <c r="L264" s="1600" t="s">
        <v>8373</v>
      </c>
      <c r="M264" s="2357">
        <v>2185</v>
      </c>
      <c r="N264" s="2907" t="s">
        <v>8374</v>
      </c>
      <c r="O264" s="1493"/>
      <c r="P264" s="1859"/>
      <c r="Q264" s="3342" t="s">
        <v>7284</v>
      </c>
      <c r="R264" s="1548"/>
      <c r="S264" s="1548"/>
      <c r="T264" s="1548"/>
      <c r="U264" s="1548"/>
      <c r="V264" s="1548"/>
      <c r="W264" s="1548"/>
      <c r="X264" s="1548"/>
      <c r="Y264" s="1548"/>
      <c r="Z264" s="1548"/>
      <c r="AA264" s="1548"/>
    </row>
    <row r="265" spans="1:35" s="1467" customFormat="1" ht="58.6" customHeight="1">
      <c r="A265" s="3415"/>
      <c r="B265" s="3290" t="str">
        <f t="shared" si="8"/>
        <v>2000003477</v>
      </c>
      <c r="C265" s="1493" t="s">
        <v>3150</v>
      </c>
      <c r="D265" s="1902"/>
      <c r="E265" s="1902"/>
      <c r="F265" s="1493" t="s">
        <v>16</v>
      </c>
      <c r="G265" s="1921"/>
      <c r="H265" s="1495"/>
      <c r="I265" s="1495" t="s">
        <v>7249</v>
      </c>
      <c r="J265" s="3009" t="s">
        <v>65</v>
      </c>
      <c r="K265" s="1495" t="s">
        <v>164</v>
      </c>
      <c r="L265" s="1600" t="s">
        <v>8375</v>
      </c>
      <c r="M265" s="2357">
        <v>1200</v>
      </c>
      <c r="N265" s="3205" t="s">
        <v>7479</v>
      </c>
      <c r="O265" s="1493"/>
      <c r="P265" s="1859" t="s">
        <v>8359</v>
      </c>
      <c r="Q265" s="3342" t="s">
        <v>7284</v>
      </c>
      <c r="R265" s="1548"/>
      <c r="S265" s="1548"/>
      <c r="T265" s="1548"/>
      <c r="U265" s="1548"/>
      <c r="V265" s="1548"/>
      <c r="W265" s="1548"/>
      <c r="X265" s="1548"/>
      <c r="Y265" s="1548"/>
      <c r="Z265" s="1548"/>
      <c r="AA265" s="1548"/>
    </row>
    <row r="266" spans="1:35" s="2150" customFormat="1" ht="58.6" customHeight="1">
      <c r="A266" s="3415"/>
      <c r="B266" s="3290" t="str">
        <f t="shared" si="8"/>
        <v>2000003369</v>
      </c>
      <c r="C266" s="1493" t="s">
        <v>3150</v>
      </c>
      <c r="D266" s="2607"/>
      <c r="E266" s="1921"/>
      <c r="F266" s="1902" t="s">
        <v>16</v>
      </c>
      <c r="G266" s="1921"/>
      <c r="H266" s="1921"/>
      <c r="I266" s="3094" t="s">
        <v>7249</v>
      </c>
      <c r="J266" s="1902" t="s">
        <v>65</v>
      </c>
      <c r="K266" s="1921" t="s">
        <v>164</v>
      </c>
      <c r="L266" s="2904" t="s">
        <v>8376</v>
      </c>
      <c r="M266" s="3041">
        <v>2165</v>
      </c>
      <c r="N266" s="2907" t="s">
        <v>5392</v>
      </c>
      <c r="O266" s="1902"/>
      <c r="P266" s="1916"/>
      <c r="Q266" s="3316" t="s">
        <v>7284</v>
      </c>
      <c r="R266" s="3308"/>
      <c r="S266" s="2659"/>
      <c r="T266" s="2659"/>
      <c r="U266" s="3309"/>
      <c r="V266" s="1904"/>
      <c r="W266" s="2659"/>
      <c r="X266" s="2424"/>
      <c r="Y266" s="2424"/>
      <c r="Z266" s="1902"/>
      <c r="AA266" s="1921"/>
      <c r="AB266" s="3310"/>
      <c r="AC266" s="3311"/>
      <c r="AD266" s="2643"/>
      <c r="AE266" s="2643"/>
      <c r="AF266" s="2643"/>
      <c r="AG266" s="2643"/>
      <c r="AH266" s="2643"/>
      <c r="AI266" s="2643"/>
    </row>
    <row r="267" spans="1:35" s="2150" customFormat="1" ht="58.6" customHeight="1">
      <c r="A267" s="3417"/>
      <c r="B267" s="3290" t="str">
        <f t="shared" si="8"/>
        <v>2000003428</v>
      </c>
      <c r="C267" s="1493" t="s">
        <v>3150</v>
      </c>
      <c r="D267" s="3210"/>
      <c r="E267" s="3007"/>
      <c r="F267" s="1493" t="s">
        <v>16</v>
      </c>
      <c r="G267" s="3007"/>
      <c r="H267" s="3007"/>
      <c r="I267" s="3007" t="s">
        <v>7249</v>
      </c>
      <c r="J267" s="3009" t="s">
        <v>65</v>
      </c>
      <c r="K267" s="3007" t="s">
        <v>164</v>
      </c>
      <c r="L267" s="2878" t="s">
        <v>8377</v>
      </c>
      <c r="M267" s="3217">
        <v>647</v>
      </c>
      <c r="N267" s="2907" t="s">
        <v>5392</v>
      </c>
      <c r="O267" s="3019"/>
      <c r="P267" s="1547"/>
      <c r="Q267" s="3316" t="s">
        <v>7284</v>
      </c>
    </row>
    <row r="268" spans="1:35" s="2643" customFormat="1" ht="77.95" customHeight="1">
      <c r="A268" s="2582"/>
      <c r="B268" s="3189" t="str">
        <f t="shared" si="8"/>
        <v>2000003432</v>
      </c>
      <c r="C268" s="2263" t="s">
        <v>234</v>
      </c>
      <c r="D268" s="2456">
        <v>11700</v>
      </c>
      <c r="E268" s="2187" t="s">
        <v>8378</v>
      </c>
      <c r="F268" s="2263" t="s">
        <v>16</v>
      </c>
      <c r="G268" s="2187"/>
      <c r="H268" s="2187"/>
      <c r="I268" s="1921" t="s">
        <v>7249</v>
      </c>
      <c r="J268" s="3019" t="s">
        <v>65</v>
      </c>
      <c r="K268" s="1921" t="s">
        <v>5400</v>
      </c>
      <c r="L268" s="3433" t="s">
        <v>8379</v>
      </c>
      <c r="M268" s="2583">
        <v>3000</v>
      </c>
      <c r="N268" s="2907" t="s">
        <v>8380</v>
      </c>
      <c r="O268" s="1902"/>
      <c r="P268" s="1775"/>
      <c r="Q268" s="3342" t="s">
        <v>7284</v>
      </c>
      <c r="R268" s="2150"/>
      <c r="S268" s="2150"/>
      <c r="T268" s="2150"/>
      <c r="U268" s="2150"/>
      <c r="V268" s="2150"/>
      <c r="W268" s="2150"/>
      <c r="X268" s="2150"/>
      <c r="Y268" s="2150"/>
      <c r="Z268" s="2150"/>
      <c r="AA268" s="2150"/>
    </row>
    <row r="269" spans="1:35" s="1467" customFormat="1" ht="58.6" customHeight="1">
      <c r="A269" s="2723"/>
      <c r="B269" s="3258" t="str">
        <f t="shared" si="8"/>
        <v>2000003433</v>
      </c>
      <c r="C269" s="1493" t="s">
        <v>234</v>
      </c>
      <c r="D269" s="1494"/>
      <c r="E269" s="1495"/>
      <c r="F269" s="1493" t="s">
        <v>16</v>
      </c>
      <c r="G269" s="1495"/>
      <c r="H269" s="1495"/>
      <c r="I269" s="1568" t="s">
        <v>7249</v>
      </c>
      <c r="J269" s="3009" t="s">
        <v>65</v>
      </c>
      <c r="K269" s="1495" t="s">
        <v>5400</v>
      </c>
      <c r="L269" s="3405" t="s">
        <v>8381</v>
      </c>
      <c r="M269" s="2357">
        <v>1200</v>
      </c>
      <c r="N269" s="2907" t="s">
        <v>5392</v>
      </c>
      <c r="O269" s="1493"/>
      <c r="P269" s="1859"/>
      <c r="Q269" s="3306" t="s">
        <v>7284</v>
      </c>
      <c r="R269" s="1548"/>
      <c r="S269" s="1548"/>
      <c r="T269" s="1548"/>
      <c r="U269" s="1548"/>
      <c r="V269" s="1548"/>
      <c r="W269" s="1548"/>
      <c r="X269" s="1548"/>
      <c r="Y269" s="1548"/>
      <c r="Z269" s="1548"/>
      <c r="AA269" s="1548"/>
    </row>
    <row r="270" spans="1:35" s="1467" customFormat="1" ht="58.6" customHeight="1">
      <c r="A270" s="2723"/>
      <c r="B270" s="3069" t="str">
        <f t="shared" si="8"/>
        <v>2000003491</v>
      </c>
      <c r="C270" s="1493" t="s">
        <v>234</v>
      </c>
      <c r="D270" s="1494"/>
      <c r="E270" s="1495"/>
      <c r="F270" s="1493" t="s">
        <v>16</v>
      </c>
      <c r="G270" s="1495"/>
      <c r="H270" s="1495"/>
      <c r="I270" s="1568" t="s">
        <v>7249</v>
      </c>
      <c r="J270" s="3009" t="s">
        <v>65</v>
      </c>
      <c r="K270" s="1495" t="s">
        <v>5400</v>
      </c>
      <c r="L270" s="1496" t="s">
        <v>8382</v>
      </c>
      <c r="M270" s="2357">
        <v>1950</v>
      </c>
      <c r="N270" s="2907" t="s">
        <v>5392</v>
      </c>
      <c r="O270" s="1493"/>
      <c r="P270" s="1859"/>
      <c r="Q270" s="3319" t="s">
        <v>7284</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6" customHeight="1">
      <c r="A271" s="1542"/>
      <c r="B271" s="3021" t="str">
        <f t="shared" si="8"/>
        <v>2000003494</v>
      </c>
      <c r="C271" s="1493" t="s">
        <v>234</v>
      </c>
      <c r="D271" s="1494"/>
      <c r="E271" s="1495"/>
      <c r="F271" s="1493" t="s">
        <v>16</v>
      </c>
      <c r="G271" s="1495"/>
      <c r="H271" s="1495"/>
      <c r="I271" s="1495" t="s">
        <v>7249</v>
      </c>
      <c r="J271" s="3009" t="s">
        <v>65</v>
      </c>
      <c r="K271" s="1495" t="s">
        <v>164</v>
      </c>
      <c r="L271" s="1862" t="s">
        <v>8383</v>
      </c>
      <c r="M271" s="2357">
        <v>800</v>
      </c>
      <c r="N271" s="2907" t="s">
        <v>5392</v>
      </c>
      <c r="O271" s="1493"/>
      <c r="P271" s="1859"/>
      <c r="Q271" s="3319" t="s">
        <v>7284</v>
      </c>
    </row>
    <row r="272" spans="1:35" s="1467" customFormat="1" ht="58.6" customHeight="1">
      <c r="A272" s="2414"/>
      <c r="B272" s="3069" t="str">
        <f t="shared" si="8"/>
        <v>2000003478</v>
      </c>
      <c r="C272" s="1493" t="s">
        <v>234</v>
      </c>
      <c r="D272" s="2456"/>
      <c r="E272" s="2187"/>
      <c r="F272" s="1493" t="s">
        <v>16</v>
      </c>
      <c r="G272" s="1495"/>
      <c r="H272" s="1495"/>
      <c r="I272" s="1568" t="s">
        <v>7249</v>
      </c>
      <c r="J272" s="3009" t="s">
        <v>65</v>
      </c>
      <c r="K272" s="1495" t="s">
        <v>164</v>
      </c>
      <c r="L272" s="1600" t="s">
        <v>8384</v>
      </c>
      <c r="M272" s="2357">
        <v>4750</v>
      </c>
      <c r="N272" s="2907" t="s">
        <v>5392</v>
      </c>
      <c r="O272" s="1493"/>
      <c r="P272" s="1859"/>
      <c r="Q272" s="3319" t="s">
        <v>7284</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6" customHeight="1">
      <c r="A273" s="1553"/>
      <c r="B273" s="3069" t="str">
        <f t="shared" si="8"/>
        <v>2000003499</v>
      </c>
      <c r="C273" s="1902" t="s">
        <v>7399</v>
      </c>
      <c r="D273" s="2607">
        <v>12270</v>
      </c>
      <c r="E273" s="1921" t="s">
        <v>8259</v>
      </c>
      <c r="F273" s="1902" t="s">
        <v>16</v>
      </c>
      <c r="G273" s="1495"/>
      <c r="H273" s="1495"/>
      <c r="I273" s="1568" t="s">
        <v>7249</v>
      </c>
      <c r="J273" s="3009" t="s">
        <v>65</v>
      </c>
      <c r="K273" s="1495" t="s">
        <v>106</v>
      </c>
      <c r="L273" s="2878" t="s">
        <v>8385</v>
      </c>
      <c r="M273" s="2357">
        <v>6195</v>
      </c>
      <c r="N273" s="2907" t="s">
        <v>7479</v>
      </c>
      <c r="O273" s="1493"/>
      <c r="P273" s="1859"/>
      <c r="Q273" s="3319" t="s">
        <v>7284</v>
      </c>
    </row>
    <row r="274" spans="1:35" s="1467" customFormat="1" ht="58.6" customHeight="1">
      <c r="A274" s="1553"/>
      <c r="B274" s="3068" t="str">
        <f t="shared" si="8"/>
        <v>2000003465</v>
      </c>
      <c r="C274" s="1493" t="s">
        <v>7399</v>
      </c>
      <c r="D274" s="1494"/>
      <c r="E274" s="1495"/>
      <c r="F274" s="1493" t="s">
        <v>16</v>
      </c>
      <c r="G274" s="1495"/>
      <c r="H274" s="1495"/>
      <c r="I274" s="3435" t="s">
        <v>7249</v>
      </c>
      <c r="J274" s="3009" t="s">
        <v>65</v>
      </c>
      <c r="K274" s="1495" t="s">
        <v>106</v>
      </c>
      <c r="L274" s="2878" t="s">
        <v>8386</v>
      </c>
      <c r="M274" s="2357">
        <v>160</v>
      </c>
      <c r="N274" s="2907" t="s">
        <v>7479</v>
      </c>
      <c r="O274" s="1493"/>
      <c r="P274" s="1859"/>
      <c r="Q274" s="3319" t="s">
        <v>7284</v>
      </c>
      <c r="R274" s="1548"/>
      <c r="S274" s="1548"/>
      <c r="T274" s="1548"/>
      <c r="U274" s="1548"/>
      <c r="V274" s="1548"/>
      <c r="W274" s="1548"/>
      <c r="X274" s="1548"/>
      <c r="Y274" s="1548"/>
      <c r="Z274" s="1548"/>
      <c r="AA274" s="1548"/>
    </row>
    <row r="275" spans="1:35" s="1467" customFormat="1" ht="58.6" customHeight="1">
      <c r="A275" s="3436"/>
      <c r="B275" s="3437" t="str">
        <f t="shared" si="8"/>
        <v>2000003472</v>
      </c>
      <c r="C275" s="1493" t="s">
        <v>7399</v>
      </c>
      <c r="D275" s="1808"/>
      <c r="E275" s="1493"/>
      <c r="F275" s="1493" t="s">
        <v>16</v>
      </c>
      <c r="G275" s="3290"/>
      <c r="H275" s="3007"/>
      <c r="I275" s="3295" t="s">
        <v>7249</v>
      </c>
      <c r="J275" s="3009" t="s">
        <v>65</v>
      </c>
      <c r="K275" s="3007" t="s">
        <v>106</v>
      </c>
      <c r="L275" s="3118" t="s">
        <v>8387</v>
      </c>
      <c r="M275" s="3217">
        <v>1915</v>
      </c>
      <c r="N275" s="2907" t="s">
        <v>8388</v>
      </c>
      <c r="O275" s="3009"/>
      <c r="P275" s="3218"/>
      <c r="Q275" s="3319" t="s">
        <v>7284</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6" customHeight="1">
      <c r="A276" s="1850"/>
      <c r="B276" s="3437" t="str">
        <f t="shared" si="8"/>
        <v>2000003470</v>
      </c>
      <c r="C276" s="1493" t="s">
        <v>7399</v>
      </c>
      <c r="D276" s="2005"/>
      <c r="E276" s="1851"/>
      <c r="F276" s="1493" t="s">
        <v>16</v>
      </c>
      <c r="G276" s="1495"/>
      <c r="H276" s="1495"/>
      <c r="I276" s="3295" t="s">
        <v>7249</v>
      </c>
      <c r="J276" s="1495" t="s">
        <v>65</v>
      </c>
      <c r="K276" s="1495" t="s">
        <v>106</v>
      </c>
      <c r="L276" s="2878" t="s">
        <v>8389</v>
      </c>
      <c r="M276" s="3343">
        <v>4000</v>
      </c>
      <c r="N276" s="2907" t="s">
        <v>8390</v>
      </c>
      <c r="O276" s="3009"/>
      <c r="P276" s="3218"/>
      <c r="Q276" s="3306" t="s">
        <v>7284</v>
      </c>
      <c r="R276" s="1548"/>
      <c r="S276" s="1548"/>
      <c r="T276" s="1548"/>
      <c r="U276" s="1548"/>
      <c r="V276" s="1548"/>
      <c r="W276" s="1548"/>
      <c r="X276" s="1548"/>
      <c r="Y276" s="1548"/>
      <c r="Z276" s="1548"/>
      <c r="AA276" s="1548"/>
    </row>
    <row r="277" spans="1:35" s="2150" customFormat="1" ht="58.6" customHeight="1">
      <c r="A277" s="3216"/>
      <c r="B277" s="3021" t="str">
        <f t="shared" si="8"/>
        <v>2000003412</v>
      </c>
      <c r="C277" s="1902" t="s">
        <v>3738</v>
      </c>
      <c r="D277" s="2607">
        <v>4370</v>
      </c>
      <c r="E277" s="1921" t="s">
        <v>8391</v>
      </c>
      <c r="F277" s="1902" t="s">
        <v>20</v>
      </c>
      <c r="G277" s="1921"/>
      <c r="H277" s="1921"/>
      <c r="I277" s="1921" t="s">
        <v>7249</v>
      </c>
      <c r="J277" s="3019" t="s">
        <v>65</v>
      </c>
      <c r="K277" s="1921" t="s">
        <v>117</v>
      </c>
      <c r="L277" s="1845" t="s">
        <v>8392</v>
      </c>
      <c r="M277" s="2583">
        <v>4370</v>
      </c>
      <c r="N277" s="2907" t="s">
        <v>7407</v>
      </c>
      <c r="O277" s="1902"/>
      <c r="P277" s="1775"/>
      <c r="Q277" s="3413" t="s">
        <v>7284</v>
      </c>
    </row>
    <row r="278" spans="1:35" s="1958" customFormat="1" ht="58.6" customHeight="1">
      <c r="A278" s="1954"/>
      <c r="B278" s="3389" t="str">
        <f t="shared" si="8"/>
        <v>2400001312</v>
      </c>
      <c r="C278" s="2925" t="s">
        <v>8393</v>
      </c>
      <c r="D278" s="3410">
        <f>SUM(M278:M279)</f>
        <v>25100</v>
      </c>
      <c r="E278" s="3092" t="s">
        <v>8394</v>
      </c>
      <c r="F278" s="3348" t="s">
        <v>39</v>
      </c>
      <c r="G278" s="3390" t="s">
        <v>8395</v>
      </c>
      <c r="H278" s="3390" t="s">
        <v>805</v>
      </c>
      <c r="I278" s="3390"/>
      <c r="J278" s="3092" t="s">
        <v>3462</v>
      </c>
      <c r="K278" s="3092" t="s">
        <v>8396</v>
      </c>
      <c r="L278" s="3393" t="s">
        <v>8397</v>
      </c>
      <c r="M278" s="3391">
        <v>25000</v>
      </c>
      <c r="N278" s="3394" t="s">
        <v>7479</v>
      </c>
      <c r="O278" s="2925"/>
      <c r="P278" s="3411"/>
      <c r="Q278" s="3347" t="s">
        <v>7284</v>
      </c>
    </row>
    <row r="279" spans="1:35" s="1958" customFormat="1" ht="58.6" customHeight="1">
      <c r="A279" s="3395"/>
      <c r="B279" s="3389" t="str">
        <f t="shared" si="8"/>
        <v>2400001313</v>
      </c>
      <c r="C279" s="3348" t="s">
        <v>8393</v>
      </c>
      <c r="D279" s="3392"/>
      <c r="E279" s="3092"/>
      <c r="F279" s="3348" t="s">
        <v>39</v>
      </c>
      <c r="G279" s="3390"/>
      <c r="H279" s="3390"/>
      <c r="I279" s="3390"/>
      <c r="J279" s="3092" t="s">
        <v>3462</v>
      </c>
      <c r="K279" s="3092" t="s">
        <v>8396</v>
      </c>
      <c r="L279" s="3393" t="s">
        <v>8398</v>
      </c>
      <c r="M279" s="3391">
        <v>100</v>
      </c>
      <c r="N279" s="3394" t="s">
        <v>7479</v>
      </c>
      <c r="O279" s="2925"/>
      <c r="P279" s="3411"/>
      <c r="Q279" s="3347" t="s">
        <v>7284</v>
      </c>
    </row>
    <row r="280" spans="1:35" ht="58.6" customHeight="1">
      <c r="B280" s="3220"/>
      <c r="D280" s="3"/>
      <c r="E280" s="3"/>
      <c r="F280" s="3"/>
      <c r="G280" s="109"/>
      <c r="H280" s="109"/>
      <c r="I280" s="109"/>
      <c r="J280" s="102"/>
      <c r="K280" s="109"/>
      <c r="L280" s="696"/>
      <c r="M280" s="2644"/>
      <c r="N280" s="102"/>
      <c r="O280" s="102"/>
      <c r="P280" s="2389"/>
      <c r="Q280" s="3144"/>
      <c r="R280" s="1777"/>
      <c r="S280" s="1777"/>
      <c r="T280" s="1777"/>
      <c r="U280" s="1777"/>
      <c r="V280" s="1777"/>
      <c r="W280" s="1777"/>
      <c r="X280" s="1777"/>
      <c r="Y280" s="1777"/>
      <c r="Z280" s="1777"/>
      <c r="AA280" s="1777"/>
    </row>
    <row r="281" spans="1:35" ht="58.6" customHeight="1">
      <c r="C281" s="1895"/>
      <c r="D281" s="3168"/>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topRight"/>
      <selection pane="bottomLeft" activeCell="A4" sqref="A4"/>
      <selection pane="bottomRight"/>
    </sheetView>
  </sheetViews>
  <sheetFormatPr defaultColWidth="32.125" defaultRowHeight="58.6" customHeight="1"/>
  <cols>
    <col min="1" max="1" width="10" style="359" customWidth="1"/>
    <col min="2" max="2" width="27.125" style="763" customWidth="1"/>
    <col min="3" max="3" width="32.125" style="1" customWidth="1"/>
    <col min="4" max="4" width="17.25" style="1138" customWidth="1"/>
    <col min="5" max="5" width="18.875" style="3113" customWidth="1"/>
    <col min="6" max="6" width="20.75" style="1" customWidth="1"/>
    <col min="7" max="7" width="24.75" style="271" customWidth="1"/>
    <col min="8" max="8" width="22.375" style="271" customWidth="1"/>
    <col min="9" max="9" width="18.375" style="271" customWidth="1"/>
    <col min="10" max="10" width="17.75" style="271" customWidth="1"/>
    <col min="11" max="11" width="27.125" style="271" customWidth="1"/>
    <col min="12" max="12" width="85.375" style="477" customWidth="1"/>
    <col min="13" max="13" width="19.875" style="803" customWidth="1"/>
    <col min="14" max="14" width="68.125" style="1" customWidth="1"/>
    <col min="15" max="16" width="23.125" style="3" customWidth="1"/>
    <col min="17" max="17" width="54" style="2225" bestFit="1" customWidth="1"/>
    <col min="18" max="18" width="32.125" style="3117"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865" t="s">
        <v>8399</v>
      </c>
      <c r="B1" s="3866"/>
      <c r="C1" s="3866"/>
      <c r="D1" s="3866"/>
      <c r="E1" s="3866"/>
      <c r="F1" s="3866"/>
      <c r="G1" s="3866"/>
      <c r="H1" s="3866"/>
      <c r="I1" s="3866"/>
      <c r="J1" s="3866"/>
      <c r="K1" s="3866"/>
      <c r="L1" s="3866"/>
      <c r="M1" s="3866"/>
      <c r="N1" s="3866"/>
      <c r="O1" s="3866"/>
      <c r="P1" s="3866"/>
      <c r="Q1" s="3866"/>
      <c r="R1" s="3866"/>
    </row>
    <row r="2" spans="1:29" s="2709" customFormat="1" ht="48.75" customHeight="1">
      <c r="A2" s="3868"/>
      <c r="B2" s="3868"/>
      <c r="C2" s="3868"/>
      <c r="D2" s="2908"/>
      <c r="E2" s="2887"/>
      <c r="F2" s="2885"/>
      <c r="G2" s="2886" t="s">
        <v>5209</v>
      </c>
      <c r="H2" s="2886"/>
      <c r="I2" s="2887"/>
      <c r="J2" s="2887"/>
      <c r="K2" s="2888"/>
      <c r="L2" s="2889">
        <f ca="1">TODAY()</f>
        <v>45988</v>
      </c>
      <c r="M2" s="3044">
        <f>SUBTOTAL(9,M4:M2597)</f>
        <v>535064</v>
      </c>
      <c r="N2" s="2890" t="s">
        <v>7235</v>
      </c>
      <c r="O2" s="2999"/>
      <c r="P2" s="2999"/>
      <c r="Q2" s="2926"/>
      <c r="R2" s="2891" t="s">
        <v>0</v>
      </c>
      <c r="S2" s="3"/>
      <c r="T2" s="3862" t="s">
        <v>7236</v>
      </c>
      <c r="U2" s="3862"/>
      <c r="V2" s="3862"/>
      <c r="W2" s="3862"/>
      <c r="X2" s="3"/>
      <c r="Y2" s="3"/>
      <c r="Z2" s="3"/>
      <c r="AA2" s="3"/>
      <c r="AB2" s="3"/>
      <c r="AC2" s="3"/>
    </row>
    <row r="3" spans="1:29" s="2709" customFormat="1" ht="103.6" customHeight="1">
      <c r="A3" s="2892" t="s">
        <v>48</v>
      </c>
      <c r="B3" s="2893" t="s">
        <v>5213</v>
      </c>
      <c r="C3" s="2894" t="s">
        <v>5214</v>
      </c>
      <c r="D3" s="2895" t="s">
        <v>5215</v>
      </c>
      <c r="E3" s="2894" t="s">
        <v>3430</v>
      </c>
      <c r="F3" s="2896" t="s">
        <v>52</v>
      </c>
      <c r="G3" s="2894" t="s">
        <v>3431</v>
      </c>
      <c r="H3" s="2894" t="s">
        <v>7238</v>
      </c>
      <c r="I3" s="3070" t="s">
        <v>7239</v>
      </c>
      <c r="J3" s="2894" t="s">
        <v>7240</v>
      </c>
      <c r="K3" s="2894" t="s">
        <v>56</v>
      </c>
      <c r="L3" s="3200" t="s">
        <v>7241</v>
      </c>
      <c r="M3" s="3071" t="s">
        <v>5218</v>
      </c>
      <c r="N3" s="2897" t="s">
        <v>7953</v>
      </c>
      <c r="O3" s="3018"/>
      <c r="P3" s="3018"/>
      <c r="Q3" s="2893" t="s">
        <v>58</v>
      </c>
      <c r="R3" s="3114" t="s">
        <v>5221</v>
      </c>
      <c r="S3" s="2709" t="s">
        <v>7243</v>
      </c>
      <c r="T3" s="2705" t="s">
        <v>5223</v>
      </c>
      <c r="U3" s="2705" t="s">
        <v>7244</v>
      </c>
      <c r="V3" s="2705" t="s">
        <v>7245</v>
      </c>
      <c r="W3" s="2705" t="s">
        <v>7246</v>
      </c>
    </row>
    <row r="4" spans="1:29" s="2969" customFormat="1" ht="58.6" customHeight="1">
      <c r="A4" s="3882">
        <v>1</v>
      </c>
      <c r="B4" s="2959" t="str">
        <f t="shared" ref="B4:B67" si="0">TEXT(LEFT(L4,10),"0000000000")</f>
        <v>2400001269</v>
      </c>
      <c r="C4" s="2992" t="s">
        <v>8400</v>
      </c>
      <c r="D4" s="2993">
        <v>35200</v>
      </c>
      <c r="E4" s="2960" t="s">
        <v>8401</v>
      </c>
      <c r="F4" s="2992" t="s">
        <v>8402</v>
      </c>
      <c r="G4" s="2960" t="s">
        <v>8403</v>
      </c>
      <c r="H4" s="2960"/>
      <c r="I4" s="2994"/>
      <c r="J4" s="2963" t="s">
        <v>65</v>
      </c>
      <c r="K4" s="2960" t="s">
        <v>8404</v>
      </c>
      <c r="L4" s="2964" t="s">
        <v>8405</v>
      </c>
      <c r="M4" s="3029">
        <v>8000</v>
      </c>
      <c r="N4" s="2966" t="s">
        <v>8406</v>
      </c>
      <c r="O4" s="2960"/>
      <c r="P4" s="2960"/>
      <c r="Q4" s="2974" t="s">
        <v>8407</v>
      </c>
      <c r="R4" s="3011">
        <v>1</v>
      </c>
      <c r="S4" s="1856" t="s">
        <v>8408</v>
      </c>
      <c r="T4" s="3052">
        <v>2400001269</v>
      </c>
      <c r="U4" s="2969" t="e">
        <f>VLOOKUP(T4,'PKH UPDATE'!A:D,2,0)</f>
        <v>#N/A</v>
      </c>
      <c r="V4" s="2969" t="e">
        <f>VLOOKUP(T4,'PKH UPDATE'!A:D,3,0)</f>
        <v>#N/A</v>
      </c>
      <c r="W4" s="2969" t="e">
        <f>VLOOKUP(T4,'PKH UPDATE'!A:D,4,0)</f>
        <v>#N/A</v>
      </c>
    </row>
    <row r="5" spans="1:29" s="2969" customFormat="1" ht="58.6" customHeight="1">
      <c r="A5" s="3883"/>
      <c r="B5" s="2959" t="str">
        <f t="shared" si="0"/>
        <v>2400001270</v>
      </c>
      <c r="C5" s="2984" t="s">
        <v>8400</v>
      </c>
      <c r="D5" s="2995"/>
      <c r="E5" s="2960"/>
      <c r="F5" s="2984" t="s">
        <v>8402</v>
      </c>
      <c r="G5" s="2972"/>
      <c r="H5" s="2972"/>
      <c r="I5" s="2972"/>
      <c r="J5" s="2971" t="s">
        <v>65</v>
      </c>
      <c r="K5" s="2972" t="s">
        <v>8404</v>
      </c>
      <c r="L5" s="2973" t="s">
        <v>8409</v>
      </c>
      <c r="M5" s="3030"/>
      <c r="N5" s="3011" t="s">
        <v>8410</v>
      </c>
      <c r="O5" s="2972"/>
      <c r="P5" s="2972"/>
      <c r="Q5" s="2996"/>
      <c r="R5" s="3011">
        <v>1</v>
      </c>
      <c r="S5" s="1856"/>
      <c r="T5" s="3052"/>
      <c r="U5" s="1486"/>
      <c r="V5" s="1486"/>
      <c r="W5" s="1486"/>
      <c r="X5" s="1486"/>
      <c r="Y5" s="1486"/>
      <c r="Z5" s="1486"/>
      <c r="AA5" s="1486"/>
      <c r="AB5" s="1486"/>
      <c r="AC5" s="1486"/>
    </row>
    <row r="6" spans="1:29" s="2969" customFormat="1" ht="58.6" customHeight="1">
      <c r="A6" s="3883"/>
      <c r="B6" s="2959" t="str">
        <f t="shared" si="0"/>
        <v>2400001271</v>
      </c>
      <c r="C6" s="2997" t="s">
        <v>8400</v>
      </c>
      <c r="D6" s="2998"/>
      <c r="E6" s="2963"/>
      <c r="F6" s="2984" t="s">
        <v>8402</v>
      </c>
      <c r="G6" s="2971"/>
      <c r="H6" s="2971"/>
      <c r="I6" s="2971"/>
      <c r="J6" s="2971" t="s">
        <v>65</v>
      </c>
      <c r="K6" s="2971" t="s">
        <v>8404</v>
      </c>
      <c r="L6" s="2977" t="s">
        <v>8411</v>
      </c>
      <c r="M6" s="3031"/>
      <c r="N6" s="3012" t="s">
        <v>5392</v>
      </c>
      <c r="O6" s="2972"/>
      <c r="P6" s="2972"/>
      <c r="Q6" s="2996" t="s">
        <v>8407</v>
      </c>
      <c r="R6" s="3011">
        <v>1</v>
      </c>
      <c r="S6" s="1856"/>
      <c r="T6" s="3052"/>
      <c r="U6" s="1486"/>
      <c r="V6" s="1486"/>
      <c r="W6" s="1486"/>
      <c r="X6" s="1486"/>
      <c r="Y6" s="1486"/>
      <c r="Z6" s="1486"/>
      <c r="AA6" s="1486"/>
      <c r="AB6" s="1486"/>
      <c r="AC6" s="1486"/>
    </row>
    <row r="7" spans="1:29" s="2969" customFormat="1" ht="58.6" customHeight="1">
      <c r="A7" s="2978">
        <v>2</v>
      </c>
      <c r="B7" s="2979" t="str">
        <f t="shared" si="0"/>
        <v>2000003250</v>
      </c>
      <c r="C7" s="2962" t="s">
        <v>4824</v>
      </c>
      <c r="D7" s="2961">
        <v>5820</v>
      </c>
      <c r="E7" s="2960" t="s">
        <v>8412</v>
      </c>
      <c r="F7" s="2962" t="s">
        <v>18</v>
      </c>
      <c r="G7" s="2960" t="s">
        <v>8413</v>
      </c>
      <c r="H7" s="2960"/>
      <c r="I7" s="2960"/>
      <c r="J7" s="2963" t="s">
        <v>65</v>
      </c>
      <c r="K7" s="2960" t="s">
        <v>66</v>
      </c>
      <c r="L7" s="2964" t="s">
        <v>8414</v>
      </c>
      <c r="M7" s="3029">
        <v>5820</v>
      </c>
      <c r="N7" s="3013" t="s">
        <v>7407</v>
      </c>
      <c r="O7" s="2962" t="s">
        <v>8415</v>
      </c>
      <c r="P7" s="2962"/>
      <c r="Q7" s="2974"/>
      <c r="R7" s="3011">
        <v>1</v>
      </c>
      <c r="S7" s="2968"/>
      <c r="T7" s="2968"/>
      <c r="U7" s="2968"/>
      <c r="V7" s="2968"/>
      <c r="W7" s="2968"/>
      <c r="X7" s="2968"/>
      <c r="Y7" s="2968"/>
      <c r="Z7" s="2968"/>
      <c r="AA7" s="2968"/>
      <c r="AB7" s="2968"/>
      <c r="AC7" s="2968"/>
    </row>
    <row r="8" spans="1:29" s="2969" customFormat="1" ht="58.6" customHeight="1">
      <c r="A8" s="3884">
        <v>3</v>
      </c>
      <c r="B8" s="2979" t="str">
        <f t="shared" si="0"/>
        <v>2000003261</v>
      </c>
      <c r="C8" s="2980" t="s">
        <v>3738</v>
      </c>
      <c r="D8" s="2981">
        <v>4370</v>
      </c>
      <c r="E8" s="2982" t="s">
        <v>8416</v>
      </c>
      <c r="F8" s="2980" t="s">
        <v>20</v>
      </c>
      <c r="G8" s="2982" t="s">
        <v>8417</v>
      </c>
      <c r="H8" s="2982"/>
      <c r="I8" s="2960"/>
      <c r="J8" s="2980" t="s">
        <v>65</v>
      </c>
      <c r="K8" s="2982" t="s">
        <v>117</v>
      </c>
      <c r="L8" s="2983" t="s">
        <v>8418</v>
      </c>
      <c r="M8" s="3032">
        <v>700</v>
      </c>
      <c r="N8" s="3012" t="s">
        <v>5392</v>
      </c>
      <c r="O8" s="2984" t="s">
        <v>8419</v>
      </c>
      <c r="P8" s="2984"/>
      <c r="Q8" s="2985"/>
      <c r="R8" s="3011">
        <v>1</v>
      </c>
      <c r="S8" s="1837"/>
      <c r="T8" s="1837"/>
      <c r="U8" s="1837"/>
      <c r="V8" s="1837"/>
      <c r="W8" s="1837"/>
      <c r="X8" s="1837"/>
      <c r="Y8" s="1837"/>
      <c r="Z8" s="1837"/>
      <c r="AA8" s="1837"/>
      <c r="AB8" s="1837"/>
      <c r="AC8" s="1837"/>
    </row>
    <row r="9" spans="1:29" s="2969" customFormat="1" ht="58.6" customHeight="1">
      <c r="A9" s="3885"/>
      <c r="B9" s="2959" t="str">
        <f t="shared" si="0"/>
        <v>2200002149</v>
      </c>
      <c r="C9" s="2986" t="s">
        <v>3738</v>
      </c>
      <c r="D9" s="2987"/>
      <c r="E9" s="3108"/>
      <c r="F9" s="2986" t="s">
        <v>20</v>
      </c>
      <c r="G9" s="2988"/>
      <c r="H9" s="2988"/>
      <c r="I9" s="2989"/>
      <c r="J9" s="2986" t="s">
        <v>65</v>
      </c>
      <c r="K9" s="2988" t="s">
        <v>117</v>
      </c>
      <c r="L9" s="2990" t="s">
        <v>8420</v>
      </c>
      <c r="M9" s="3033">
        <v>224</v>
      </c>
      <c r="N9" s="3014" t="s">
        <v>8421</v>
      </c>
      <c r="O9" s="2970"/>
      <c r="P9" s="2970"/>
      <c r="Q9" s="2985"/>
      <c r="R9" s="3011">
        <v>1</v>
      </c>
      <c r="S9" s="1837"/>
      <c r="T9" s="1837"/>
      <c r="U9" s="1837"/>
      <c r="V9" s="1837"/>
      <c r="W9" s="1837"/>
      <c r="X9" s="1837"/>
      <c r="Y9" s="1837"/>
      <c r="Z9" s="1837"/>
      <c r="AA9" s="1837"/>
      <c r="AB9" s="1837"/>
      <c r="AC9" s="1837"/>
    </row>
    <row r="10" spans="1:29" s="2969" customFormat="1" ht="58.6" customHeight="1">
      <c r="A10" s="3886"/>
      <c r="B10" s="2959" t="str">
        <f t="shared" si="0"/>
        <v>2200002114</v>
      </c>
      <c r="C10" s="1832" t="s">
        <v>3738</v>
      </c>
      <c r="D10" s="2991"/>
      <c r="E10" s="2960"/>
      <c r="F10" s="1832" t="s">
        <v>20</v>
      </c>
      <c r="G10" s="2972"/>
      <c r="H10" s="2972"/>
      <c r="I10" s="2972"/>
      <c r="J10" s="1832" t="s">
        <v>65</v>
      </c>
      <c r="K10" s="1834" t="s">
        <v>117</v>
      </c>
      <c r="L10" s="1835" t="s">
        <v>8422</v>
      </c>
      <c r="M10" s="3000">
        <v>3446</v>
      </c>
      <c r="N10" s="3012" t="s">
        <v>5392</v>
      </c>
      <c r="O10" s="2970"/>
      <c r="P10" s="2970"/>
      <c r="Q10" s="2985"/>
      <c r="R10" s="3011">
        <v>1</v>
      </c>
      <c r="S10" s="1837"/>
      <c r="T10" s="1837"/>
      <c r="U10" s="1837"/>
      <c r="V10" s="1837"/>
      <c r="W10" s="1837"/>
      <c r="X10" s="1837"/>
      <c r="Y10" s="1837"/>
      <c r="Z10" s="1837"/>
      <c r="AA10" s="1837"/>
      <c r="AB10" s="1837"/>
      <c r="AC10" s="1837"/>
    </row>
    <row r="11" spans="1:29" s="2969" customFormat="1" ht="58.6" customHeight="1">
      <c r="A11" s="3887">
        <v>4</v>
      </c>
      <c r="B11" s="2959" t="str">
        <f t="shared" si="0"/>
        <v>2200002145</v>
      </c>
      <c r="C11" s="2960" t="s">
        <v>8423</v>
      </c>
      <c r="D11" s="2961">
        <v>3726</v>
      </c>
      <c r="E11" s="2960" t="s">
        <v>8424</v>
      </c>
      <c r="F11" s="2962" t="s">
        <v>26</v>
      </c>
      <c r="G11" s="2960"/>
      <c r="H11" s="2960"/>
      <c r="I11" s="2960"/>
      <c r="J11" s="2963" t="s">
        <v>65</v>
      </c>
      <c r="K11" s="2960" t="s">
        <v>1179</v>
      </c>
      <c r="L11" s="2964" t="s">
        <v>8425</v>
      </c>
      <c r="M11" s="3029">
        <v>650</v>
      </c>
      <c r="N11" s="3013" t="s">
        <v>8426</v>
      </c>
      <c r="O11" s="2962"/>
      <c r="P11" s="2962"/>
      <c r="Q11" s="2965" t="s">
        <v>8427</v>
      </c>
      <c r="R11" s="3011">
        <v>1</v>
      </c>
      <c r="S11" s="2967"/>
      <c r="T11" s="2967"/>
      <c r="U11" s="2968"/>
      <c r="V11" s="2968"/>
      <c r="W11" s="2968"/>
      <c r="X11" s="2968"/>
      <c r="Y11" s="2968"/>
      <c r="Z11" s="2968"/>
      <c r="AA11" s="2968"/>
      <c r="AB11" s="2968"/>
      <c r="AC11" s="2968"/>
    </row>
    <row r="12" spans="1:29" s="2969" customFormat="1" ht="58.6" customHeight="1">
      <c r="A12" s="3888"/>
      <c r="B12" s="2959" t="str">
        <f t="shared" si="0"/>
        <v>2200002146</v>
      </c>
      <c r="C12" s="2970" t="s">
        <v>3464</v>
      </c>
      <c r="D12" s="2961"/>
      <c r="E12" s="2960"/>
      <c r="F12" s="2970" t="s">
        <v>26</v>
      </c>
      <c r="G12" s="2960"/>
      <c r="H12" s="2960"/>
      <c r="I12" s="2960"/>
      <c r="J12" s="2971" t="s">
        <v>65</v>
      </c>
      <c r="K12" s="2972" t="s">
        <v>1179</v>
      </c>
      <c r="L12" s="2973" t="s">
        <v>8428</v>
      </c>
      <c r="M12" s="3030">
        <v>1535</v>
      </c>
      <c r="N12" s="3013" t="s">
        <v>8426</v>
      </c>
      <c r="O12" s="2962"/>
      <c r="P12" s="2962"/>
      <c r="Q12" s="2974"/>
      <c r="R12" s="3011">
        <v>1</v>
      </c>
      <c r="S12" s="2967"/>
      <c r="T12" s="2967"/>
      <c r="U12" s="2968"/>
      <c r="V12" s="2968"/>
      <c r="W12" s="2968"/>
      <c r="X12" s="2968"/>
      <c r="Y12" s="2968"/>
      <c r="Z12" s="2968"/>
      <c r="AA12" s="2968"/>
      <c r="AB12" s="2968"/>
      <c r="AC12" s="2968"/>
    </row>
    <row r="13" spans="1:29" s="2969" customFormat="1" ht="58.6" customHeight="1">
      <c r="A13" s="3888"/>
      <c r="B13" s="2959" t="str">
        <f t="shared" si="0"/>
        <v>2200002147</v>
      </c>
      <c r="C13" s="2970" t="s">
        <v>3464</v>
      </c>
      <c r="D13" s="2961"/>
      <c r="E13" s="2960"/>
      <c r="F13" s="2970" t="s">
        <v>26</v>
      </c>
      <c r="G13" s="2960"/>
      <c r="H13" s="2960"/>
      <c r="I13" s="2960"/>
      <c r="J13" s="2971" t="s">
        <v>65</v>
      </c>
      <c r="K13" s="2972" t="s">
        <v>1179</v>
      </c>
      <c r="L13" s="2973" t="s">
        <v>8429</v>
      </c>
      <c r="M13" s="3030">
        <v>1987</v>
      </c>
      <c r="N13" s="3013" t="s">
        <v>8430</v>
      </c>
      <c r="O13" s="2962"/>
      <c r="P13" s="2962"/>
      <c r="Q13" s="2974"/>
      <c r="R13" s="3011">
        <v>1</v>
      </c>
      <c r="S13" s="2967"/>
      <c r="T13" s="2967"/>
      <c r="U13" s="2968"/>
      <c r="V13" s="2968"/>
      <c r="W13" s="2968"/>
      <c r="X13" s="2968"/>
      <c r="Y13" s="2968"/>
      <c r="Z13" s="2968"/>
      <c r="AA13" s="2968"/>
      <c r="AB13" s="2968"/>
      <c r="AC13" s="2968"/>
    </row>
    <row r="14" spans="1:29" s="2969" customFormat="1" ht="58.6" customHeight="1">
      <c r="A14" s="3889"/>
      <c r="B14" s="2959" t="str">
        <f t="shared" si="0"/>
        <v>2200002148</v>
      </c>
      <c r="C14" s="2970" t="s">
        <v>3464</v>
      </c>
      <c r="D14" s="2975"/>
      <c r="E14" s="2963"/>
      <c r="F14" s="2976" t="s">
        <v>26</v>
      </c>
      <c r="G14" s="2963"/>
      <c r="H14" s="2963"/>
      <c r="I14" s="2963"/>
      <c r="J14" s="2971" t="s">
        <v>65</v>
      </c>
      <c r="K14" s="2971" t="s">
        <v>1179</v>
      </c>
      <c r="L14" s="2977" t="s">
        <v>8431</v>
      </c>
      <c r="M14" s="3031">
        <v>298</v>
      </c>
      <c r="N14" s="3015" t="s">
        <v>8426</v>
      </c>
      <c r="O14" s="2962"/>
      <c r="P14" s="2962"/>
      <c r="Q14" s="2974"/>
      <c r="R14" s="3011">
        <v>1</v>
      </c>
      <c r="S14" s="2967"/>
      <c r="T14" s="2967"/>
      <c r="U14" s="2968"/>
      <c r="V14" s="2968"/>
      <c r="W14" s="2968"/>
      <c r="X14" s="2968"/>
      <c r="Y14" s="2968"/>
      <c r="Z14" s="2968"/>
      <c r="AA14" s="2968"/>
      <c r="AB14" s="2968"/>
      <c r="AC14" s="2968"/>
    </row>
    <row r="15" spans="1:29" s="2969" customFormat="1" ht="58.6" customHeight="1">
      <c r="A15" s="3887">
        <v>5</v>
      </c>
      <c r="B15" s="2959" t="str">
        <f t="shared" si="0"/>
        <v>2000003192</v>
      </c>
      <c r="C15" s="2962" t="s">
        <v>8149</v>
      </c>
      <c r="D15" s="2961">
        <v>10600</v>
      </c>
      <c r="E15" s="2960" t="s">
        <v>8432</v>
      </c>
      <c r="F15" s="2962" t="s">
        <v>16</v>
      </c>
      <c r="G15" s="2960" t="s">
        <v>8433</v>
      </c>
      <c r="H15" s="2960"/>
      <c r="I15" s="2994" t="s">
        <v>8434</v>
      </c>
      <c r="J15" s="2963" t="s">
        <v>65</v>
      </c>
      <c r="K15" s="2960" t="s">
        <v>164</v>
      </c>
      <c r="L15" s="2964" t="s">
        <v>8435</v>
      </c>
      <c r="M15" s="3029">
        <v>3900</v>
      </c>
      <c r="N15" s="3013" t="s">
        <v>7407</v>
      </c>
      <c r="O15" s="2970" t="s">
        <v>8436</v>
      </c>
      <c r="P15" s="2970"/>
      <c r="Q15" s="2996"/>
      <c r="R15" s="3011">
        <v>1</v>
      </c>
      <c r="S15" s="2968"/>
      <c r="T15" s="2968"/>
      <c r="U15" s="2968"/>
      <c r="V15" s="2968"/>
      <c r="W15" s="2968"/>
      <c r="X15" s="2968"/>
      <c r="Y15" s="2968"/>
      <c r="Z15" s="2968"/>
      <c r="AA15" s="2968"/>
      <c r="AB15" s="2968"/>
      <c r="AC15" s="2968"/>
    </row>
    <row r="16" spans="1:29" s="2969" customFormat="1" ht="50.3" customHeight="1">
      <c r="A16" s="3888"/>
      <c r="B16" s="2959" t="str">
        <f t="shared" si="0"/>
        <v>2000003253</v>
      </c>
      <c r="C16" s="2970" t="s">
        <v>8149</v>
      </c>
      <c r="D16" s="2961"/>
      <c r="E16" s="2960"/>
      <c r="F16" s="2962" t="s">
        <v>16</v>
      </c>
      <c r="G16" s="2960"/>
      <c r="H16" s="2960"/>
      <c r="I16" s="1834"/>
      <c r="J16" s="2971" t="s">
        <v>65</v>
      </c>
      <c r="K16" s="2972" t="s">
        <v>164</v>
      </c>
      <c r="L16" s="2973" t="s">
        <v>8437</v>
      </c>
      <c r="M16" s="3030">
        <v>4000</v>
      </c>
      <c r="N16" s="3013" t="s">
        <v>8438</v>
      </c>
      <c r="O16" s="2962"/>
      <c r="P16" s="2962"/>
      <c r="Q16" s="2974"/>
      <c r="R16" s="3011">
        <v>1</v>
      </c>
      <c r="S16" s="2968"/>
      <c r="T16" s="2968"/>
      <c r="U16" s="2968"/>
      <c r="V16" s="2968"/>
      <c r="W16" s="2968"/>
      <c r="X16" s="2968"/>
      <c r="Y16" s="2968"/>
      <c r="Z16" s="2968"/>
      <c r="AA16" s="2968"/>
      <c r="AB16" s="2968"/>
      <c r="AC16" s="2968"/>
    </row>
    <row r="17" spans="1:29" s="2969" customFormat="1" ht="69.8" customHeight="1">
      <c r="A17" s="3888"/>
      <c r="B17" s="2959" t="str">
        <f t="shared" si="0"/>
        <v>2000003300</v>
      </c>
      <c r="C17" s="2970" t="s">
        <v>8149</v>
      </c>
      <c r="D17" s="3001"/>
      <c r="E17" s="3109"/>
      <c r="F17" s="2970" t="s">
        <v>16</v>
      </c>
      <c r="G17" s="2753"/>
      <c r="H17" s="2753"/>
      <c r="I17" s="2753"/>
      <c r="J17" s="2753" t="s">
        <v>65</v>
      </c>
      <c r="K17" s="2753" t="s">
        <v>164</v>
      </c>
      <c r="L17" s="2977" t="s">
        <v>8439</v>
      </c>
      <c r="M17" s="3034">
        <v>287</v>
      </c>
      <c r="N17" s="3013" t="s">
        <v>8440</v>
      </c>
      <c r="O17" s="3002"/>
      <c r="P17" s="3002"/>
      <c r="Q17" s="3003"/>
      <c r="R17" s="3011">
        <v>1</v>
      </c>
      <c r="S17" s="1837"/>
      <c r="T17" s="1837"/>
      <c r="U17" s="1837"/>
      <c r="V17" s="1837"/>
      <c r="W17" s="1837"/>
      <c r="X17" s="1837"/>
      <c r="Y17" s="1837"/>
      <c r="Z17" s="1837"/>
      <c r="AA17" s="1837"/>
      <c r="AB17" s="1837"/>
      <c r="AC17" s="1837"/>
    </row>
    <row r="18" spans="1:29" s="2969" customFormat="1" ht="71.349999999999994" customHeight="1">
      <c r="A18" s="3888"/>
      <c r="B18" s="2959" t="str">
        <f t="shared" si="0"/>
        <v>2000003301</v>
      </c>
      <c r="C18" s="2970" t="s">
        <v>8149</v>
      </c>
      <c r="D18" s="3001"/>
      <c r="E18" s="3109"/>
      <c r="F18" s="2970" t="s">
        <v>16</v>
      </c>
      <c r="G18" s="2753"/>
      <c r="H18" s="2753"/>
      <c r="I18" s="2753"/>
      <c r="J18" s="2753" t="s">
        <v>65</v>
      </c>
      <c r="K18" s="2753" t="s">
        <v>164</v>
      </c>
      <c r="L18" s="2977" t="s">
        <v>8441</v>
      </c>
      <c r="M18" s="3034">
        <v>1700</v>
      </c>
      <c r="N18" s="3013" t="s">
        <v>8442</v>
      </c>
      <c r="O18" s="3002"/>
      <c r="P18" s="3002"/>
      <c r="Q18" s="3003"/>
      <c r="R18" s="3011">
        <v>1</v>
      </c>
      <c r="S18" s="1837"/>
      <c r="T18" s="1837"/>
      <c r="U18" s="1837"/>
      <c r="V18" s="1837"/>
      <c r="W18" s="1837"/>
      <c r="X18" s="1837"/>
      <c r="Y18" s="1837"/>
      <c r="Z18" s="1837"/>
      <c r="AA18" s="1837"/>
      <c r="AB18" s="1837"/>
      <c r="AC18" s="1837"/>
    </row>
    <row r="19" spans="1:29" s="2969" customFormat="1" ht="75.099999999999994" customHeight="1">
      <c r="A19" s="3889"/>
      <c r="B19" s="2959" t="str">
        <f t="shared" si="0"/>
        <v>2000003254</v>
      </c>
      <c r="C19" s="2970" t="s">
        <v>8149</v>
      </c>
      <c r="D19" s="3000"/>
      <c r="E19" s="2982"/>
      <c r="F19" s="2970" t="s">
        <v>16</v>
      </c>
      <c r="G19" s="1834"/>
      <c r="H19" s="1834"/>
      <c r="I19" s="1834"/>
      <c r="J19" s="1832" t="s">
        <v>65</v>
      </c>
      <c r="K19" s="1834" t="s">
        <v>5400</v>
      </c>
      <c r="L19" s="2973" t="s">
        <v>8443</v>
      </c>
      <c r="M19" s="3035">
        <v>1100</v>
      </c>
      <c r="N19" s="3013" t="s">
        <v>7499</v>
      </c>
      <c r="O19" s="2962"/>
      <c r="P19" s="2962"/>
      <c r="Q19" s="2974"/>
      <c r="R19" s="3011">
        <v>1</v>
      </c>
      <c r="S19" s="2968"/>
      <c r="T19" s="2968"/>
      <c r="U19" s="2968"/>
      <c r="V19" s="2968"/>
      <c r="W19" s="2968"/>
      <c r="X19" s="2968"/>
      <c r="Y19" s="2968"/>
      <c r="Z19" s="2968"/>
      <c r="AA19" s="2968"/>
      <c r="AB19" s="2968"/>
      <c r="AC19" s="2968"/>
    </row>
    <row r="20" spans="1:29" s="2643" customFormat="1" ht="58.6" customHeight="1">
      <c r="A20" s="3771">
        <v>6</v>
      </c>
      <c r="B20" s="3004" t="str">
        <f t="shared" si="0"/>
        <v>2200002124</v>
      </c>
      <c r="C20" s="3019" t="s">
        <v>3454</v>
      </c>
      <c r="D20" s="3020">
        <v>24000</v>
      </c>
      <c r="E20" s="3021" t="s">
        <v>8444</v>
      </c>
      <c r="F20" s="3019" t="s">
        <v>14</v>
      </c>
      <c r="G20" s="3021" t="s">
        <v>8445</v>
      </c>
      <c r="H20" s="3021"/>
      <c r="I20" s="3026" t="s">
        <v>8434</v>
      </c>
      <c r="J20" s="1493" t="s">
        <v>65</v>
      </c>
      <c r="K20" s="1495" t="s">
        <v>1000</v>
      </c>
      <c r="L20" s="1845" t="s">
        <v>8446</v>
      </c>
      <c r="M20" s="3041">
        <v>2510</v>
      </c>
      <c r="N20" s="3016" t="s">
        <v>8447</v>
      </c>
      <c r="O20" s="1902" t="s">
        <v>8448</v>
      </c>
      <c r="P20" s="1902"/>
      <c r="Q20" s="2590"/>
      <c r="R20" s="3045">
        <v>1</v>
      </c>
      <c r="S20" s="1790"/>
      <c r="T20" s="1790"/>
      <c r="U20" s="2150"/>
      <c r="V20" s="2150"/>
      <c r="W20" s="2150"/>
      <c r="X20" s="2150"/>
      <c r="Y20" s="2150"/>
      <c r="Z20" s="2150"/>
      <c r="AA20" s="2150"/>
      <c r="AB20" s="2150"/>
      <c r="AC20" s="2150"/>
    </row>
    <row r="21" spans="1:29" s="2643" customFormat="1" ht="58.6" customHeight="1">
      <c r="A21" s="3772"/>
      <c r="B21" s="3004" t="str">
        <f t="shared" si="0"/>
        <v>2000003258</v>
      </c>
      <c r="C21" s="3009" t="s">
        <v>3454</v>
      </c>
      <c r="D21" s="3006"/>
      <c r="E21" s="3021"/>
      <c r="F21" s="3009" t="s">
        <v>14</v>
      </c>
      <c r="G21" s="3007"/>
      <c r="H21" s="3007"/>
      <c r="I21" s="1495"/>
      <c r="J21" s="1493" t="s">
        <v>65</v>
      </c>
      <c r="K21" s="1495" t="s">
        <v>1000</v>
      </c>
      <c r="L21" s="1600" t="s">
        <v>8449</v>
      </c>
      <c r="M21" s="3037">
        <v>2000</v>
      </c>
      <c r="N21" s="3016" t="s">
        <v>8450</v>
      </c>
      <c r="O21" s="1493"/>
      <c r="P21" s="1493"/>
      <c r="Q21" s="2590"/>
      <c r="R21" s="3045">
        <v>1</v>
      </c>
      <c r="S21" s="1790"/>
      <c r="T21" s="1790"/>
      <c r="U21" s="1548"/>
      <c r="V21" s="1548"/>
      <c r="W21" s="1548"/>
      <c r="X21" s="1548"/>
      <c r="Y21" s="1548"/>
      <c r="Z21" s="1548"/>
      <c r="AA21" s="1548"/>
      <c r="AB21" s="1548"/>
      <c r="AC21" s="1548"/>
    </row>
    <row r="22" spans="1:29" s="2643" customFormat="1" ht="58.6" customHeight="1">
      <c r="A22" s="3772"/>
      <c r="B22" s="3004" t="str">
        <f t="shared" si="0"/>
        <v>2200002155</v>
      </c>
      <c r="C22" s="3009" t="s">
        <v>3454</v>
      </c>
      <c r="D22" s="3006"/>
      <c r="E22" s="3021"/>
      <c r="F22" s="3009" t="s">
        <v>14</v>
      </c>
      <c r="G22" s="3007"/>
      <c r="H22" s="3007"/>
      <c r="I22" s="3007"/>
      <c r="J22" s="1493" t="s">
        <v>65</v>
      </c>
      <c r="K22" s="1495" t="s">
        <v>1000</v>
      </c>
      <c r="L22" s="2878" t="s">
        <v>8451</v>
      </c>
      <c r="M22" s="3084">
        <v>2851</v>
      </c>
      <c r="N22" s="3016" t="s">
        <v>8426</v>
      </c>
      <c r="O22" s="3009"/>
      <c r="P22" s="3009"/>
      <c r="Q22" s="3010"/>
      <c r="R22" s="3045">
        <v>1</v>
      </c>
      <c r="S22" s="1548"/>
      <c r="T22" s="1548"/>
      <c r="U22" s="1548"/>
      <c r="V22" s="1548"/>
      <c r="W22" s="1548"/>
      <c r="X22" s="1548"/>
      <c r="Y22" s="1548"/>
      <c r="Z22" s="1548"/>
      <c r="AA22" s="1548"/>
      <c r="AB22" s="1548"/>
      <c r="AC22" s="1548"/>
    </row>
    <row r="23" spans="1:29" s="2643" customFormat="1" ht="58.6" customHeight="1">
      <c r="A23" s="3772"/>
      <c r="B23" s="3004" t="str">
        <f t="shared" si="0"/>
        <v>2200002156</v>
      </c>
      <c r="C23" s="3009" t="s">
        <v>3454</v>
      </c>
      <c r="D23" s="3006"/>
      <c r="E23" s="3021"/>
      <c r="F23" s="3009" t="s">
        <v>14</v>
      </c>
      <c r="G23" s="3007"/>
      <c r="H23" s="3007"/>
      <c r="I23" s="3007"/>
      <c r="J23" s="1493" t="s">
        <v>65</v>
      </c>
      <c r="K23" s="1495" t="s">
        <v>1000</v>
      </c>
      <c r="L23" s="2878" t="s">
        <v>8452</v>
      </c>
      <c r="M23" s="3084">
        <v>4713</v>
      </c>
      <c r="N23" s="3016" t="s">
        <v>7407</v>
      </c>
      <c r="O23" s="3009"/>
      <c r="P23" s="3009"/>
      <c r="Q23" s="3010"/>
      <c r="R23" s="3045">
        <v>1</v>
      </c>
      <c r="S23" s="1548"/>
      <c r="T23" s="1548"/>
      <c r="U23" s="1548"/>
      <c r="V23" s="1548"/>
      <c r="W23" s="1548"/>
      <c r="X23" s="1548"/>
      <c r="Y23" s="1548"/>
      <c r="Z23" s="1548"/>
      <c r="AA23" s="1548"/>
      <c r="AB23" s="1548"/>
      <c r="AC23" s="1548"/>
    </row>
    <row r="24" spans="1:29" s="2643" customFormat="1" ht="58.6" customHeight="1">
      <c r="A24" s="3773"/>
      <c r="B24" s="3004" t="str">
        <f t="shared" si="0"/>
        <v>2200002157</v>
      </c>
      <c r="C24" s="3009" t="s">
        <v>3454</v>
      </c>
      <c r="D24" s="3006"/>
      <c r="E24" s="3021"/>
      <c r="F24" s="3009" t="s">
        <v>14</v>
      </c>
      <c r="G24" s="3007"/>
      <c r="H24" s="3007"/>
      <c r="I24" s="3007"/>
      <c r="J24" s="1493" t="s">
        <v>65</v>
      </c>
      <c r="K24" s="1495" t="s">
        <v>1000</v>
      </c>
      <c r="L24" s="3090" t="s">
        <v>8453</v>
      </c>
      <c r="M24" s="3084">
        <v>11925</v>
      </c>
      <c r="N24" s="3016" t="s">
        <v>8454</v>
      </c>
      <c r="O24" s="3009"/>
      <c r="P24" s="3009"/>
      <c r="Q24" s="3010"/>
      <c r="R24" s="3045">
        <v>1</v>
      </c>
      <c r="S24" s="1548"/>
      <c r="T24" s="1548"/>
      <c r="U24" s="1548"/>
      <c r="V24" s="1548"/>
      <c r="W24" s="1548"/>
      <c r="X24" s="1548"/>
      <c r="Y24" s="1548"/>
      <c r="Z24" s="1548"/>
      <c r="AA24" s="1548"/>
      <c r="AB24" s="1548"/>
      <c r="AC24" s="1548"/>
    </row>
    <row r="25" spans="1:29" s="2643" customFormat="1" ht="82.55" customHeight="1">
      <c r="A25" s="3850">
        <v>6</v>
      </c>
      <c r="B25" s="3004" t="str">
        <f t="shared" si="0"/>
        <v>2000003192</v>
      </c>
      <c r="C25" s="3025" t="s">
        <v>3156</v>
      </c>
      <c r="D25" s="3020">
        <v>9800</v>
      </c>
      <c r="E25" s="3021" t="s">
        <v>8455</v>
      </c>
      <c r="F25" s="3019" t="s">
        <v>16</v>
      </c>
      <c r="G25" s="3021" t="s">
        <v>8456</v>
      </c>
      <c r="H25" s="3021"/>
      <c r="I25" s="3026" t="s">
        <v>8434</v>
      </c>
      <c r="J25" s="3027" t="s">
        <v>65</v>
      </c>
      <c r="K25" s="3021" t="s">
        <v>164</v>
      </c>
      <c r="L25" s="2904" t="s">
        <v>8457</v>
      </c>
      <c r="M25" s="3036">
        <v>1100</v>
      </c>
      <c r="N25" s="3016" t="s">
        <v>8458</v>
      </c>
      <c r="O25" s="3019" t="s">
        <v>8459</v>
      </c>
      <c r="P25" s="3019"/>
      <c r="Q25" s="3023"/>
      <c r="R25" s="3045">
        <v>1</v>
      </c>
      <c r="S25" s="2150"/>
      <c r="T25" s="2150"/>
      <c r="U25" s="2150"/>
      <c r="V25" s="2150"/>
      <c r="W25" s="2150"/>
      <c r="X25" s="2150"/>
      <c r="Y25" s="2150"/>
      <c r="Z25" s="2150"/>
      <c r="AA25" s="2150"/>
      <c r="AB25" s="2150"/>
      <c r="AC25" s="2150"/>
    </row>
    <row r="26" spans="1:29" s="2643" customFormat="1" ht="58.6" customHeight="1">
      <c r="A26" s="3851"/>
      <c r="B26" s="3004" t="str">
        <f t="shared" si="0"/>
        <v>2200002139</v>
      </c>
      <c r="C26" s="3028" t="s">
        <v>3156</v>
      </c>
      <c r="D26" s="1903"/>
      <c r="E26" s="1921"/>
      <c r="F26" s="3009" t="s">
        <v>16</v>
      </c>
      <c r="G26" s="1495"/>
      <c r="H26" s="1495"/>
      <c r="I26" s="1495"/>
      <c r="J26" s="1493" t="s">
        <v>65</v>
      </c>
      <c r="K26" s="1495" t="s">
        <v>164</v>
      </c>
      <c r="L26" s="2878" t="s">
        <v>8460</v>
      </c>
      <c r="M26" s="3037">
        <v>1200</v>
      </c>
      <c r="N26" s="2907" t="s">
        <v>5392</v>
      </c>
      <c r="O26" s="1493"/>
      <c r="P26" s="1493"/>
      <c r="Q26" s="2590"/>
      <c r="R26" s="3045">
        <v>1</v>
      </c>
      <c r="S26" s="1852"/>
      <c r="T26" s="1852"/>
      <c r="U26" s="1548"/>
      <c r="V26" s="1548"/>
      <c r="W26" s="1548"/>
      <c r="X26" s="1548"/>
      <c r="Y26" s="1548"/>
      <c r="Z26" s="1548"/>
      <c r="AA26" s="1548"/>
      <c r="AB26" s="1548"/>
      <c r="AC26" s="1548"/>
    </row>
    <row r="27" spans="1:29" s="2643" customFormat="1" ht="58.6" customHeight="1">
      <c r="A27" s="3851"/>
      <c r="B27" s="3004" t="str">
        <f t="shared" si="0"/>
        <v>2000003278</v>
      </c>
      <c r="C27" s="3028" t="s">
        <v>3156</v>
      </c>
      <c r="D27" s="1903"/>
      <c r="E27" s="1921"/>
      <c r="F27" s="3009" t="s">
        <v>16</v>
      </c>
      <c r="G27" s="3007"/>
      <c r="H27" s="3007"/>
      <c r="I27" s="3007"/>
      <c r="J27" s="3009" t="s">
        <v>65</v>
      </c>
      <c r="K27" s="3068" t="s">
        <v>164</v>
      </c>
      <c r="L27" s="2878" t="s">
        <v>8461</v>
      </c>
      <c r="M27" s="3038">
        <v>2600</v>
      </c>
      <c r="N27" s="3016" t="s">
        <v>5230</v>
      </c>
      <c r="O27" s="3009"/>
      <c r="P27" s="3009"/>
      <c r="Q27" s="3010"/>
      <c r="R27" s="3045">
        <v>1</v>
      </c>
      <c r="S27" s="1548"/>
      <c r="T27" s="1548"/>
      <c r="U27" s="1548"/>
      <c r="V27" s="1548"/>
      <c r="W27" s="1548"/>
      <c r="X27" s="1548"/>
      <c r="Y27" s="1548"/>
      <c r="Z27" s="1548"/>
      <c r="AA27" s="1548"/>
      <c r="AB27" s="1548"/>
      <c r="AC27" s="1548"/>
    </row>
    <row r="28" spans="1:29" s="2643" customFormat="1" ht="58.6" customHeight="1">
      <c r="A28" s="3851"/>
      <c r="B28" s="3004" t="str">
        <f t="shared" si="0"/>
        <v>2000003277</v>
      </c>
      <c r="C28" s="3028" t="s">
        <v>3156</v>
      </c>
      <c r="D28" s="1903"/>
      <c r="E28" s="1921"/>
      <c r="F28" s="3009" t="s">
        <v>16</v>
      </c>
      <c r="G28" s="3007"/>
      <c r="H28" s="3007"/>
      <c r="I28" s="3007"/>
      <c r="J28" s="3009" t="s">
        <v>65</v>
      </c>
      <c r="K28" s="3068" t="s">
        <v>164</v>
      </c>
      <c r="L28" s="2878" t="s">
        <v>8462</v>
      </c>
      <c r="M28" s="3038">
        <v>2000</v>
      </c>
      <c r="N28" s="3016" t="s">
        <v>7407</v>
      </c>
      <c r="O28" s="3009"/>
      <c r="P28" s="3009"/>
      <c r="Q28" s="3010"/>
      <c r="R28" s="3045">
        <v>1</v>
      </c>
      <c r="S28" s="1548"/>
      <c r="T28" s="1548"/>
      <c r="U28" s="1548"/>
      <c r="V28" s="1548"/>
      <c r="W28" s="1548"/>
      <c r="X28" s="1548"/>
      <c r="Y28" s="1548"/>
      <c r="Z28" s="1548"/>
      <c r="AA28" s="1548"/>
      <c r="AB28" s="1548"/>
      <c r="AC28" s="1548"/>
    </row>
    <row r="29" spans="1:29" s="2643" customFormat="1" ht="58.6" customHeight="1">
      <c r="A29" s="3851"/>
      <c r="B29" s="3004" t="str">
        <f t="shared" si="0"/>
        <v>2000003286</v>
      </c>
      <c r="C29" s="3028" t="s">
        <v>3156</v>
      </c>
      <c r="D29" s="1903"/>
      <c r="E29" s="1921"/>
      <c r="F29" s="3009" t="s">
        <v>16</v>
      </c>
      <c r="G29" s="3007"/>
      <c r="H29" s="3007"/>
      <c r="I29" s="3007"/>
      <c r="J29" s="3009" t="s">
        <v>65</v>
      </c>
      <c r="K29" s="3068" t="s">
        <v>164</v>
      </c>
      <c r="L29" s="2878" t="s">
        <v>8463</v>
      </c>
      <c r="M29" s="3038">
        <v>1900</v>
      </c>
      <c r="N29" s="3016" t="s">
        <v>5230</v>
      </c>
      <c r="O29" s="3009"/>
      <c r="P29" s="3009"/>
      <c r="Q29" s="3010"/>
      <c r="R29" s="3045">
        <v>1</v>
      </c>
      <c r="S29" s="1548"/>
      <c r="T29" s="1548"/>
      <c r="U29" s="1548"/>
      <c r="V29" s="1548"/>
      <c r="W29" s="1548"/>
      <c r="X29" s="1548"/>
      <c r="Y29" s="1548"/>
      <c r="Z29" s="1548"/>
      <c r="AA29" s="1548"/>
      <c r="AB29" s="1548"/>
      <c r="AC29" s="1548"/>
    </row>
    <row r="30" spans="1:29" s="2643" customFormat="1" ht="58.6" customHeight="1">
      <c r="A30" s="3852"/>
      <c r="B30" s="3004" t="str">
        <f t="shared" si="0"/>
        <v>2000003285</v>
      </c>
      <c r="C30" s="3028" t="s">
        <v>3156</v>
      </c>
      <c r="D30" s="1903"/>
      <c r="E30" s="1921"/>
      <c r="F30" s="3009" t="s">
        <v>16</v>
      </c>
      <c r="G30" s="3007"/>
      <c r="H30" s="3007"/>
      <c r="I30" s="3007"/>
      <c r="J30" s="3009" t="s">
        <v>65</v>
      </c>
      <c r="K30" s="3068" t="s">
        <v>164</v>
      </c>
      <c r="L30" s="2878" t="s">
        <v>8464</v>
      </c>
      <c r="M30" s="3038">
        <v>1000</v>
      </c>
      <c r="N30" s="3016" t="s">
        <v>7407</v>
      </c>
      <c r="O30" s="3009"/>
      <c r="P30" s="3009"/>
      <c r="Q30" s="3010"/>
      <c r="R30" s="3045">
        <v>1</v>
      </c>
      <c r="S30" s="1548"/>
      <c r="T30" s="1548"/>
      <c r="U30" s="1548"/>
      <c r="V30" s="1548"/>
      <c r="W30" s="1548"/>
      <c r="X30" s="1548"/>
      <c r="Y30" s="1548"/>
      <c r="Z30" s="1548"/>
      <c r="AA30" s="1548"/>
      <c r="AB30" s="1548"/>
      <c r="AC30" s="1548"/>
    </row>
    <row r="31" spans="1:29" s="2150" customFormat="1" ht="58.6" customHeight="1">
      <c r="A31" s="3850">
        <v>7</v>
      </c>
      <c r="B31" s="3004" t="str">
        <f t="shared" si="0"/>
        <v>2400001250</v>
      </c>
      <c r="C31" s="3019" t="s">
        <v>8465</v>
      </c>
      <c r="D31" s="3020">
        <f>2000+2000</f>
        <v>4000</v>
      </c>
      <c r="E31" s="3021" t="s">
        <v>8466</v>
      </c>
      <c r="F31" s="3019" t="s">
        <v>2301</v>
      </c>
      <c r="G31" s="3021" t="s">
        <v>8467</v>
      </c>
      <c r="H31" s="3021"/>
      <c r="I31" s="3021"/>
      <c r="J31" s="3019" t="s">
        <v>65</v>
      </c>
      <c r="K31" s="3069" t="s">
        <v>150</v>
      </c>
      <c r="L31" s="2904" t="s">
        <v>8468</v>
      </c>
      <c r="M31" s="3036">
        <v>350</v>
      </c>
      <c r="N31" s="3022" t="s">
        <v>5392</v>
      </c>
      <c r="O31" s="3019">
        <v>25</v>
      </c>
      <c r="P31" s="3019"/>
      <c r="Q31" s="3023" t="s">
        <v>8469</v>
      </c>
      <c r="R31" s="3045">
        <v>1</v>
      </c>
    </row>
    <row r="32" spans="1:29" s="1548" customFormat="1" ht="58.6" customHeight="1">
      <c r="A32" s="3851"/>
      <c r="B32" s="3004" t="str">
        <f t="shared" si="0"/>
        <v>2400001251</v>
      </c>
      <c r="C32" s="3009" t="s">
        <v>8465</v>
      </c>
      <c r="D32" s="3006"/>
      <c r="E32" s="3021"/>
      <c r="F32" s="3009" t="s">
        <v>2301</v>
      </c>
      <c r="G32" s="3007"/>
      <c r="H32" s="3007"/>
      <c r="I32" s="3007"/>
      <c r="J32" s="3009" t="s">
        <v>65</v>
      </c>
      <c r="K32" s="3007" t="s">
        <v>150</v>
      </c>
      <c r="L32" s="3130" t="s">
        <v>8470</v>
      </c>
      <c r="M32" s="3039">
        <v>250</v>
      </c>
      <c r="N32" s="3017" t="s">
        <v>5392</v>
      </c>
      <c r="O32" s="3019">
        <v>25</v>
      </c>
      <c r="P32" s="3019"/>
      <c r="Q32" s="3023" t="s">
        <v>8469</v>
      </c>
      <c r="R32" s="3045">
        <v>1</v>
      </c>
    </row>
    <row r="33" spans="1:30" s="1548" customFormat="1" ht="58.6" customHeight="1">
      <c r="A33" s="3851"/>
      <c r="B33" s="3004" t="str">
        <f t="shared" si="0"/>
        <v>2400001252</v>
      </c>
      <c r="C33" s="3009" t="s">
        <v>8465</v>
      </c>
      <c r="D33" s="3006"/>
      <c r="E33" s="3021"/>
      <c r="F33" s="3009" t="s">
        <v>2301</v>
      </c>
      <c r="G33" s="3007"/>
      <c r="H33" s="3007"/>
      <c r="I33" s="3007"/>
      <c r="J33" s="3009" t="s">
        <v>65</v>
      </c>
      <c r="K33" s="3007" t="s">
        <v>150</v>
      </c>
      <c r="L33" s="2878" t="s">
        <v>8471</v>
      </c>
      <c r="M33" s="3040">
        <v>300</v>
      </c>
      <c r="N33" s="3017" t="s">
        <v>5392</v>
      </c>
      <c r="O33" s="3019">
        <v>25</v>
      </c>
      <c r="P33" s="3019"/>
      <c r="Q33" s="3023" t="s">
        <v>8469</v>
      </c>
      <c r="R33" s="3045">
        <v>1</v>
      </c>
    </row>
    <row r="34" spans="1:30" s="1548" customFormat="1" ht="58.6" customHeight="1">
      <c r="A34" s="3851"/>
      <c r="B34" s="3004" t="str">
        <f t="shared" si="0"/>
        <v>2400001253</v>
      </c>
      <c r="C34" s="3009" t="s">
        <v>8465</v>
      </c>
      <c r="D34" s="3006"/>
      <c r="E34" s="3021"/>
      <c r="F34" s="3009" t="s">
        <v>2301</v>
      </c>
      <c r="G34" s="3007"/>
      <c r="H34" s="3007"/>
      <c r="I34" s="3007"/>
      <c r="J34" s="3009" t="s">
        <v>65</v>
      </c>
      <c r="K34" s="3007" t="s">
        <v>150</v>
      </c>
      <c r="L34" s="2878" t="s">
        <v>8472</v>
      </c>
      <c r="M34" s="3040">
        <v>900</v>
      </c>
      <c r="N34" s="3017" t="s">
        <v>5392</v>
      </c>
      <c r="O34" s="3019">
        <v>25</v>
      </c>
      <c r="P34" s="3019"/>
      <c r="Q34" s="3023" t="s">
        <v>8469</v>
      </c>
      <c r="R34" s="3045">
        <v>1</v>
      </c>
    </row>
    <row r="35" spans="1:30" s="1548" customFormat="1" ht="58.6" customHeight="1">
      <c r="A35" s="3851"/>
      <c r="B35" s="3004" t="str">
        <f t="shared" si="0"/>
        <v>2400001254</v>
      </c>
      <c r="C35" s="3009" t="s">
        <v>8465</v>
      </c>
      <c r="D35" s="3006"/>
      <c r="E35" s="3021"/>
      <c r="F35" s="3009" t="s">
        <v>2301</v>
      </c>
      <c r="G35" s="3007"/>
      <c r="H35" s="3007"/>
      <c r="I35" s="3007"/>
      <c r="J35" s="3009" t="s">
        <v>65</v>
      </c>
      <c r="K35" s="3007" t="s">
        <v>150</v>
      </c>
      <c r="L35" s="2878" t="s">
        <v>8473</v>
      </c>
      <c r="M35" s="3040">
        <v>200</v>
      </c>
      <c r="N35" s="3017" t="s">
        <v>5392</v>
      </c>
      <c r="O35" s="3019">
        <v>25</v>
      </c>
      <c r="P35" s="3019"/>
      <c r="Q35" s="3023" t="s">
        <v>8469</v>
      </c>
      <c r="R35" s="3045">
        <v>1</v>
      </c>
    </row>
    <row r="36" spans="1:30" s="1548" customFormat="1" ht="58.6" customHeight="1">
      <c r="A36" s="3851"/>
      <c r="B36" s="3004" t="str">
        <f t="shared" si="0"/>
        <v>2400001260</v>
      </c>
      <c r="C36" s="3009" t="s">
        <v>8465</v>
      </c>
      <c r="D36" s="3006"/>
      <c r="E36" s="3021"/>
      <c r="F36" s="3009" t="s">
        <v>2301</v>
      </c>
      <c r="G36" s="3007"/>
      <c r="H36" s="3007"/>
      <c r="I36" s="3007"/>
      <c r="J36" s="3009" t="s">
        <v>65</v>
      </c>
      <c r="K36" s="3007" t="s">
        <v>8474</v>
      </c>
      <c r="L36" s="2878" t="s">
        <v>8475</v>
      </c>
      <c r="M36" s="3040">
        <v>900</v>
      </c>
      <c r="N36" s="3017" t="s">
        <v>5392</v>
      </c>
      <c r="O36" s="3019">
        <v>25</v>
      </c>
      <c r="P36" s="3019"/>
      <c r="Q36" s="3010" t="s">
        <v>8476</v>
      </c>
      <c r="R36" s="3045">
        <v>1</v>
      </c>
    </row>
    <row r="37" spans="1:30" s="1548" customFormat="1" ht="58.6" customHeight="1">
      <c r="A37" s="3851"/>
      <c r="B37" s="3004" t="str">
        <f t="shared" si="0"/>
        <v>2400001261</v>
      </c>
      <c r="C37" s="3009" t="s">
        <v>8465</v>
      </c>
      <c r="D37" s="3006"/>
      <c r="E37" s="3021"/>
      <c r="F37" s="3009" t="s">
        <v>2301</v>
      </c>
      <c r="G37" s="3007"/>
      <c r="H37" s="3007"/>
      <c r="I37" s="3007"/>
      <c r="J37" s="3009" t="s">
        <v>65</v>
      </c>
      <c r="K37" s="3007" t="s">
        <v>8474</v>
      </c>
      <c r="L37" s="2878" t="s">
        <v>8477</v>
      </c>
      <c r="M37" s="3040">
        <v>1100</v>
      </c>
      <c r="N37" s="3017" t="s">
        <v>5392</v>
      </c>
      <c r="O37" s="3019">
        <v>25</v>
      </c>
      <c r="P37" s="3019"/>
      <c r="Q37" s="3010" t="s">
        <v>8476</v>
      </c>
      <c r="R37" s="3045">
        <v>1</v>
      </c>
    </row>
    <row r="38" spans="1:30" s="1548" customFormat="1" ht="58.6" customHeight="1">
      <c r="A38" s="3852"/>
      <c r="B38" s="3004" t="str">
        <f t="shared" si="0"/>
        <v>2400001275</v>
      </c>
      <c r="C38" s="3009" t="s">
        <v>8465</v>
      </c>
      <c r="D38" s="3006"/>
      <c r="E38" s="3021"/>
      <c r="F38" s="3009" t="s">
        <v>2301</v>
      </c>
      <c r="G38" s="3007"/>
      <c r="H38" s="3007"/>
      <c r="I38" s="3007"/>
      <c r="J38" s="3009" t="s">
        <v>65</v>
      </c>
      <c r="K38" s="3007" t="s">
        <v>8474</v>
      </c>
      <c r="L38" s="2878" t="s">
        <v>8478</v>
      </c>
      <c r="M38" s="3040">
        <v>25</v>
      </c>
      <c r="N38" s="3017" t="s">
        <v>5392</v>
      </c>
      <c r="O38" s="3019">
        <v>25</v>
      </c>
      <c r="P38" s="3019"/>
      <c r="Q38" s="3010" t="s">
        <v>8476</v>
      </c>
      <c r="R38" s="3045">
        <v>1</v>
      </c>
    </row>
    <row r="39" spans="1:30" s="1548" customFormat="1" ht="52.5" customHeight="1">
      <c r="A39" s="2436">
        <v>8</v>
      </c>
      <c r="B39" s="3024" t="str">
        <f t="shared" si="0"/>
        <v>2000003258</v>
      </c>
      <c r="C39" s="1902" t="s">
        <v>252</v>
      </c>
      <c r="D39" s="2642">
        <v>4000</v>
      </c>
      <c r="E39" s="2789" t="s">
        <v>8479</v>
      </c>
      <c r="F39" s="3019" t="s">
        <v>20</v>
      </c>
      <c r="G39" s="1921" t="s">
        <v>8480</v>
      </c>
      <c r="H39" s="1921"/>
      <c r="I39" s="1921" t="s">
        <v>7249</v>
      </c>
      <c r="J39" s="1902" t="s">
        <v>65</v>
      </c>
      <c r="K39" s="1921" t="s">
        <v>1179</v>
      </c>
      <c r="L39" s="1845" t="s">
        <v>8449</v>
      </c>
      <c r="M39" s="3041">
        <v>4000</v>
      </c>
      <c r="N39" s="3016" t="s">
        <v>5230</v>
      </c>
      <c r="O39" s="3009">
        <v>37</v>
      </c>
      <c r="P39" s="3009"/>
      <c r="Q39" s="1745"/>
      <c r="R39" s="3045">
        <v>1</v>
      </c>
      <c r="S39" s="2429"/>
      <c r="T39" s="2429"/>
      <c r="U39" s="2150"/>
      <c r="V39" s="2150"/>
      <c r="W39" s="2150"/>
      <c r="X39" s="2150"/>
      <c r="Y39" s="2150"/>
      <c r="Z39" s="2150"/>
      <c r="AA39" s="2150"/>
      <c r="AB39" s="2150"/>
      <c r="AC39" s="2150"/>
      <c r="AD39" s="2150"/>
    </row>
    <row r="40" spans="1:30" s="1548" customFormat="1" ht="58.6" customHeight="1">
      <c r="A40" s="3872">
        <v>9</v>
      </c>
      <c r="B40" s="3004" t="str">
        <f t="shared" si="0"/>
        <v>2400001241</v>
      </c>
      <c r="C40" s="3019" t="s">
        <v>8481</v>
      </c>
      <c r="D40" s="3036">
        <v>8375</v>
      </c>
      <c r="E40" s="3021" t="s">
        <v>8482</v>
      </c>
      <c r="F40" s="3019" t="s">
        <v>8483</v>
      </c>
      <c r="G40" s="3021" t="s">
        <v>8484</v>
      </c>
      <c r="H40" s="3021"/>
      <c r="I40" s="3021" t="s">
        <v>7249</v>
      </c>
      <c r="J40" s="3019" t="s">
        <v>65</v>
      </c>
      <c r="K40" s="3021" t="s">
        <v>8485</v>
      </c>
      <c r="L40" s="2904" t="s">
        <v>8486</v>
      </c>
      <c r="M40" s="3036">
        <v>2400</v>
      </c>
      <c r="N40" s="2907" t="s">
        <v>5392</v>
      </c>
      <c r="O40" s="3009"/>
      <c r="P40" s="3009"/>
      <c r="Q40" s="3010" t="s">
        <v>8469</v>
      </c>
      <c r="R40" s="3045">
        <v>2</v>
      </c>
      <c r="T40" s="2628">
        <v>2400001241</v>
      </c>
      <c r="U40" s="1493">
        <f>VLOOKUP(T40,'PKH UPDATE'!A:D,2,0)</f>
        <v>2433</v>
      </c>
      <c r="V40" s="1493">
        <f>VLOOKUP(T40,'PKH UPDATE'!A:D,3,0)</f>
        <v>2410</v>
      </c>
      <c r="W40" s="1493">
        <f>VLOOKUP(T40,'PKH UPDATE'!A:D,4,0)</f>
        <v>22</v>
      </c>
    </row>
    <row r="41" spans="1:30" s="1548" customFormat="1" ht="58.6" customHeight="1">
      <c r="A41" s="3870"/>
      <c r="B41" s="3004" t="str">
        <f t="shared" si="0"/>
        <v>2400001248</v>
      </c>
      <c r="C41" s="3009" t="s">
        <v>8481</v>
      </c>
      <c r="D41" s="3040"/>
      <c r="E41" s="3021"/>
      <c r="F41" s="3009" t="s">
        <v>8483</v>
      </c>
      <c r="G41" s="3007"/>
      <c r="H41" s="3007"/>
      <c r="I41" s="3007" t="s">
        <v>7249</v>
      </c>
      <c r="J41" s="3009" t="s">
        <v>65</v>
      </c>
      <c r="K41" s="3007" t="s">
        <v>8485</v>
      </c>
      <c r="L41" s="2878" t="s">
        <v>8487</v>
      </c>
      <c r="M41" s="3040">
        <v>600</v>
      </c>
      <c r="N41" s="2907" t="s">
        <v>5392</v>
      </c>
      <c r="O41" s="3009"/>
      <c r="P41" s="3009"/>
      <c r="Q41" s="3010" t="s">
        <v>8469</v>
      </c>
      <c r="R41" s="3045">
        <v>2</v>
      </c>
      <c r="T41" s="2628">
        <v>2400001248</v>
      </c>
      <c r="U41" s="1493" t="e">
        <f>VLOOKUP(T41,'PKH UPDATE'!A:D,2,0)</f>
        <v>#N/A</v>
      </c>
      <c r="V41" s="1493" t="e">
        <f>VLOOKUP(T41,'PKH UPDATE'!A:D,3,0)</f>
        <v>#N/A</v>
      </c>
      <c r="W41" s="1493" t="e">
        <f>VLOOKUP(T41,'PKH UPDATE'!A:D,4,0)</f>
        <v>#N/A</v>
      </c>
    </row>
    <row r="42" spans="1:30" s="1548" customFormat="1" ht="58.6" customHeight="1">
      <c r="A42" s="3870"/>
      <c r="B42" s="3004" t="str">
        <f t="shared" si="0"/>
        <v>2400001243</v>
      </c>
      <c r="C42" s="3009" t="s">
        <v>8481</v>
      </c>
      <c r="D42" s="3040"/>
      <c r="E42" s="3021"/>
      <c r="F42" s="3009" t="s">
        <v>8483</v>
      </c>
      <c r="G42" s="3007"/>
      <c r="H42" s="3007"/>
      <c r="I42" s="3007" t="s">
        <v>7249</v>
      </c>
      <c r="J42" s="3009" t="s">
        <v>65</v>
      </c>
      <c r="K42" s="3007" t="s">
        <v>8485</v>
      </c>
      <c r="L42" s="2878" t="s">
        <v>8488</v>
      </c>
      <c r="M42" s="3040">
        <v>25</v>
      </c>
      <c r="N42" s="2907" t="s">
        <v>5392</v>
      </c>
      <c r="O42" s="3009"/>
      <c r="P42" s="3009"/>
      <c r="Q42" s="3010" t="s">
        <v>8469</v>
      </c>
      <c r="R42" s="3045">
        <v>2</v>
      </c>
      <c r="T42" s="2628">
        <v>2400001243</v>
      </c>
      <c r="U42" s="1493" t="e">
        <f>VLOOKUP(T42,'PKH UPDATE'!A:D,2,0)</f>
        <v>#N/A</v>
      </c>
      <c r="V42" s="1493" t="e">
        <f>VLOOKUP(T42,'PKH UPDATE'!A:D,3,0)</f>
        <v>#N/A</v>
      </c>
      <c r="W42" s="1493" t="e">
        <f>VLOOKUP(T42,'PKH UPDATE'!A:D,4,0)</f>
        <v>#N/A</v>
      </c>
    </row>
    <row r="43" spans="1:30" s="1548" customFormat="1" ht="58.6" customHeight="1">
      <c r="A43" s="3870"/>
      <c r="B43" s="3004" t="str">
        <f t="shared" si="0"/>
        <v>2400001276</v>
      </c>
      <c r="C43" s="3009" t="s">
        <v>8481</v>
      </c>
      <c r="D43" s="3006"/>
      <c r="E43" s="3021"/>
      <c r="F43" s="3009" t="s">
        <v>8483</v>
      </c>
      <c r="G43" s="3007"/>
      <c r="H43" s="3007"/>
      <c r="I43" s="3007"/>
      <c r="J43" s="3009" t="s">
        <v>65</v>
      </c>
      <c r="K43" s="3068" t="s">
        <v>7493</v>
      </c>
      <c r="L43" s="2878" t="s">
        <v>8489</v>
      </c>
      <c r="M43" s="3040">
        <v>5000</v>
      </c>
      <c r="N43" s="2907" t="s">
        <v>5392</v>
      </c>
      <c r="O43" s="3009"/>
      <c r="P43" s="3009"/>
      <c r="Q43" s="3010" t="s">
        <v>8476</v>
      </c>
      <c r="R43" s="3045">
        <v>2</v>
      </c>
      <c r="T43" s="2628">
        <v>2400001276</v>
      </c>
      <c r="U43" s="1493">
        <f>VLOOKUP(T43,'PKH UPDATE'!A:D,2,0)</f>
        <v>4541</v>
      </c>
      <c r="V43" s="1493">
        <f>VLOOKUP(T43,'PKH UPDATE'!A:D,3,0)</f>
        <v>3789</v>
      </c>
      <c r="W43" s="1493">
        <f>VLOOKUP(T43,'PKH UPDATE'!A:D,4,0)</f>
        <v>752</v>
      </c>
    </row>
    <row r="44" spans="1:30" s="1548" customFormat="1" ht="58.6" customHeight="1">
      <c r="A44" s="3870"/>
      <c r="B44" s="3004" t="str">
        <f t="shared" si="0"/>
        <v>2400001284</v>
      </c>
      <c r="C44" s="3009" t="s">
        <v>8481</v>
      </c>
      <c r="D44" s="3020"/>
      <c r="E44" s="3021"/>
      <c r="F44" s="3009" t="s">
        <v>8483</v>
      </c>
      <c r="G44" s="3021"/>
      <c r="H44" s="3021"/>
      <c r="I44" s="3007" t="s">
        <v>7249</v>
      </c>
      <c r="J44" s="3009" t="s">
        <v>65</v>
      </c>
      <c r="K44" s="3007" t="s">
        <v>7493</v>
      </c>
      <c r="L44" s="3056" t="s">
        <v>8490</v>
      </c>
      <c r="M44" s="3057">
        <v>300</v>
      </c>
      <c r="N44" s="2907" t="s">
        <v>5392</v>
      </c>
      <c r="O44" s="3019"/>
      <c r="P44" s="3019"/>
      <c r="Q44" s="3010" t="s">
        <v>8476</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6" customHeight="1">
      <c r="A45" s="3870"/>
      <c r="B45" s="3004" t="str">
        <f t="shared" si="0"/>
        <v>2400001272</v>
      </c>
      <c r="C45" s="3009" t="s">
        <v>8481</v>
      </c>
      <c r="D45" s="3006"/>
      <c r="E45" s="3021"/>
      <c r="F45" s="3009" t="s">
        <v>8483</v>
      </c>
      <c r="G45" s="3007"/>
      <c r="H45" s="3007"/>
      <c r="I45" s="3058">
        <v>45939</v>
      </c>
      <c r="J45" s="3009" t="s">
        <v>65</v>
      </c>
      <c r="K45" s="3007" t="s">
        <v>8485</v>
      </c>
      <c r="L45" s="2878" t="s">
        <v>8491</v>
      </c>
      <c r="M45" s="3040">
        <v>50</v>
      </c>
      <c r="N45" s="2907" t="s">
        <v>5392</v>
      </c>
      <c r="O45" s="3009"/>
      <c r="P45" s="3009"/>
      <c r="Q45" s="3010" t="s">
        <v>8469</v>
      </c>
      <c r="R45" s="3045">
        <v>2</v>
      </c>
      <c r="T45" s="2628">
        <v>2400001272</v>
      </c>
      <c r="U45" s="1493">
        <f>VLOOKUP(T45,'PKH UPDATE'!A:D,2,0)</f>
        <v>46</v>
      </c>
      <c r="V45" s="1493">
        <f>VLOOKUP(T45,'PKH UPDATE'!A:D,3,0)</f>
        <v>0</v>
      </c>
      <c r="W45" s="1493">
        <f>VLOOKUP(T45,'PKH UPDATE'!A:D,4,0)</f>
        <v>46</v>
      </c>
    </row>
    <row r="46" spans="1:30" s="1548" customFormat="1" ht="58.6" customHeight="1">
      <c r="A46" s="3871"/>
      <c r="B46" s="3004" t="str">
        <f t="shared" si="0"/>
        <v>2400001273</v>
      </c>
      <c r="C46" s="3009" t="s">
        <v>8481</v>
      </c>
      <c r="D46" s="3006"/>
      <c r="E46" s="3021"/>
      <c r="F46" s="3009" t="s">
        <v>8483</v>
      </c>
      <c r="G46" s="3007"/>
      <c r="H46" s="3007"/>
      <c r="I46" s="3058">
        <v>45939</v>
      </c>
      <c r="J46" s="3009" t="s">
        <v>65</v>
      </c>
      <c r="K46" s="3007" t="s">
        <v>8485</v>
      </c>
      <c r="L46" s="2878" t="s">
        <v>8492</v>
      </c>
      <c r="M46" s="3040">
        <v>25</v>
      </c>
      <c r="N46" s="2907" t="s">
        <v>5392</v>
      </c>
      <c r="O46" s="3009"/>
      <c r="P46" s="3009"/>
      <c r="Q46" s="3010" t="s">
        <v>8469</v>
      </c>
      <c r="R46" s="3045">
        <v>2</v>
      </c>
      <c r="T46" s="2628">
        <v>2400001273</v>
      </c>
      <c r="U46" s="1493">
        <f>VLOOKUP(T46,'PKH UPDATE'!A:D,2,0)</f>
        <v>25</v>
      </c>
      <c r="V46" s="1493">
        <f>VLOOKUP(T46,'PKH UPDATE'!A:D,3,0)</f>
        <v>0</v>
      </c>
      <c r="W46" s="1493">
        <f>VLOOKUP(T46,'PKH UPDATE'!A:D,4,0)</f>
        <v>25</v>
      </c>
    </row>
    <row r="47" spans="1:30" s="1548" customFormat="1" ht="58.6" customHeight="1">
      <c r="A47" s="3771">
        <v>10</v>
      </c>
      <c r="B47" s="3004" t="str">
        <f t="shared" si="0"/>
        <v>2200002135</v>
      </c>
      <c r="C47" s="1902" t="s">
        <v>3494</v>
      </c>
      <c r="D47" s="2642">
        <v>8800</v>
      </c>
      <c r="E47" s="1921" t="s">
        <v>8493</v>
      </c>
      <c r="F47" s="1902" t="s">
        <v>16</v>
      </c>
      <c r="G47" s="1921" t="s">
        <v>8494</v>
      </c>
      <c r="H47" s="1921"/>
      <c r="I47" s="1921"/>
      <c r="J47" s="1902" t="s">
        <v>65</v>
      </c>
      <c r="K47" s="1921" t="s">
        <v>1179</v>
      </c>
      <c r="L47" s="1845" t="s">
        <v>8495</v>
      </c>
      <c r="M47" s="3041">
        <v>1200</v>
      </c>
      <c r="N47" s="3016" t="s">
        <v>5392</v>
      </c>
      <c r="O47" s="1493"/>
      <c r="P47" s="1493"/>
      <c r="Q47" s="2590"/>
      <c r="R47" s="3045">
        <v>1</v>
      </c>
      <c r="S47" s="1790"/>
      <c r="T47" s="1790"/>
      <c r="U47" s="2150"/>
      <c r="V47" s="2150"/>
      <c r="W47" s="2150"/>
      <c r="X47" s="2150"/>
      <c r="Y47" s="2150"/>
      <c r="Z47" s="2150"/>
      <c r="AA47" s="2150"/>
      <c r="AB47" s="2150"/>
      <c r="AC47" s="2150"/>
    </row>
    <row r="48" spans="1:30" s="1548" customFormat="1" ht="58.6" customHeight="1">
      <c r="A48" s="3772"/>
      <c r="B48" s="3004" t="str">
        <f t="shared" si="0"/>
        <v>2200002136</v>
      </c>
      <c r="C48" s="1493" t="s">
        <v>3494</v>
      </c>
      <c r="D48" s="1903"/>
      <c r="E48" s="1921"/>
      <c r="F48" s="1493" t="s">
        <v>16</v>
      </c>
      <c r="G48" s="1495"/>
      <c r="H48" s="1495"/>
      <c r="I48" s="1495"/>
      <c r="J48" s="1493" t="s">
        <v>65</v>
      </c>
      <c r="K48" s="1495" t="s">
        <v>1179</v>
      </c>
      <c r="L48" s="1600" t="s">
        <v>8496</v>
      </c>
      <c r="M48" s="3037">
        <v>4900</v>
      </c>
      <c r="N48" s="3016" t="s">
        <v>7407</v>
      </c>
      <c r="O48" s="2877"/>
      <c r="P48" s="2877"/>
      <c r="Q48" s="2590"/>
      <c r="R48" s="3045">
        <v>1</v>
      </c>
      <c r="S48" s="1852"/>
      <c r="T48" s="1852"/>
      <c r="U48" s="2150"/>
      <c r="V48" s="2150"/>
      <c r="W48" s="2150"/>
      <c r="X48" s="2150"/>
      <c r="Y48" s="2150"/>
      <c r="Z48" s="2150"/>
      <c r="AA48" s="2150"/>
      <c r="AB48" s="2150"/>
      <c r="AC48" s="2150"/>
    </row>
    <row r="49" spans="1:29" s="1548" customFormat="1" ht="58.6" customHeight="1">
      <c r="A49" s="3772"/>
      <c r="B49" s="3004" t="str">
        <f t="shared" si="0"/>
        <v>2000003243</v>
      </c>
      <c r="C49" s="1493" t="s">
        <v>3494</v>
      </c>
      <c r="D49" s="1903"/>
      <c r="E49" s="1921"/>
      <c r="F49" s="1493" t="s">
        <v>16</v>
      </c>
      <c r="G49" s="1495"/>
      <c r="H49" s="1495"/>
      <c r="I49" s="1495"/>
      <c r="J49" s="1493" t="s">
        <v>65</v>
      </c>
      <c r="K49" s="1495" t="s">
        <v>1179</v>
      </c>
      <c r="L49" s="1600" t="s">
        <v>8497</v>
      </c>
      <c r="M49" s="3037">
        <v>1000</v>
      </c>
      <c r="N49" s="3016" t="s">
        <v>7407</v>
      </c>
      <c r="O49" s="1493"/>
      <c r="P49" s="1493"/>
      <c r="Q49" s="2590"/>
      <c r="R49" s="3045">
        <v>1</v>
      </c>
    </row>
    <row r="50" spans="1:29" s="1548" customFormat="1" ht="58.6" customHeight="1">
      <c r="A50" s="3773"/>
      <c r="B50" s="3004" t="str">
        <f t="shared" si="0"/>
        <v>2000003203</v>
      </c>
      <c r="C50" s="1493" t="s">
        <v>3494</v>
      </c>
      <c r="D50" s="3006"/>
      <c r="E50" s="3021"/>
      <c r="F50" s="1493" t="s">
        <v>16</v>
      </c>
      <c r="G50" s="3007"/>
      <c r="H50" s="3007"/>
      <c r="I50" s="3007"/>
      <c r="J50" s="3008" t="s">
        <v>65</v>
      </c>
      <c r="K50" s="1495" t="s">
        <v>1179</v>
      </c>
      <c r="L50" s="2878" t="s">
        <v>8498</v>
      </c>
      <c r="M50" s="3040">
        <v>2000</v>
      </c>
      <c r="N50" s="3016" t="s">
        <v>5392</v>
      </c>
      <c r="O50" s="3009"/>
      <c r="P50" s="3009"/>
      <c r="Q50" s="3010"/>
      <c r="R50" s="3045">
        <v>1</v>
      </c>
    </row>
    <row r="51" spans="1:29" s="1548" customFormat="1" ht="58.6" customHeight="1">
      <c r="A51" s="3771">
        <v>11</v>
      </c>
      <c r="B51" s="3004" t="str">
        <f t="shared" si="0"/>
        <v>2200002138</v>
      </c>
      <c r="C51" s="2187" t="s">
        <v>8499</v>
      </c>
      <c r="D51" s="2642">
        <v>3950</v>
      </c>
      <c r="E51" s="1921" t="s">
        <v>8500</v>
      </c>
      <c r="F51" s="1902" t="s">
        <v>22</v>
      </c>
      <c r="G51" s="1921" t="s">
        <v>8501</v>
      </c>
      <c r="H51" s="1921"/>
      <c r="I51" s="1921"/>
      <c r="J51" s="1902" t="s">
        <v>65</v>
      </c>
      <c r="K51" s="1921" t="s">
        <v>142</v>
      </c>
      <c r="L51" s="1845" t="s">
        <v>8502</v>
      </c>
      <c r="M51" s="3041">
        <v>2000</v>
      </c>
      <c r="N51" s="3016" t="s">
        <v>7407</v>
      </c>
      <c r="O51" s="1493"/>
      <c r="P51" s="1493"/>
      <c r="Q51" s="2590"/>
      <c r="R51" s="1748">
        <v>1</v>
      </c>
    </row>
    <row r="52" spans="1:29" s="1548" customFormat="1" ht="63" customHeight="1">
      <c r="A52" s="3772"/>
      <c r="B52" s="3004" t="str">
        <f t="shared" si="0"/>
        <v>2200002137</v>
      </c>
      <c r="C52" s="1493" t="s">
        <v>5239</v>
      </c>
      <c r="D52" s="3005"/>
      <c r="E52" s="1921"/>
      <c r="F52" s="1493" t="s">
        <v>22</v>
      </c>
      <c r="G52" s="1495"/>
      <c r="H52" s="1495"/>
      <c r="I52" s="1495"/>
      <c r="J52" s="1493" t="s">
        <v>65</v>
      </c>
      <c r="K52" s="1495" t="s">
        <v>142</v>
      </c>
      <c r="L52" s="1600" t="s">
        <v>8503</v>
      </c>
      <c r="M52" s="3037">
        <v>900</v>
      </c>
      <c r="N52" s="3017" t="s">
        <v>5392</v>
      </c>
      <c r="O52" s="1493"/>
      <c r="P52" s="1493"/>
      <c r="Q52" s="2590"/>
      <c r="R52" s="3045">
        <v>1</v>
      </c>
      <c r="S52" s="1493"/>
      <c r="T52" s="1474"/>
      <c r="U52" s="1467"/>
      <c r="V52" s="1467"/>
      <c r="W52" s="1467"/>
      <c r="X52" s="1467"/>
      <c r="Y52" s="1467"/>
      <c r="Z52" s="1467"/>
      <c r="AA52" s="1467"/>
      <c r="AB52" s="1467"/>
      <c r="AC52" s="1467"/>
    </row>
    <row r="53" spans="1:29" s="1548" customFormat="1" ht="72" customHeight="1">
      <c r="A53" s="3773"/>
      <c r="B53" s="3004" t="str">
        <f t="shared" si="0"/>
        <v>2200002114</v>
      </c>
      <c r="C53" s="1493" t="s">
        <v>5239</v>
      </c>
      <c r="D53" s="3005"/>
      <c r="E53" s="1921"/>
      <c r="F53" s="1493" t="s">
        <v>22</v>
      </c>
      <c r="G53" s="1495"/>
      <c r="H53" s="1495"/>
      <c r="I53" s="1495"/>
      <c r="J53" s="1493" t="s">
        <v>65</v>
      </c>
      <c r="K53" s="1495" t="s">
        <v>117</v>
      </c>
      <c r="L53" s="1600" t="s">
        <v>8504</v>
      </c>
      <c r="M53" s="3037">
        <v>1054</v>
      </c>
      <c r="N53" s="3017" t="s">
        <v>5392</v>
      </c>
      <c r="O53" s="1493"/>
      <c r="P53" s="1493"/>
      <c r="Q53" s="2590"/>
      <c r="R53" s="3045">
        <v>1</v>
      </c>
      <c r="S53" s="1493"/>
      <c r="T53" s="1474"/>
      <c r="U53" s="1467"/>
      <c r="V53" s="1467"/>
      <c r="W53" s="1467"/>
      <c r="X53" s="1467"/>
      <c r="Y53" s="1467"/>
      <c r="Z53" s="1467"/>
      <c r="AA53" s="1467"/>
      <c r="AB53" s="1467"/>
      <c r="AC53" s="1467"/>
    </row>
    <row r="54" spans="1:29" s="2643" customFormat="1" ht="58.6" customHeight="1">
      <c r="A54" s="3850">
        <v>12</v>
      </c>
      <c r="B54" s="3024" t="str">
        <f t="shared" si="0"/>
        <v>2000003282</v>
      </c>
      <c r="C54" s="3019" t="s">
        <v>3499</v>
      </c>
      <c r="D54" s="3020">
        <v>4000</v>
      </c>
      <c r="E54" s="3021" t="s">
        <v>8505</v>
      </c>
      <c r="F54" s="3019" t="s">
        <v>20</v>
      </c>
      <c r="G54" s="3021" t="s">
        <v>8506</v>
      </c>
      <c r="H54" s="3021"/>
      <c r="I54" s="3021"/>
      <c r="J54" s="3027" t="s">
        <v>65</v>
      </c>
      <c r="K54" s="3021" t="s">
        <v>66</v>
      </c>
      <c r="L54" s="2904" t="s">
        <v>8507</v>
      </c>
      <c r="M54" s="3036">
        <v>1360</v>
      </c>
      <c r="N54" s="3016" t="s">
        <v>7407</v>
      </c>
      <c r="O54" s="3009">
        <v>37</v>
      </c>
      <c r="P54" s="3009"/>
      <c r="Q54" s="3023"/>
      <c r="R54" s="3045">
        <v>1</v>
      </c>
      <c r="S54" s="2150"/>
      <c r="T54" s="2150"/>
      <c r="U54" s="2150"/>
      <c r="V54" s="2150"/>
      <c r="W54" s="2150"/>
      <c r="X54" s="2150"/>
      <c r="Y54" s="2150"/>
      <c r="Z54" s="2150"/>
      <c r="AA54" s="2150"/>
      <c r="AB54" s="2150"/>
      <c r="AC54" s="2150"/>
    </row>
    <row r="55" spans="1:29" s="1467" customFormat="1" ht="58.6" customHeight="1">
      <c r="A55" s="3851"/>
      <c r="B55" s="3004" t="str">
        <f t="shared" si="0"/>
        <v>2000003250</v>
      </c>
      <c r="C55" s="3009" t="s">
        <v>3499</v>
      </c>
      <c r="D55" s="3006"/>
      <c r="E55" s="3021"/>
      <c r="F55" s="3009" t="s">
        <v>20</v>
      </c>
      <c r="G55" s="3007"/>
      <c r="H55" s="3007"/>
      <c r="I55" s="3007"/>
      <c r="J55" s="3008" t="s">
        <v>65</v>
      </c>
      <c r="K55" s="3007" t="s">
        <v>66</v>
      </c>
      <c r="L55" s="2878" t="s">
        <v>8508</v>
      </c>
      <c r="M55" s="3040">
        <v>570</v>
      </c>
      <c r="N55" s="3016" t="s">
        <v>7407</v>
      </c>
      <c r="O55" s="3009">
        <v>37</v>
      </c>
      <c r="P55" s="3009"/>
      <c r="Q55" s="3010"/>
      <c r="R55" s="3045">
        <v>1</v>
      </c>
      <c r="S55" s="1548"/>
      <c r="T55" s="1548"/>
      <c r="U55" s="1548"/>
      <c r="V55" s="1548"/>
      <c r="W55" s="1548"/>
      <c r="X55" s="1548"/>
      <c r="Y55" s="1548"/>
      <c r="Z55" s="1548"/>
      <c r="AA55" s="1548"/>
      <c r="AB55" s="1548"/>
      <c r="AC55" s="1548"/>
    </row>
    <row r="56" spans="1:29" s="1548" customFormat="1" ht="58.6" customHeight="1">
      <c r="A56" s="3851"/>
      <c r="B56" s="3004" t="str">
        <f t="shared" si="0"/>
        <v>2000003241</v>
      </c>
      <c r="C56" s="3009" t="s">
        <v>3499</v>
      </c>
      <c r="D56" s="1903"/>
      <c r="E56" s="1921"/>
      <c r="F56" s="1545" t="s">
        <v>20</v>
      </c>
      <c r="G56" s="1495"/>
      <c r="H56" s="1495"/>
      <c r="I56" s="1495"/>
      <c r="J56" s="1493" t="s">
        <v>65</v>
      </c>
      <c r="K56" s="1495" t="s">
        <v>1179</v>
      </c>
      <c r="L56" s="1600" t="s">
        <v>8509</v>
      </c>
      <c r="M56" s="3037">
        <v>270</v>
      </c>
      <c r="N56" s="2385" t="s">
        <v>5392</v>
      </c>
      <c r="O56" s="3009">
        <v>37</v>
      </c>
      <c r="P56" s="3009"/>
      <c r="Q56" s="2590"/>
      <c r="R56" s="3045">
        <v>1</v>
      </c>
    </row>
    <row r="57" spans="1:29" s="1467" customFormat="1" ht="58.6" customHeight="1">
      <c r="A57" s="3851"/>
      <c r="B57" s="3004" t="str">
        <f t="shared" si="0"/>
        <v>2200002124</v>
      </c>
      <c r="C57" s="3009" t="s">
        <v>3499</v>
      </c>
      <c r="D57" s="3006"/>
      <c r="E57" s="3021"/>
      <c r="F57" s="3009" t="s">
        <v>20</v>
      </c>
      <c r="G57" s="3007"/>
      <c r="H57" s="3007"/>
      <c r="I57" s="3045"/>
      <c r="J57" s="1493" t="s">
        <v>65</v>
      </c>
      <c r="K57" s="1495" t="s">
        <v>1179</v>
      </c>
      <c r="L57" s="1600" t="s">
        <v>8510</v>
      </c>
      <c r="M57" s="3037">
        <v>1400</v>
      </c>
      <c r="N57" s="3016" t="s">
        <v>5230</v>
      </c>
      <c r="O57" s="3009">
        <v>37</v>
      </c>
      <c r="P57" s="3009"/>
      <c r="Q57" s="2590"/>
      <c r="R57" s="3045">
        <v>1</v>
      </c>
      <c r="S57" s="1790"/>
      <c r="T57" s="1790"/>
      <c r="U57" s="1548"/>
      <c r="V57" s="1548"/>
      <c r="W57" s="1548"/>
      <c r="X57" s="1548"/>
      <c r="Y57" s="1548"/>
      <c r="Z57" s="1548"/>
      <c r="AA57" s="1548"/>
      <c r="AB57" s="1548"/>
      <c r="AC57" s="1548"/>
    </row>
    <row r="58" spans="1:29" s="1467" customFormat="1" ht="58.6" customHeight="1">
      <c r="A58" s="3852"/>
      <c r="B58" s="3004" t="str">
        <f t="shared" si="0"/>
        <v>2200002159</v>
      </c>
      <c r="C58" s="3009" t="s">
        <v>3499</v>
      </c>
      <c r="D58" s="3006"/>
      <c r="E58" s="3021"/>
      <c r="F58" s="3009" t="s">
        <v>20</v>
      </c>
      <c r="G58" s="3007"/>
      <c r="H58" s="3007"/>
      <c r="I58" s="3007"/>
      <c r="J58" s="1493" t="s">
        <v>65</v>
      </c>
      <c r="K58" s="1495" t="s">
        <v>1179</v>
      </c>
      <c r="L58" s="2878" t="s">
        <v>8511</v>
      </c>
      <c r="M58" s="3085">
        <v>400</v>
      </c>
      <c r="N58" s="2385" t="s">
        <v>5392</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50">
        <v>13</v>
      </c>
      <c r="B59" s="3004" t="str">
        <f t="shared" si="0"/>
        <v>2000003295</v>
      </c>
      <c r="C59" s="3025" t="s">
        <v>8512</v>
      </c>
      <c r="D59" s="3020">
        <f>SUM(M59:M62)</f>
        <v>10900</v>
      </c>
      <c r="E59" s="3021" t="s">
        <v>8513</v>
      </c>
      <c r="F59" s="3019" t="s">
        <v>24</v>
      </c>
      <c r="G59" s="3007" t="s">
        <v>8514</v>
      </c>
      <c r="H59" s="3007"/>
      <c r="I59" s="1495" t="s">
        <v>7249</v>
      </c>
      <c r="J59" s="3009" t="s">
        <v>65</v>
      </c>
      <c r="K59" s="3007" t="s">
        <v>106</v>
      </c>
      <c r="L59" s="2878" t="s">
        <v>8515</v>
      </c>
      <c r="M59" s="3040">
        <v>7000</v>
      </c>
      <c r="N59" s="2907" t="s">
        <v>5392</v>
      </c>
      <c r="O59" s="3009">
        <v>36</v>
      </c>
      <c r="P59" s="3009"/>
      <c r="Q59" s="3059" t="s">
        <v>8516</v>
      </c>
      <c r="R59" s="3045">
        <v>1</v>
      </c>
      <c r="S59" s="1548" t="s">
        <v>8517</v>
      </c>
      <c r="T59" s="1548">
        <v>2000003295</v>
      </c>
      <c r="U59" s="1493">
        <f>VLOOKUP(T59,'PKH UPDATE'!A:D,2,0)</f>
        <v>6888</v>
      </c>
      <c r="V59" s="1493">
        <f>VLOOKUP(T59,'PKH UPDATE'!A:D,3,0)</f>
        <v>5818</v>
      </c>
      <c r="W59" s="1493">
        <f>VLOOKUP(T59,'PKH UPDATE'!A:D,4,0)</f>
        <v>1070</v>
      </c>
    </row>
    <row r="60" spans="1:29" s="1548" customFormat="1" ht="72" customHeight="1">
      <c r="A60" s="3851"/>
      <c r="B60" s="3004" t="str">
        <f t="shared" si="0"/>
        <v>2000003256</v>
      </c>
      <c r="C60" s="3028" t="s">
        <v>8512</v>
      </c>
      <c r="D60" s="1903"/>
      <c r="E60" s="1921"/>
      <c r="F60" s="3009" t="s">
        <v>24</v>
      </c>
      <c r="G60" s="1495"/>
      <c r="H60" s="1495"/>
      <c r="I60" s="1495" t="s">
        <v>7249</v>
      </c>
      <c r="J60" s="1493" t="s">
        <v>65</v>
      </c>
      <c r="K60" s="1495" t="s">
        <v>106</v>
      </c>
      <c r="L60" s="2878" t="s">
        <v>8518</v>
      </c>
      <c r="M60" s="3037">
        <v>500</v>
      </c>
      <c r="N60" s="2907" t="s">
        <v>5392</v>
      </c>
      <c r="O60" s="3009">
        <v>36</v>
      </c>
      <c r="P60" s="3009"/>
      <c r="Q60" s="3060" t="s">
        <v>8519</v>
      </c>
      <c r="R60" s="3045">
        <v>1</v>
      </c>
      <c r="T60" s="1548">
        <v>2000003256</v>
      </c>
      <c r="U60" s="1493">
        <f>VLOOKUP(T60,'PKH UPDATE'!A:D,2,0)</f>
        <v>326</v>
      </c>
      <c r="V60" s="1493">
        <f>VLOOKUP(T60,'PKH UPDATE'!A:D,3,0)</f>
        <v>0</v>
      </c>
      <c r="W60" s="1493">
        <f>VLOOKUP(T60,'PKH UPDATE'!A:D,4,0)</f>
        <v>326</v>
      </c>
    </row>
    <row r="61" spans="1:29" s="1548" customFormat="1" ht="58.6" customHeight="1">
      <c r="A61" s="3851"/>
      <c r="B61" s="3004" t="str">
        <f t="shared" si="0"/>
        <v>2000003186</v>
      </c>
      <c r="C61" s="3028" t="s">
        <v>8512</v>
      </c>
      <c r="D61" s="3037"/>
      <c r="E61" s="1921"/>
      <c r="F61" s="3009" t="s">
        <v>24</v>
      </c>
      <c r="G61" s="1495"/>
      <c r="H61" s="1495"/>
      <c r="I61" s="1495" t="s">
        <v>7249</v>
      </c>
      <c r="J61" s="1493" t="s">
        <v>65</v>
      </c>
      <c r="K61" s="1495" t="s">
        <v>5400</v>
      </c>
      <c r="L61" s="1843" t="s">
        <v>8520</v>
      </c>
      <c r="M61" s="3037">
        <v>2500</v>
      </c>
      <c r="N61" s="2907" t="s">
        <v>5392</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6" customHeight="1">
      <c r="A62" s="3852"/>
      <c r="B62" s="3004" t="str">
        <f t="shared" si="0"/>
        <v>2000003189</v>
      </c>
      <c r="C62" s="3028" t="s">
        <v>8512</v>
      </c>
      <c r="D62" s="3037"/>
      <c r="E62" s="1921"/>
      <c r="F62" s="3009" t="s">
        <v>24</v>
      </c>
      <c r="G62" s="1495"/>
      <c r="H62" s="1495"/>
      <c r="I62" s="1495" t="s">
        <v>7249</v>
      </c>
      <c r="J62" s="1493" t="s">
        <v>65</v>
      </c>
      <c r="K62" s="1495" t="s">
        <v>5400</v>
      </c>
      <c r="L62" s="1843" t="s">
        <v>8521</v>
      </c>
      <c r="M62" s="3037">
        <v>900</v>
      </c>
      <c r="N62" s="2907" t="s">
        <v>5392</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6" customHeight="1">
      <c r="A63" s="3872">
        <v>14</v>
      </c>
      <c r="B63" s="3004" t="str">
        <f t="shared" si="0"/>
        <v>2000003306</v>
      </c>
      <c r="C63" s="3019" t="s">
        <v>5832</v>
      </c>
      <c r="D63" s="3006">
        <v>4350</v>
      </c>
      <c r="E63" s="3064" t="s">
        <v>8522</v>
      </c>
      <c r="F63" s="3009" t="s">
        <v>20</v>
      </c>
      <c r="G63" s="3007" t="s">
        <v>8523</v>
      </c>
      <c r="H63" s="3007"/>
      <c r="I63" s="3058" t="s">
        <v>7249</v>
      </c>
      <c r="J63" s="3008" t="s">
        <v>65</v>
      </c>
      <c r="K63" s="3007" t="s">
        <v>117</v>
      </c>
      <c r="L63" s="2878" t="s">
        <v>8524</v>
      </c>
      <c r="M63" s="3040">
        <f>4350-M64</f>
        <v>3620</v>
      </c>
      <c r="N63" s="2907" t="s">
        <v>5392</v>
      </c>
      <c r="O63" s="3009"/>
      <c r="P63" s="3009"/>
      <c r="Q63" s="1745" t="s">
        <v>8525</v>
      </c>
      <c r="R63" s="3045">
        <v>2</v>
      </c>
    </row>
    <row r="64" spans="1:29" s="1467" customFormat="1" ht="58.6" customHeight="1">
      <c r="A64" s="3871"/>
      <c r="B64" s="3004" t="str">
        <f t="shared" si="0"/>
        <v>2200002165</v>
      </c>
      <c r="C64" s="3009" t="s">
        <v>5832</v>
      </c>
      <c r="D64" s="3006"/>
      <c r="E64" s="3064"/>
      <c r="F64" s="3009" t="s">
        <v>20</v>
      </c>
      <c r="G64" s="3007"/>
      <c r="H64" s="3007"/>
      <c r="I64" s="3058" t="s">
        <v>7249</v>
      </c>
      <c r="J64" s="3008" t="s">
        <v>65</v>
      </c>
      <c r="K64" s="3007" t="s">
        <v>117</v>
      </c>
      <c r="L64" s="1600" t="s">
        <v>8526</v>
      </c>
      <c r="M64" s="3061">
        <v>730</v>
      </c>
      <c r="N64" s="2907" t="s">
        <v>5392</v>
      </c>
      <c r="O64" s="3009"/>
      <c r="P64" s="3009"/>
      <c r="Q64" s="2590"/>
      <c r="R64" s="3045">
        <v>2</v>
      </c>
      <c r="S64" s="1548"/>
      <c r="T64" s="1548"/>
      <c r="U64" s="1548"/>
      <c r="V64" s="1548"/>
      <c r="W64" s="1548"/>
      <c r="X64" s="1548"/>
      <c r="Y64" s="1548"/>
      <c r="Z64" s="1548"/>
      <c r="AA64" s="1548"/>
      <c r="AB64" s="1548"/>
      <c r="AC64" s="1548"/>
    </row>
    <row r="65" spans="1:30" s="1548" customFormat="1" ht="58.6" customHeight="1">
      <c r="A65" s="3872" t="s">
        <v>2092</v>
      </c>
      <c r="B65" s="3004" t="str">
        <f t="shared" si="0"/>
        <v>2000003288</v>
      </c>
      <c r="C65" s="3019" t="s">
        <v>5480</v>
      </c>
      <c r="D65" s="3020">
        <f>SUM(M65:M72)</f>
        <v>23815</v>
      </c>
      <c r="E65" s="3021" t="s">
        <v>8527</v>
      </c>
      <c r="F65" s="3019" t="s">
        <v>14</v>
      </c>
      <c r="G65" s="3021" t="s">
        <v>8528</v>
      </c>
      <c r="H65" s="3021"/>
      <c r="I65" s="3073" t="s">
        <v>7249</v>
      </c>
      <c r="J65" s="3008" t="s">
        <v>65</v>
      </c>
      <c r="K65" s="3007" t="s">
        <v>106</v>
      </c>
      <c r="L65" s="2878" t="s">
        <v>8529</v>
      </c>
      <c r="M65" s="3040">
        <v>6895</v>
      </c>
      <c r="N65" s="3016" t="s">
        <v>5230</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6" customHeight="1">
      <c r="A66" s="3870"/>
      <c r="B66" s="3004" t="str">
        <f t="shared" si="0"/>
        <v>2000003296</v>
      </c>
      <c r="C66" s="3009" t="s">
        <v>5480</v>
      </c>
      <c r="D66" s="3006"/>
      <c r="E66" s="3021"/>
      <c r="F66" s="3009" t="s">
        <v>14</v>
      </c>
      <c r="G66" s="3007"/>
      <c r="H66" s="3007"/>
      <c r="I66" s="1495" t="s">
        <v>7249</v>
      </c>
      <c r="J66" s="3009" t="s">
        <v>65</v>
      </c>
      <c r="K66" s="3068" t="s">
        <v>106</v>
      </c>
      <c r="L66" s="2878" t="s">
        <v>8530</v>
      </c>
      <c r="M66" s="3038">
        <v>4000</v>
      </c>
      <c r="N66" s="2907" t="s">
        <v>5392</v>
      </c>
      <c r="O66" s="3019">
        <v>30</v>
      </c>
      <c r="P66" s="3019"/>
      <c r="Q66" s="3010" t="s">
        <v>8531</v>
      </c>
      <c r="R66" s="3045">
        <v>1</v>
      </c>
      <c r="T66" s="1548">
        <v>2000003296</v>
      </c>
      <c r="U66" s="1493" t="e">
        <f>VLOOKUP(T66,'PKH UPDATE'!A:D,2,0)</f>
        <v>#N/A</v>
      </c>
      <c r="V66" s="1493" t="e">
        <f>VLOOKUP(T66,'PKH UPDATE'!A:D,3,0)</f>
        <v>#N/A</v>
      </c>
      <c r="W66" s="1493" t="e">
        <f>VLOOKUP(T66,'PKH UPDATE'!A:D,4,0)</f>
        <v>#N/A</v>
      </c>
    </row>
    <row r="67" spans="1:30" s="1548" customFormat="1" ht="58.6" customHeight="1">
      <c r="A67" s="3870"/>
      <c r="B67" s="3004" t="str">
        <f t="shared" si="0"/>
        <v>2000003189</v>
      </c>
      <c r="C67" s="3009" t="s">
        <v>5480</v>
      </c>
      <c r="D67" s="3037"/>
      <c r="E67" s="1921"/>
      <c r="F67" s="3009" t="s">
        <v>14</v>
      </c>
      <c r="G67" s="1495"/>
      <c r="H67" s="1495"/>
      <c r="I67" s="1495" t="s">
        <v>7249</v>
      </c>
      <c r="J67" s="1493" t="s">
        <v>65</v>
      </c>
      <c r="K67" s="1495" t="s">
        <v>5400</v>
      </c>
      <c r="L67" s="1843" t="s">
        <v>8532</v>
      </c>
      <c r="M67" s="3037">
        <v>3170</v>
      </c>
      <c r="N67" s="2907" t="s">
        <v>5392</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6" customHeight="1">
      <c r="A68" s="3870"/>
      <c r="B68" s="3024" t="str">
        <f t="shared" ref="B68:B131" si="1">TEXT(LEFT(L68,10),"0000000000")</f>
        <v>2000003300</v>
      </c>
      <c r="C68" s="3009" t="s">
        <v>5480</v>
      </c>
      <c r="D68" s="3074"/>
      <c r="E68" s="2187"/>
      <c r="F68" s="3009" t="s">
        <v>14</v>
      </c>
      <c r="G68" s="2187"/>
      <c r="H68" s="2187"/>
      <c r="I68" s="1495" t="s">
        <v>7249</v>
      </c>
      <c r="J68" s="2187" t="s">
        <v>65</v>
      </c>
      <c r="K68" s="2187" t="s">
        <v>164</v>
      </c>
      <c r="L68" s="3194" t="s">
        <v>8439</v>
      </c>
      <c r="M68" s="3075">
        <v>200</v>
      </c>
      <c r="N68" s="3016" t="s">
        <v>5230</v>
      </c>
      <c r="O68" s="3019">
        <v>30</v>
      </c>
      <c r="P68" s="3167"/>
      <c r="Q68" s="2593"/>
      <c r="R68" s="3045">
        <v>1</v>
      </c>
      <c r="U68" s="1493" t="e">
        <f>VLOOKUP(T68,'PKH UPDATE'!A:D,3,0)</f>
        <v>#N/A</v>
      </c>
      <c r="V68" s="1493" t="e">
        <f>VLOOKUP(T68,'PKH UPDATE'!A:D,3,0)</f>
        <v>#N/A</v>
      </c>
      <c r="W68" s="1493" t="e">
        <f>VLOOKUP(T68,'PKH UPDATE'!A:D,4,0)</f>
        <v>#N/A</v>
      </c>
    </row>
    <row r="69" spans="1:30" s="1548" customFormat="1" ht="58.6" customHeight="1">
      <c r="A69" s="3870"/>
      <c r="B69" s="3004" t="str">
        <f t="shared" si="1"/>
        <v>2000003278</v>
      </c>
      <c r="C69" s="3009" t="s">
        <v>5480</v>
      </c>
      <c r="D69" s="3006"/>
      <c r="E69" s="3021"/>
      <c r="F69" s="3009" t="s">
        <v>14</v>
      </c>
      <c r="G69" s="3007"/>
      <c r="H69" s="3007"/>
      <c r="I69" s="1495" t="s">
        <v>7249</v>
      </c>
      <c r="J69" s="3009" t="s">
        <v>65</v>
      </c>
      <c r="K69" s="3068" t="s">
        <v>164</v>
      </c>
      <c r="L69" s="2878" t="s">
        <v>8533</v>
      </c>
      <c r="M69" s="3038">
        <v>500</v>
      </c>
      <c r="N69" s="3016" t="s">
        <v>5230</v>
      </c>
      <c r="O69" s="3019">
        <v>30</v>
      </c>
      <c r="P69" s="3019"/>
      <c r="Q69" s="3010"/>
      <c r="R69" s="3045">
        <v>1</v>
      </c>
      <c r="U69" s="1493" t="e">
        <f>VLOOKUP(T69,'PKH UPDATE'!A:D,3,0)</f>
        <v>#N/A</v>
      </c>
      <c r="V69" s="1493" t="e">
        <f>VLOOKUP(T69,'PKH UPDATE'!A:D,3,0)</f>
        <v>#N/A</v>
      </c>
      <c r="W69" s="1493" t="e">
        <f>VLOOKUP(T69,'PKH UPDATE'!A:D,4,0)</f>
        <v>#N/A</v>
      </c>
    </row>
    <row r="70" spans="1:30" s="1548" customFormat="1" ht="58.6" customHeight="1">
      <c r="A70" s="3870"/>
      <c r="B70" s="3004" t="str">
        <f t="shared" si="1"/>
        <v>2000003301</v>
      </c>
      <c r="C70" s="3009" t="s">
        <v>5480</v>
      </c>
      <c r="D70" s="3076"/>
      <c r="E70" s="2187"/>
      <c r="F70" s="3009" t="s">
        <v>14</v>
      </c>
      <c r="G70" s="1543"/>
      <c r="H70" s="1543"/>
      <c r="I70" s="1495" t="s">
        <v>7249</v>
      </c>
      <c r="J70" s="1543" t="s">
        <v>65</v>
      </c>
      <c r="K70" s="1543" t="s">
        <v>164</v>
      </c>
      <c r="L70" s="3056" t="s">
        <v>8441</v>
      </c>
      <c r="M70" s="3077">
        <v>472</v>
      </c>
      <c r="N70" s="3016" t="s">
        <v>8442</v>
      </c>
      <c r="O70" s="3019">
        <v>30</v>
      </c>
      <c r="P70" s="3167"/>
      <c r="Q70" s="2591"/>
      <c r="R70" s="3045">
        <v>1</v>
      </c>
      <c r="U70" s="1493" t="e">
        <f>VLOOKUP(T70,'PKH UPDATE'!A:D,3,0)</f>
        <v>#N/A</v>
      </c>
      <c r="V70" s="1493" t="e">
        <f>VLOOKUP(T70,'PKH UPDATE'!A:D,3,0)</f>
        <v>#N/A</v>
      </c>
      <c r="W70" s="1493" t="e">
        <f>VLOOKUP(T70,'PKH UPDATE'!A:D,4,0)</f>
        <v>#N/A</v>
      </c>
    </row>
    <row r="71" spans="1:30" s="1548" customFormat="1" ht="58.6" customHeight="1">
      <c r="A71" s="3870"/>
      <c r="B71" s="3004" t="str">
        <f t="shared" si="1"/>
        <v>2200002097</v>
      </c>
      <c r="C71" s="3009" t="s">
        <v>5480</v>
      </c>
      <c r="D71" s="3037"/>
      <c r="E71" s="1921"/>
      <c r="F71" s="3009" t="s">
        <v>14</v>
      </c>
      <c r="G71" s="1495"/>
      <c r="H71" s="1495"/>
      <c r="I71" s="1495" t="s">
        <v>7249</v>
      </c>
      <c r="J71" s="1493" t="s">
        <v>65</v>
      </c>
      <c r="K71" s="1495" t="s">
        <v>1271</v>
      </c>
      <c r="L71" s="2878" t="s">
        <v>8534</v>
      </c>
      <c r="M71" s="3037">
        <v>1800</v>
      </c>
      <c r="N71" s="3007" t="s">
        <v>8535</v>
      </c>
      <c r="O71" s="1493"/>
      <c r="P71" s="1493"/>
      <c r="Q71" s="2590" t="s">
        <v>8536</v>
      </c>
      <c r="R71" s="1748">
        <v>2</v>
      </c>
      <c r="S71" s="1790"/>
      <c r="T71" s="1790">
        <v>2200002097</v>
      </c>
      <c r="U71" s="1493">
        <f>VLOOKUP(T71,'PKH UPDATE'!A:D,2,0)</f>
        <v>6537</v>
      </c>
      <c r="V71" s="1493">
        <f>VLOOKUP(T71,'PKH UPDATE'!A:D,3,0)</f>
        <v>4089</v>
      </c>
      <c r="W71" s="1493">
        <f>VLOOKUP(T71,'PKH UPDATE'!A:D,4,0)</f>
        <v>2448</v>
      </c>
    </row>
    <row r="72" spans="1:30" s="1548" customFormat="1" ht="58.6" customHeight="1">
      <c r="A72" s="3871"/>
      <c r="B72" s="3004" t="str">
        <f t="shared" si="1"/>
        <v>2000003253</v>
      </c>
      <c r="C72" s="3009" t="s">
        <v>5480</v>
      </c>
      <c r="D72" s="3020"/>
      <c r="E72" s="3021"/>
      <c r="F72" s="3019" t="s">
        <v>14</v>
      </c>
      <c r="G72" s="3021"/>
      <c r="H72" s="3021"/>
      <c r="I72" s="1495" t="s">
        <v>7249</v>
      </c>
      <c r="J72" s="3008" t="s">
        <v>65</v>
      </c>
      <c r="K72" s="3007" t="s">
        <v>164</v>
      </c>
      <c r="L72" s="2878" t="s">
        <v>8537</v>
      </c>
      <c r="M72" s="3040">
        <v>6778</v>
      </c>
      <c r="N72" s="3016" t="s">
        <v>5230</v>
      </c>
      <c r="O72" s="3019">
        <v>30</v>
      </c>
      <c r="P72" s="3019"/>
      <c r="Q72" s="2590" t="s">
        <v>8536</v>
      </c>
      <c r="R72" s="3045">
        <v>1</v>
      </c>
      <c r="U72" s="1493" t="e">
        <f>VLOOKUP(T72,'PKH UPDATE'!A:D,3,0)</f>
        <v>#N/A</v>
      </c>
      <c r="V72" s="1493" t="e">
        <f>VLOOKUP(T72,'PKH UPDATE'!A:D,3,0)</f>
        <v>#N/A</v>
      </c>
      <c r="W72" s="1493" t="e">
        <f>VLOOKUP(T72,'PKH UPDATE'!A:D,4,0)</f>
        <v>#N/A</v>
      </c>
    </row>
    <row r="73" spans="1:30" s="2150" customFormat="1" ht="58.6" customHeight="1">
      <c r="A73" s="3850">
        <v>16</v>
      </c>
      <c r="B73" s="3004" t="str">
        <f t="shared" si="1"/>
        <v>2200002138</v>
      </c>
      <c r="C73" s="3021" t="s">
        <v>8538</v>
      </c>
      <c r="D73" s="3020">
        <v>3423</v>
      </c>
      <c r="E73" s="3046" t="s">
        <v>8539</v>
      </c>
      <c r="F73" s="3019" t="s">
        <v>20</v>
      </c>
      <c r="G73" s="3021"/>
      <c r="H73" s="3021"/>
      <c r="I73" s="1495" t="s">
        <v>7249</v>
      </c>
      <c r="J73" s="1902" t="s">
        <v>65</v>
      </c>
      <c r="K73" s="1921" t="s">
        <v>142</v>
      </c>
      <c r="L73" s="1845" t="s">
        <v>8540</v>
      </c>
      <c r="M73" s="3041">
        <v>800</v>
      </c>
      <c r="N73" s="3016" t="s">
        <v>7407</v>
      </c>
      <c r="O73" s="3019">
        <v>25</v>
      </c>
      <c r="P73" s="3019"/>
      <c r="Q73" s="3023"/>
      <c r="R73" s="3045">
        <v>1</v>
      </c>
    </row>
    <row r="74" spans="1:30" s="2643" customFormat="1" ht="58.6" customHeight="1">
      <c r="A74" s="3851"/>
      <c r="B74" s="3004" t="str">
        <f t="shared" si="1"/>
        <v>2200002113</v>
      </c>
      <c r="C74" s="3021" t="s">
        <v>8538</v>
      </c>
      <c r="D74" s="3020"/>
      <c r="E74" s="3046"/>
      <c r="F74" s="3019" t="s">
        <v>20</v>
      </c>
      <c r="G74" s="3021"/>
      <c r="H74" s="3021"/>
      <c r="I74" s="1495" t="s">
        <v>7249</v>
      </c>
      <c r="J74" s="1902" t="s">
        <v>65</v>
      </c>
      <c r="K74" s="1921" t="s">
        <v>142</v>
      </c>
      <c r="L74" s="1600" t="s">
        <v>8541</v>
      </c>
      <c r="M74" s="1826">
        <v>423</v>
      </c>
      <c r="N74" s="2749" t="s">
        <v>8542</v>
      </c>
      <c r="O74" s="1493"/>
      <c r="P74" s="1493"/>
      <c r="Q74" s="1843"/>
      <c r="R74" s="1748">
        <v>2</v>
      </c>
      <c r="S74" s="1790"/>
      <c r="T74" s="3053"/>
      <c r="U74" s="1467"/>
      <c r="V74" s="1467"/>
      <c r="W74" s="1467"/>
      <c r="X74" s="1467"/>
      <c r="Y74" s="1467"/>
      <c r="Z74" s="1467"/>
      <c r="AA74" s="1467"/>
      <c r="AB74" s="1467"/>
      <c r="AC74" s="1467"/>
    </row>
    <row r="75" spans="1:30" s="2150" customFormat="1" ht="58.6" customHeight="1">
      <c r="A75" s="3851"/>
      <c r="B75" s="3004" t="str">
        <f t="shared" si="1"/>
        <v>2000003279</v>
      </c>
      <c r="C75" s="3021" t="s">
        <v>8538</v>
      </c>
      <c r="D75" s="3006"/>
      <c r="E75" s="3021"/>
      <c r="F75" s="3009" t="s">
        <v>20</v>
      </c>
      <c r="G75" s="3007"/>
      <c r="H75" s="3007"/>
      <c r="I75" s="1495" t="s">
        <v>7249</v>
      </c>
      <c r="J75" s="3009" t="s">
        <v>65</v>
      </c>
      <c r="K75" s="3068" t="s">
        <v>117</v>
      </c>
      <c r="L75" s="2878" t="s">
        <v>8543</v>
      </c>
      <c r="M75" s="3038">
        <v>2000</v>
      </c>
      <c r="N75" s="3016" t="s">
        <v>7407</v>
      </c>
      <c r="O75" s="3019">
        <v>25</v>
      </c>
      <c r="P75" s="3019"/>
      <c r="Q75" s="3010"/>
      <c r="R75" s="3045">
        <v>1</v>
      </c>
      <c r="S75" s="1548"/>
      <c r="T75" s="1548"/>
      <c r="U75" s="1548"/>
      <c r="V75" s="1548"/>
      <c r="W75" s="1548"/>
      <c r="X75" s="1548"/>
      <c r="Y75" s="1548"/>
      <c r="Z75" s="1548"/>
      <c r="AA75" s="1548"/>
      <c r="AB75" s="1548"/>
      <c r="AC75" s="1548"/>
    </row>
    <row r="76" spans="1:30" s="1467" customFormat="1" ht="58.6" customHeight="1">
      <c r="A76" s="3852"/>
      <c r="B76" s="3004" t="str">
        <f t="shared" si="1"/>
        <v>2200002160</v>
      </c>
      <c r="C76" s="3021" t="s">
        <v>8538</v>
      </c>
      <c r="D76" s="3006"/>
      <c r="E76" s="3021"/>
      <c r="F76" s="3009" t="s">
        <v>20</v>
      </c>
      <c r="G76" s="3007"/>
      <c r="H76" s="3007"/>
      <c r="I76" s="1495" t="s">
        <v>7249</v>
      </c>
      <c r="J76" s="3009" t="s">
        <v>65</v>
      </c>
      <c r="K76" s="3007" t="s">
        <v>117</v>
      </c>
      <c r="L76" s="2878" t="s">
        <v>8544</v>
      </c>
      <c r="M76" s="3085">
        <v>22</v>
      </c>
      <c r="N76" s="3016" t="s">
        <v>8545</v>
      </c>
      <c r="O76" s="3009">
        <v>37</v>
      </c>
      <c r="P76" s="3009"/>
      <c r="Q76" s="3010"/>
      <c r="R76" s="3045">
        <v>1</v>
      </c>
      <c r="S76" s="1548"/>
      <c r="T76" s="1548"/>
      <c r="U76" s="1548"/>
      <c r="V76" s="1548"/>
      <c r="W76" s="1548"/>
      <c r="X76" s="1548"/>
      <c r="Y76" s="1548"/>
      <c r="Z76" s="1548"/>
      <c r="AA76" s="1548"/>
      <c r="AB76" s="1548"/>
      <c r="AC76" s="1548"/>
    </row>
    <row r="77" spans="1:30" s="2150" customFormat="1" ht="55.55" customHeight="1">
      <c r="A77" s="3048">
        <v>17</v>
      </c>
      <c r="B77" s="3024" t="str">
        <f t="shared" si="1"/>
        <v>2000003282</v>
      </c>
      <c r="C77" s="3019" t="s">
        <v>125</v>
      </c>
      <c r="D77" s="3020">
        <v>4250</v>
      </c>
      <c r="E77" s="3021" t="s">
        <v>8546</v>
      </c>
      <c r="F77" s="3019" t="s">
        <v>22</v>
      </c>
      <c r="G77" s="3021" t="s">
        <v>8547</v>
      </c>
      <c r="H77" s="3021"/>
      <c r="I77" s="1495" t="s">
        <v>7249</v>
      </c>
      <c r="J77" s="3027" t="s">
        <v>65</v>
      </c>
      <c r="K77" s="3021" t="s">
        <v>66</v>
      </c>
      <c r="L77" s="2904" t="s">
        <v>8548</v>
      </c>
      <c r="M77" s="3036">
        <v>4250</v>
      </c>
      <c r="N77" s="3016">
        <v>0</v>
      </c>
      <c r="O77" s="3009">
        <v>37</v>
      </c>
      <c r="P77" s="3009"/>
      <c r="Q77" s="3023" t="s">
        <v>8549</v>
      </c>
      <c r="R77" s="3045">
        <v>1</v>
      </c>
    </row>
    <row r="78" spans="1:30" s="2643" customFormat="1" ht="55.55" customHeight="1">
      <c r="A78" s="2436">
        <v>18</v>
      </c>
      <c r="B78" s="3024" t="str">
        <f t="shared" si="1"/>
        <v>2200002151</v>
      </c>
      <c r="C78" s="1902" t="s">
        <v>8550</v>
      </c>
      <c r="D78" s="2607">
        <v>4200</v>
      </c>
      <c r="E78" s="1921" t="s">
        <v>8551</v>
      </c>
      <c r="F78" s="1902" t="s">
        <v>18</v>
      </c>
      <c r="G78" s="1921" t="s">
        <v>8552</v>
      </c>
      <c r="H78" s="1921"/>
      <c r="I78" s="1921" t="s">
        <v>7249</v>
      </c>
      <c r="J78" s="1902" t="s">
        <v>65</v>
      </c>
      <c r="K78" s="1561" t="s">
        <v>1000</v>
      </c>
      <c r="L78" s="3195" t="s">
        <v>8553</v>
      </c>
      <c r="M78" s="3047">
        <v>4200</v>
      </c>
      <c r="N78" s="2907" t="s">
        <v>7407</v>
      </c>
      <c r="O78" s="2429">
        <v>25</v>
      </c>
      <c r="P78" s="2429"/>
      <c r="Q78" s="2290"/>
      <c r="R78" s="1909">
        <v>2</v>
      </c>
      <c r="S78" s="2150"/>
      <c r="T78" s="2150"/>
      <c r="U78" s="2150"/>
      <c r="V78" s="2150"/>
      <c r="W78" s="2150"/>
      <c r="X78" s="2150"/>
      <c r="Y78" s="2150"/>
      <c r="Z78" s="2150"/>
      <c r="AA78" s="2150"/>
      <c r="AB78" s="2150"/>
      <c r="AC78" s="2150"/>
    </row>
    <row r="79" spans="1:30" s="2643" customFormat="1" ht="55.55" customHeight="1">
      <c r="A79" s="3850">
        <v>19</v>
      </c>
      <c r="B79" s="3024" t="str">
        <f t="shared" si="1"/>
        <v>2000003187</v>
      </c>
      <c r="C79" s="1902" t="s">
        <v>6985</v>
      </c>
      <c r="D79" s="3020">
        <v>4250</v>
      </c>
      <c r="E79" s="3021" t="s">
        <v>8482</v>
      </c>
      <c r="F79" s="1902" t="s">
        <v>22</v>
      </c>
      <c r="G79" s="3021" t="s">
        <v>8554</v>
      </c>
      <c r="H79" s="3021"/>
      <c r="I79" s="1921" t="s">
        <v>7249</v>
      </c>
      <c r="J79" s="1902" t="s">
        <v>65</v>
      </c>
      <c r="K79" s="1921" t="s">
        <v>1179</v>
      </c>
      <c r="L79" s="2194" t="s">
        <v>8555</v>
      </c>
      <c r="M79" s="3062">
        <v>3645</v>
      </c>
      <c r="N79" s="2907" t="s">
        <v>5392</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5" customHeight="1">
      <c r="A80" s="3852"/>
      <c r="B80" s="3004" t="str">
        <f t="shared" si="1"/>
        <v>2000003246</v>
      </c>
      <c r="C80" s="1493" t="s">
        <v>6985</v>
      </c>
      <c r="D80" s="3020"/>
      <c r="E80" s="3021"/>
      <c r="F80" s="1493" t="s">
        <v>22</v>
      </c>
      <c r="G80" s="3021"/>
      <c r="H80" s="3021"/>
      <c r="I80" s="1495" t="s">
        <v>7249</v>
      </c>
      <c r="J80" s="1493" t="s">
        <v>65</v>
      </c>
      <c r="K80" s="1921" t="s">
        <v>1179</v>
      </c>
      <c r="L80" s="1496" t="s">
        <v>8556</v>
      </c>
      <c r="M80" s="3063">
        <v>605</v>
      </c>
      <c r="N80" s="2584" t="s">
        <v>7479</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5" customHeight="1">
      <c r="A81" s="3879">
        <v>20</v>
      </c>
      <c r="B81" s="3087" t="str">
        <f t="shared" si="1"/>
        <v>2000003187</v>
      </c>
      <c r="C81" s="2180" t="s">
        <v>8557</v>
      </c>
      <c r="D81" s="3062">
        <v>10679</v>
      </c>
      <c r="E81" s="2180" t="s">
        <v>8558</v>
      </c>
      <c r="F81" s="2667" t="s">
        <v>18</v>
      </c>
      <c r="G81" s="2180"/>
      <c r="H81" s="2180"/>
      <c r="I81" s="2180" t="s">
        <v>7249</v>
      </c>
      <c r="J81" s="1902" t="s">
        <v>1653</v>
      </c>
      <c r="K81" s="1921" t="s">
        <v>1179</v>
      </c>
      <c r="L81" s="2194" t="s">
        <v>8559</v>
      </c>
      <c r="M81" s="3062">
        <v>776</v>
      </c>
      <c r="N81" s="2907" t="s">
        <v>5392</v>
      </c>
      <c r="O81" s="2667">
        <v>36</v>
      </c>
      <c r="P81" s="2667"/>
      <c r="R81" s="3101">
        <v>2</v>
      </c>
      <c r="S81" s="2667"/>
      <c r="T81" s="2667">
        <v>2000003187</v>
      </c>
      <c r="U81" s="1493">
        <f>VLOOKUP(T81,'PKH UPDATE'!A:D,2,0)</f>
        <v>4349</v>
      </c>
      <c r="V81" s="1493">
        <f>VLOOKUP(T81,'PKH UPDATE'!A:D,3,0)</f>
        <v>1890</v>
      </c>
      <c r="W81" s="1493">
        <f>VLOOKUP(T81,'PKH UPDATE'!A:D,4,0)</f>
        <v>2459</v>
      </c>
    </row>
    <row r="82" spans="1:30" s="2676" customFormat="1" ht="55.55" customHeight="1">
      <c r="A82" s="3880"/>
      <c r="B82" s="3088" t="str">
        <f t="shared" si="1"/>
        <v>2000003182</v>
      </c>
      <c r="C82" s="1780" t="s">
        <v>8149</v>
      </c>
      <c r="D82" s="3089"/>
      <c r="E82" s="2180"/>
      <c r="F82" s="1782" t="s">
        <v>18</v>
      </c>
      <c r="G82" s="1780"/>
      <c r="H82" s="1780"/>
      <c r="I82" s="1780" t="s">
        <v>7249</v>
      </c>
      <c r="J82" s="1493" t="s">
        <v>1653</v>
      </c>
      <c r="K82" s="1921" t="s">
        <v>1179</v>
      </c>
      <c r="L82" s="1496" t="s">
        <v>8560</v>
      </c>
      <c r="M82" s="3063">
        <v>351</v>
      </c>
      <c r="N82" s="2584" t="s">
        <v>7407</v>
      </c>
      <c r="O82" s="2667">
        <v>36</v>
      </c>
      <c r="P82" s="2667"/>
      <c r="Q82" s="2660"/>
      <c r="R82" s="3101">
        <v>2</v>
      </c>
      <c r="S82" s="2667"/>
      <c r="T82" s="2667"/>
      <c r="U82" s="2660"/>
      <c r="V82" s="2660"/>
      <c r="W82" s="2660"/>
      <c r="X82" s="2660"/>
      <c r="Y82" s="2660"/>
      <c r="Z82" s="2660"/>
      <c r="AA82" s="2660"/>
      <c r="AB82" s="2660"/>
      <c r="AC82" s="2660"/>
    </row>
    <row r="83" spans="1:30" s="2660" customFormat="1" ht="55.55" customHeight="1">
      <c r="A83" s="3880"/>
      <c r="B83" s="3088" t="str">
        <f t="shared" si="1"/>
        <v>2200002146</v>
      </c>
      <c r="C83" s="1780" t="s">
        <v>8149</v>
      </c>
      <c r="D83" s="3089"/>
      <c r="E83" s="2180"/>
      <c r="F83" s="1782" t="s">
        <v>18</v>
      </c>
      <c r="G83" s="1780"/>
      <c r="H83" s="1780"/>
      <c r="I83" s="1780" t="s">
        <v>7249</v>
      </c>
      <c r="J83" s="1493" t="s">
        <v>1653</v>
      </c>
      <c r="K83" s="1921" t="s">
        <v>1179</v>
      </c>
      <c r="L83" s="3090" t="s">
        <v>8561</v>
      </c>
      <c r="M83" s="3091">
        <v>801</v>
      </c>
      <c r="N83" s="2584" t="s">
        <v>7479</v>
      </c>
      <c r="O83" s="2667">
        <v>36</v>
      </c>
      <c r="P83" s="2667"/>
      <c r="R83" s="3101">
        <v>2</v>
      </c>
      <c r="S83" s="2667"/>
      <c r="T83" s="2667">
        <v>2200002146</v>
      </c>
      <c r="U83" s="1493">
        <f>VLOOKUP(T83,'PKH UPDATE'!A:D,2,0)</f>
        <v>1541</v>
      </c>
      <c r="V83" s="1493">
        <f>VLOOKUP(T83,'PKH UPDATE'!A:D,3,0)</f>
        <v>1518</v>
      </c>
      <c r="W83" s="1493">
        <f>VLOOKUP(T83,'PKH UPDATE'!A:D,4,0)</f>
        <v>23</v>
      </c>
    </row>
    <row r="84" spans="1:30" s="2676" customFormat="1" ht="50.3" customHeight="1">
      <c r="A84" s="3880"/>
      <c r="B84" s="3088" t="str">
        <f t="shared" si="1"/>
        <v>2200002178</v>
      </c>
      <c r="C84" s="1780" t="s">
        <v>8149</v>
      </c>
      <c r="D84" s="3089"/>
      <c r="E84" s="2180"/>
      <c r="F84" s="1782" t="s">
        <v>18</v>
      </c>
      <c r="G84" s="1780"/>
      <c r="H84" s="1780"/>
      <c r="I84" s="1780" t="s">
        <v>7249</v>
      </c>
      <c r="J84" s="1493" t="s">
        <v>1653</v>
      </c>
      <c r="K84" s="1921" t="s">
        <v>1179</v>
      </c>
      <c r="L84" s="1496" t="s">
        <v>8562</v>
      </c>
      <c r="M84" s="3063">
        <v>1378</v>
      </c>
      <c r="N84" s="2584" t="s">
        <v>8563</v>
      </c>
      <c r="O84" s="2667">
        <v>36</v>
      </c>
      <c r="P84" s="2667"/>
      <c r="Q84" s="2660"/>
      <c r="R84" s="3101">
        <v>2</v>
      </c>
      <c r="S84" s="2667"/>
      <c r="T84" s="2667"/>
      <c r="U84" s="2660"/>
      <c r="V84" s="2660"/>
      <c r="W84" s="2660"/>
      <c r="X84" s="2660"/>
      <c r="Y84" s="2660"/>
      <c r="Z84" s="2660"/>
      <c r="AA84" s="2660"/>
      <c r="AB84" s="2660"/>
      <c r="AC84" s="2660"/>
    </row>
    <row r="85" spans="1:30" s="2676" customFormat="1" ht="50.3" customHeight="1">
      <c r="A85" s="3880"/>
      <c r="B85" s="3088" t="str">
        <f t="shared" si="1"/>
        <v>2200002179</v>
      </c>
      <c r="C85" s="1780" t="s">
        <v>8149</v>
      </c>
      <c r="D85" s="3089"/>
      <c r="E85" s="2180"/>
      <c r="F85" s="1782" t="s">
        <v>18</v>
      </c>
      <c r="G85" s="1780"/>
      <c r="H85" s="1780"/>
      <c r="I85" s="1780" t="s">
        <v>7249</v>
      </c>
      <c r="J85" s="1493" t="s">
        <v>1653</v>
      </c>
      <c r="K85" s="1921" t="s">
        <v>1179</v>
      </c>
      <c r="L85" s="1496" t="s">
        <v>8564</v>
      </c>
      <c r="M85" s="3063">
        <v>2097</v>
      </c>
      <c r="N85" s="2907" t="s">
        <v>8426</v>
      </c>
      <c r="O85" s="2667">
        <v>36</v>
      </c>
      <c r="P85" s="2667"/>
      <c r="Q85" s="2660"/>
      <c r="R85" s="310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3" customHeight="1">
      <c r="A86" s="3880"/>
      <c r="B86" s="3088" t="str">
        <f t="shared" si="1"/>
        <v>2200002180</v>
      </c>
      <c r="C86" s="1780" t="s">
        <v>8149</v>
      </c>
      <c r="D86" s="3089"/>
      <c r="E86" s="2180"/>
      <c r="F86" s="1782" t="s">
        <v>18</v>
      </c>
      <c r="G86" s="1780"/>
      <c r="H86" s="1780"/>
      <c r="I86" s="1780" t="s">
        <v>7249</v>
      </c>
      <c r="J86" s="1493" t="s">
        <v>1653</v>
      </c>
      <c r="K86" s="1921" t="s">
        <v>1179</v>
      </c>
      <c r="L86" s="1496" t="s">
        <v>8565</v>
      </c>
      <c r="M86" s="3063">
        <v>1164</v>
      </c>
      <c r="N86" s="2907" t="s">
        <v>8426</v>
      </c>
      <c r="O86" s="2667">
        <v>36</v>
      </c>
      <c r="P86" s="2667"/>
      <c r="Q86" s="2660"/>
      <c r="R86" s="310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3" customHeight="1">
      <c r="A87" s="3880"/>
      <c r="B87" s="3088" t="str">
        <f t="shared" si="1"/>
        <v>2200002141</v>
      </c>
      <c r="C87" s="1780" t="s">
        <v>8149</v>
      </c>
      <c r="D87" s="3089"/>
      <c r="E87" s="2180"/>
      <c r="F87" s="1782" t="s">
        <v>18</v>
      </c>
      <c r="G87" s="1780"/>
      <c r="H87" s="1780"/>
      <c r="I87" s="1780" t="s">
        <v>7249</v>
      </c>
      <c r="J87" s="1493" t="s">
        <v>1653</v>
      </c>
      <c r="K87" s="1921" t="s">
        <v>1179</v>
      </c>
      <c r="L87" s="2878" t="s">
        <v>8566</v>
      </c>
      <c r="M87" s="3036">
        <v>135</v>
      </c>
      <c r="N87" s="2584" t="s">
        <v>7407</v>
      </c>
      <c r="O87" s="2667">
        <v>36</v>
      </c>
      <c r="P87" s="2667"/>
      <c r="Q87" s="2660"/>
      <c r="R87" s="3101">
        <v>2</v>
      </c>
      <c r="S87" s="2667"/>
      <c r="T87" s="2667"/>
      <c r="U87" s="2660"/>
      <c r="V87" s="2660"/>
      <c r="W87" s="2660"/>
      <c r="X87" s="2660"/>
      <c r="Y87" s="2660"/>
      <c r="Z87" s="2660"/>
      <c r="AA87" s="2660"/>
      <c r="AB87" s="2660"/>
      <c r="AC87" s="2660"/>
    </row>
    <row r="88" spans="1:30" s="2676" customFormat="1" ht="50.3" customHeight="1">
      <c r="A88" s="3880"/>
      <c r="B88" s="3088" t="str">
        <f t="shared" si="1"/>
        <v>2200002135</v>
      </c>
      <c r="C88" s="1780" t="s">
        <v>8149</v>
      </c>
      <c r="D88" s="3089"/>
      <c r="E88" s="2180"/>
      <c r="F88" s="1782" t="s">
        <v>18</v>
      </c>
      <c r="G88" s="1780"/>
      <c r="H88" s="1780"/>
      <c r="I88" s="1780" t="s">
        <v>7249</v>
      </c>
      <c r="J88" s="1493" t="s">
        <v>1653</v>
      </c>
      <c r="K88" s="1921" t="s">
        <v>1179</v>
      </c>
      <c r="L88" s="2878" t="s">
        <v>8567</v>
      </c>
      <c r="M88" s="3040">
        <v>109</v>
      </c>
      <c r="N88" s="2907" t="s">
        <v>5392</v>
      </c>
      <c r="O88" s="2667">
        <v>36</v>
      </c>
      <c r="P88" s="2667"/>
      <c r="Q88" s="2660"/>
      <c r="R88" s="310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3" customHeight="1">
      <c r="A89" s="3880"/>
      <c r="B89" s="3087" t="str">
        <f t="shared" si="1"/>
        <v>2200002176</v>
      </c>
      <c r="C89" s="1780" t="s">
        <v>8149</v>
      </c>
      <c r="D89" s="3089"/>
      <c r="E89" s="2180"/>
      <c r="F89" s="1782" t="s">
        <v>18</v>
      </c>
      <c r="G89" s="1780"/>
      <c r="H89" s="1780"/>
      <c r="I89" s="1780" t="s">
        <v>7249</v>
      </c>
      <c r="J89" s="1493" t="s">
        <v>1653</v>
      </c>
      <c r="K89" s="1921" t="s">
        <v>1179</v>
      </c>
      <c r="L89" s="1496" t="s">
        <v>8568</v>
      </c>
      <c r="M89" s="3063">
        <v>2712</v>
      </c>
      <c r="N89" s="2584" t="s">
        <v>8569</v>
      </c>
      <c r="O89" s="2667">
        <v>36</v>
      </c>
      <c r="P89" s="2667"/>
      <c r="Q89" s="2660"/>
      <c r="R89" s="3101">
        <v>2</v>
      </c>
      <c r="S89" s="2667"/>
      <c r="T89" s="2667"/>
      <c r="U89" s="2660"/>
      <c r="V89" s="2660"/>
      <c r="W89" s="2660"/>
      <c r="X89" s="2660"/>
      <c r="Y89" s="2660"/>
      <c r="Z89" s="2660"/>
      <c r="AA89" s="2660"/>
      <c r="AB89" s="2660"/>
      <c r="AC89" s="2660"/>
    </row>
    <row r="90" spans="1:30" s="2676" customFormat="1" ht="50.3" customHeight="1">
      <c r="A90" s="3881"/>
      <c r="B90" s="3087" t="str">
        <f t="shared" si="1"/>
        <v>2200002177</v>
      </c>
      <c r="C90" s="1780" t="s">
        <v>8149</v>
      </c>
      <c r="D90" s="3089"/>
      <c r="E90" s="2180"/>
      <c r="F90" s="1782" t="s">
        <v>18</v>
      </c>
      <c r="G90" s="1780"/>
      <c r="H90" s="1780"/>
      <c r="I90" s="1780" t="s">
        <v>7249</v>
      </c>
      <c r="J90" s="1493" t="s">
        <v>1653</v>
      </c>
      <c r="K90" s="1921" t="s">
        <v>1179</v>
      </c>
      <c r="L90" s="1496" t="s">
        <v>8570</v>
      </c>
      <c r="M90" s="3063">
        <v>1156</v>
      </c>
      <c r="N90" s="2907" t="s">
        <v>8571</v>
      </c>
      <c r="O90" s="2667">
        <v>36</v>
      </c>
      <c r="P90" s="2667"/>
      <c r="Q90" s="2660"/>
      <c r="R90" s="310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8" customHeight="1">
      <c r="A91" s="3768">
        <v>21</v>
      </c>
      <c r="B91" s="3004" t="str">
        <f t="shared" si="1"/>
        <v>2000003283</v>
      </c>
      <c r="C91" s="1902" t="s">
        <v>3440</v>
      </c>
      <c r="D91" s="2607">
        <v>8850</v>
      </c>
      <c r="E91" s="1921" t="s">
        <v>8527</v>
      </c>
      <c r="F91" s="1902" t="s">
        <v>16</v>
      </c>
      <c r="G91" s="1921" t="s">
        <v>8572</v>
      </c>
      <c r="H91" s="1921"/>
      <c r="I91" s="1495" t="s">
        <v>7249</v>
      </c>
      <c r="J91" s="1902" t="s">
        <v>65</v>
      </c>
      <c r="K91" s="1921" t="s">
        <v>294</v>
      </c>
      <c r="L91" s="3078" t="s">
        <v>8573</v>
      </c>
      <c r="M91" s="3079">
        <v>1600</v>
      </c>
      <c r="N91" s="2907" t="s">
        <v>7407</v>
      </c>
      <c r="O91" s="2429"/>
      <c r="P91" s="2429"/>
      <c r="Q91" s="2590" t="s">
        <v>8574</v>
      </c>
      <c r="R91" s="1748">
        <v>2</v>
      </c>
      <c r="S91" s="2150"/>
      <c r="T91" s="2150"/>
      <c r="U91" s="2150"/>
      <c r="V91" s="2150"/>
      <c r="W91" s="2150"/>
      <c r="X91" s="2150"/>
      <c r="Y91" s="2150"/>
      <c r="Z91" s="2150"/>
      <c r="AA91" s="2150"/>
      <c r="AB91" s="2150"/>
      <c r="AC91" s="2150"/>
    </row>
    <row r="92" spans="1:30" s="2643" customFormat="1" ht="58.6" customHeight="1">
      <c r="A92" s="3770"/>
      <c r="B92" s="3024" t="str">
        <f t="shared" si="1"/>
        <v>2000003292</v>
      </c>
      <c r="C92" s="1493" t="s">
        <v>3440</v>
      </c>
      <c r="D92" s="2607"/>
      <c r="E92" s="1921"/>
      <c r="F92" s="1902" t="s">
        <v>16</v>
      </c>
      <c r="G92" s="1921"/>
      <c r="H92" s="1921"/>
      <c r="I92" s="1495" t="s">
        <v>7249</v>
      </c>
      <c r="J92" s="1902" t="s">
        <v>65</v>
      </c>
      <c r="K92" s="1921" t="s">
        <v>294</v>
      </c>
      <c r="L92" s="3080" t="s">
        <v>8575</v>
      </c>
      <c r="M92" s="3079">
        <v>5500</v>
      </c>
      <c r="N92" s="2907" t="s">
        <v>7536</v>
      </c>
      <c r="O92" s="2429"/>
      <c r="P92" s="2429"/>
      <c r="Q92" s="2590" t="s">
        <v>8576</v>
      </c>
      <c r="R92" s="1748">
        <v>2</v>
      </c>
      <c r="S92" s="2150"/>
      <c r="T92" s="2150"/>
      <c r="U92" s="2150"/>
      <c r="V92" s="2150"/>
      <c r="W92" s="2150"/>
      <c r="X92" s="2150"/>
      <c r="Y92" s="2150"/>
      <c r="Z92" s="2150"/>
      <c r="AA92" s="2150"/>
      <c r="AB92" s="2150"/>
      <c r="AC92" s="2150"/>
    </row>
    <row r="93" spans="1:30" s="1548" customFormat="1" ht="58.6" customHeight="1">
      <c r="A93" s="3769"/>
      <c r="B93" s="3004" t="str">
        <f t="shared" si="1"/>
        <v>2200002097</v>
      </c>
      <c r="C93" s="1493" t="s">
        <v>3440</v>
      </c>
      <c r="D93" s="3037"/>
      <c r="E93" s="1921"/>
      <c r="F93" s="1902" t="s">
        <v>16</v>
      </c>
      <c r="G93" s="1495"/>
      <c r="H93" s="1495"/>
      <c r="I93" s="1495" t="s">
        <v>7249</v>
      </c>
      <c r="J93" s="1493" t="s">
        <v>65</v>
      </c>
      <c r="K93" s="1495" t="s">
        <v>1271</v>
      </c>
      <c r="L93" s="2878" t="s">
        <v>8577</v>
      </c>
      <c r="M93" s="3037">
        <v>1700</v>
      </c>
      <c r="N93" s="2907" t="s">
        <v>7536</v>
      </c>
      <c r="O93" s="1493"/>
      <c r="P93" s="1493"/>
      <c r="Q93" s="2590" t="s">
        <v>8576</v>
      </c>
      <c r="R93" s="1748">
        <v>2</v>
      </c>
      <c r="S93" s="1790"/>
      <c r="T93" s="1790"/>
    </row>
    <row r="94" spans="1:30" s="2643" customFormat="1" ht="58.6" customHeight="1">
      <c r="A94" s="3850">
        <v>22</v>
      </c>
      <c r="B94" s="3024" t="str">
        <f t="shared" si="1"/>
        <v>2000003306</v>
      </c>
      <c r="C94" s="3019" t="s">
        <v>3947</v>
      </c>
      <c r="D94" s="3020">
        <v>4300</v>
      </c>
      <c r="E94" s="3064" t="s">
        <v>8558</v>
      </c>
      <c r="F94" s="3019" t="s">
        <v>22</v>
      </c>
      <c r="G94" s="3021" t="s">
        <v>8578</v>
      </c>
      <c r="H94" s="3021"/>
      <c r="I94" s="3065" t="s">
        <v>7249</v>
      </c>
      <c r="J94" s="1921" t="s">
        <v>65</v>
      </c>
      <c r="K94" s="3021" t="s">
        <v>117</v>
      </c>
      <c r="L94" s="2900" t="s">
        <v>8579</v>
      </c>
      <c r="M94" s="3036">
        <f>D94-M95</f>
        <v>3541</v>
      </c>
      <c r="N94" s="2907" t="s">
        <v>7536</v>
      </c>
      <c r="O94" s="3019"/>
      <c r="P94" s="3019"/>
      <c r="Q94" s="1745" t="s">
        <v>8580</v>
      </c>
      <c r="R94" s="3026">
        <v>2</v>
      </c>
      <c r="S94" s="2150"/>
      <c r="T94" s="2150"/>
      <c r="U94" s="2150"/>
      <c r="V94" s="2150"/>
      <c r="W94" s="2150"/>
      <c r="X94" s="2150"/>
      <c r="Y94" s="2150"/>
      <c r="Z94" s="2150"/>
      <c r="AA94" s="2150"/>
      <c r="AB94" s="2150"/>
      <c r="AC94" s="2150"/>
      <c r="AD94" s="2150"/>
    </row>
    <row r="95" spans="1:30" s="1467" customFormat="1" ht="58.6" customHeight="1">
      <c r="A95" s="3851"/>
      <c r="B95" s="3004" t="str">
        <f t="shared" si="1"/>
        <v>2200002181</v>
      </c>
      <c r="C95" s="3009" t="s">
        <v>3947</v>
      </c>
      <c r="D95" s="3006"/>
      <c r="E95" s="3064"/>
      <c r="F95" s="3009" t="s">
        <v>22</v>
      </c>
      <c r="G95" s="3007"/>
      <c r="H95" s="3007"/>
      <c r="I95" s="3065" t="s">
        <v>7249</v>
      </c>
      <c r="J95" s="1921" t="s">
        <v>65</v>
      </c>
      <c r="K95" s="3007" t="s">
        <v>142</v>
      </c>
      <c r="L95" s="3195" t="s">
        <v>8581</v>
      </c>
      <c r="M95" s="3085">
        <f>3709-2950</f>
        <v>759</v>
      </c>
      <c r="N95" s="2907" t="s">
        <v>8582</v>
      </c>
      <c r="O95" s="3009"/>
      <c r="P95" s="3009"/>
      <c r="Q95" s="2590"/>
      <c r="R95" s="3045">
        <v>2</v>
      </c>
      <c r="S95" s="1548"/>
      <c r="T95" s="1548"/>
      <c r="U95" s="1548"/>
      <c r="V95" s="1548"/>
      <c r="W95" s="1548"/>
      <c r="X95" s="1548"/>
      <c r="Y95" s="1548"/>
      <c r="Z95" s="1548"/>
      <c r="AA95" s="1548"/>
      <c r="AB95" s="1548"/>
      <c r="AC95" s="1548"/>
      <c r="AD95" s="1548"/>
    </row>
    <row r="96" spans="1:30" s="2643" customFormat="1" ht="58.6" customHeight="1">
      <c r="A96" s="3852"/>
      <c r="B96" s="3004" t="str">
        <f t="shared" si="1"/>
        <v>2200002189</v>
      </c>
      <c r="C96" s="3009" t="s">
        <v>3947</v>
      </c>
      <c r="D96" s="3066"/>
      <c r="E96" s="1909"/>
      <c r="F96" s="3009" t="s">
        <v>22</v>
      </c>
      <c r="G96" s="1909"/>
      <c r="H96" s="1909"/>
      <c r="I96" s="3065" t="s">
        <v>7249</v>
      </c>
      <c r="J96" s="1909" t="s">
        <v>65</v>
      </c>
      <c r="K96" s="2429" t="s">
        <v>142</v>
      </c>
      <c r="L96" s="1862" t="s">
        <v>8583</v>
      </c>
      <c r="M96" s="3086">
        <v>46</v>
      </c>
      <c r="N96" s="2907" t="s">
        <v>8582</v>
      </c>
      <c r="O96" s="2429"/>
      <c r="P96" s="2429"/>
      <c r="Q96" s="2290"/>
      <c r="R96" s="3045">
        <v>2</v>
      </c>
      <c r="S96" s="2150"/>
      <c r="T96" s="2150"/>
      <c r="U96" s="2150"/>
      <c r="V96" s="2150"/>
      <c r="W96" s="2150"/>
      <c r="X96" s="2150"/>
      <c r="Y96" s="2150"/>
      <c r="Z96" s="2150"/>
      <c r="AA96" s="2150"/>
      <c r="AB96" s="2150"/>
      <c r="AC96" s="2150"/>
    </row>
    <row r="97" spans="1:29" s="2150" customFormat="1" ht="58.6" customHeight="1">
      <c r="A97" s="3771">
        <v>23</v>
      </c>
      <c r="B97" s="3004" t="str">
        <f t="shared" si="1"/>
        <v>2000003220</v>
      </c>
      <c r="C97" s="3019" t="s">
        <v>260</v>
      </c>
      <c r="D97" s="3066">
        <v>3750</v>
      </c>
      <c r="E97" s="1921" t="s">
        <v>8584</v>
      </c>
      <c r="F97" s="3009" t="s">
        <v>20</v>
      </c>
      <c r="G97" s="3021" t="s">
        <v>8585</v>
      </c>
      <c r="H97" s="3021"/>
      <c r="I97" s="3065" t="s">
        <v>7249</v>
      </c>
      <c r="J97" s="1909" t="s">
        <v>65</v>
      </c>
      <c r="K97" s="2429" t="s">
        <v>117</v>
      </c>
      <c r="L97" s="1843" t="s">
        <v>8586</v>
      </c>
      <c r="M97" s="3067">
        <f>D97-M98</f>
        <v>1143</v>
      </c>
      <c r="N97" s="2196" t="s">
        <v>5392</v>
      </c>
      <c r="O97" s="2429"/>
      <c r="P97" s="2429"/>
      <c r="Q97" s="2290"/>
      <c r="R97" s="3045">
        <v>3</v>
      </c>
    </row>
    <row r="98" spans="1:29" s="1548" customFormat="1" ht="58.6" customHeight="1">
      <c r="A98" s="3773"/>
      <c r="B98" s="3004" t="str">
        <f t="shared" si="1"/>
        <v>2000003306</v>
      </c>
      <c r="C98" s="3019" t="s">
        <v>260</v>
      </c>
      <c r="D98" s="2183"/>
      <c r="E98" s="1921"/>
      <c r="F98" s="3009" t="s">
        <v>20</v>
      </c>
      <c r="G98" s="3007"/>
      <c r="H98" s="3007"/>
      <c r="I98" s="3058" t="s">
        <v>7249</v>
      </c>
      <c r="J98" s="3008" t="s">
        <v>65</v>
      </c>
      <c r="K98" s="3007" t="s">
        <v>117</v>
      </c>
      <c r="L98" s="2878" t="s">
        <v>8587</v>
      </c>
      <c r="M98" s="3040">
        <f>10000-3852-M94</f>
        <v>2607</v>
      </c>
      <c r="N98" s="2196" t="s">
        <v>5392</v>
      </c>
      <c r="O98" s="3009"/>
      <c r="P98" s="3009"/>
      <c r="Q98" s="2590" t="s">
        <v>8580</v>
      </c>
      <c r="R98" s="3045">
        <v>2</v>
      </c>
    </row>
    <row r="99" spans="1:29" s="1467" customFormat="1" ht="58.6" customHeight="1">
      <c r="A99" s="3771">
        <v>24</v>
      </c>
      <c r="B99" s="3004" t="str">
        <f t="shared" si="1"/>
        <v>2000003298</v>
      </c>
      <c r="C99" s="1902" t="s">
        <v>7399</v>
      </c>
      <c r="D99" s="1494">
        <v>12270</v>
      </c>
      <c r="E99" s="1921" t="s">
        <v>8588</v>
      </c>
      <c r="F99" s="1493" t="s">
        <v>16</v>
      </c>
      <c r="G99" s="1495" t="s">
        <v>8589</v>
      </c>
      <c r="H99" s="1495"/>
      <c r="I99" s="1495" t="s">
        <v>7249</v>
      </c>
      <c r="J99" s="1493" t="s">
        <v>65</v>
      </c>
      <c r="K99" s="1495" t="s">
        <v>1271</v>
      </c>
      <c r="L99" s="2878" t="s">
        <v>8590</v>
      </c>
      <c r="M99" s="3037">
        <v>5000</v>
      </c>
      <c r="N99" s="2196" t="s">
        <v>7407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6" customHeight="1">
      <c r="A100" s="3772"/>
      <c r="B100" s="3004" t="str">
        <f t="shared" si="1"/>
        <v>2000003284</v>
      </c>
      <c r="C100" s="1493" t="s">
        <v>7399</v>
      </c>
      <c r="D100" s="1494"/>
      <c r="E100" s="1921"/>
      <c r="F100" s="1493" t="s">
        <v>16</v>
      </c>
      <c r="G100" s="1495"/>
      <c r="H100" s="1495"/>
      <c r="I100" s="1495" t="s">
        <v>7249</v>
      </c>
      <c r="J100" s="1493" t="s">
        <v>65</v>
      </c>
      <c r="K100" s="1495" t="s">
        <v>164</v>
      </c>
      <c r="L100" s="1600" t="s">
        <v>8591</v>
      </c>
      <c r="M100" s="3037">
        <v>1100</v>
      </c>
      <c r="N100" s="2907" t="s">
        <v>7572</v>
      </c>
      <c r="O100" s="1493"/>
      <c r="P100" s="1493"/>
      <c r="Q100" s="2590" t="s">
        <v>8580</v>
      </c>
      <c r="R100" s="1748">
        <v>2</v>
      </c>
      <c r="S100" s="1548"/>
      <c r="T100" s="1548"/>
      <c r="U100" s="1548">
        <v>180</v>
      </c>
      <c r="V100" s="1548"/>
      <c r="W100" s="1548"/>
      <c r="X100" s="1548"/>
      <c r="Y100" s="1548"/>
      <c r="Z100" s="1548"/>
      <c r="AA100" s="1548"/>
      <c r="AB100" s="1548"/>
      <c r="AC100" s="1548"/>
    </row>
    <row r="101" spans="1:29" s="2150" customFormat="1" ht="58.6" customHeight="1">
      <c r="A101" s="3772"/>
      <c r="B101" s="3024" t="str">
        <f t="shared" si="1"/>
        <v>2000003232</v>
      </c>
      <c r="C101" s="1493" t="s">
        <v>7399</v>
      </c>
      <c r="D101" s="3041"/>
      <c r="E101" s="1921"/>
      <c r="F101" s="1902" t="s">
        <v>16</v>
      </c>
      <c r="G101" s="1921"/>
      <c r="H101" s="1921"/>
      <c r="I101" s="1495" t="s">
        <v>7249</v>
      </c>
      <c r="J101" s="1902" t="s">
        <v>65</v>
      </c>
      <c r="K101" s="1921" t="s">
        <v>4386</v>
      </c>
      <c r="L101" s="1600" t="s">
        <v>8592</v>
      </c>
      <c r="M101" s="3041">
        <v>1000</v>
      </c>
      <c r="N101" s="2907" t="s">
        <v>7572</v>
      </c>
      <c r="O101" s="1902"/>
      <c r="P101" s="1902"/>
      <c r="Q101" s="2590" t="s">
        <v>8580</v>
      </c>
      <c r="R101" s="3045">
        <v>2</v>
      </c>
      <c r="S101" s="2429"/>
      <c r="T101" s="2429"/>
      <c r="U101" s="1548">
        <v>926</v>
      </c>
      <c r="V101" s="1548"/>
      <c r="W101" s="1548"/>
      <c r="X101" s="1548"/>
      <c r="Y101" s="1548"/>
      <c r="Z101" s="1548"/>
      <c r="AA101" s="1548"/>
      <c r="AB101" s="1548"/>
      <c r="AC101" s="2643"/>
    </row>
    <row r="102" spans="1:29" s="1548" customFormat="1" ht="58.6" customHeight="1">
      <c r="A102" s="3772"/>
      <c r="B102" s="3004" t="str">
        <f t="shared" si="1"/>
        <v>2000003235</v>
      </c>
      <c r="C102" s="1493" t="s">
        <v>7399</v>
      </c>
      <c r="D102" s="3037"/>
      <c r="E102" s="1921"/>
      <c r="F102" s="1493" t="s">
        <v>16</v>
      </c>
      <c r="G102" s="1495"/>
      <c r="H102" s="1495"/>
      <c r="I102" s="1495" t="s">
        <v>7249</v>
      </c>
      <c r="J102" s="1493" t="s">
        <v>65</v>
      </c>
      <c r="K102" s="1495" t="s">
        <v>4386</v>
      </c>
      <c r="L102" s="1600" t="s">
        <v>8593</v>
      </c>
      <c r="M102" s="3037">
        <v>2000</v>
      </c>
      <c r="N102" s="2907" t="s">
        <v>7572</v>
      </c>
      <c r="O102" s="1493"/>
      <c r="P102" s="1493"/>
      <c r="Q102" s="2590" t="s">
        <v>8580</v>
      </c>
      <c r="R102" s="3045">
        <v>2</v>
      </c>
      <c r="S102" s="1790"/>
      <c r="T102" s="1790"/>
      <c r="U102" s="1548">
        <v>1200</v>
      </c>
      <c r="AC102" s="1467"/>
    </row>
    <row r="103" spans="1:29" s="1467" customFormat="1" ht="58.6" customHeight="1">
      <c r="A103" s="3772"/>
      <c r="B103" s="3004" t="str">
        <f t="shared" si="1"/>
        <v>2000003240</v>
      </c>
      <c r="C103" s="1493" t="s">
        <v>7399</v>
      </c>
      <c r="D103" s="1494"/>
      <c r="E103" s="1921"/>
      <c r="F103" s="1493" t="s">
        <v>16</v>
      </c>
      <c r="G103" s="1495"/>
      <c r="H103" s="1495"/>
      <c r="I103" s="1495" t="s">
        <v>7249</v>
      </c>
      <c r="J103" s="1493" t="s">
        <v>65</v>
      </c>
      <c r="K103" s="1495" t="s">
        <v>4386</v>
      </c>
      <c r="L103" s="1600" t="s">
        <v>8594</v>
      </c>
      <c r="M103" s="3037">
        <v>1000</v>
      </c>
      <c r="N103" s="2196" t="s">
        <v>7536</v>
      </c>
      <c r="O103" s="1493"/>
      <c r="P103" s="1493"/>
      <c r="Q103" s="2590" t="s">
        <v>8580</v>
      </c>
      <c r="R103" s="1748">
        <v>2</v>
      </c>
      <c r="S103" s="1548"/>
      <c r="T103" s="1548"/>
      <c r="U103" s="1548">
        <v>1000</v>
      </c>
      <c r="V103" s="1548"/>
      <c r="W103" s="1548"/>
      <c r="X103" s="1548"/>
      <c r="Y103" s="1548"/>
      <c r="Z103" s="1548"/>
      <c r="AA103" s="1548"/>
      <c r="AB103" s="1548"/>
      <c r="AC103" s="1548"/>
    </row>
    <row r="104" spans="1:29" s="1548" customFormat="1" ht="58.6" customHeight="1">
      <c r="A104" s="3772"/>
      <c r="B104" s="3004" t="str">
        <f t="shared" si="1"/>
        <v>2000003233</v>
      </c>
      <c r="C104" s="1493" t="s">
        <v>7399</v>
      </c>
      <c r="D104" s="3041"/>
      <c r="E104" s="1921"/>
      <c r="F104" s="1493" t="s">
        <v>16</v>
      </c>
      <c r="G104" s="1921"/>
      <c r="H104" s="1921"/>
      <c r="I104" s="1495" t="s">
        <v>7249</v>
      </c>
      <c r="J104" s="1493" t="s">
        <v>65</v>
      </c>
      <c r="K104" s="1495" t="s">
        <v>4386</v>
      </c>
      <c r="L104" s="1600" t="s">
        <v>8595</v>
      </c>
      <c r="M104" s="3037">
        <v>1000</v>
      </c>
      <c r="N104" s="2196" t="s">
        <v>7536</v>
      </c>
      <c r="O104" s="1493"/>
      <c r="P104" s="1493"/>
      <c r="Q104" s="2590" t="s">
        <v>8580</v>
      </c>
      <c r="R104" s="3045">
        <v>2</v>
      </c>
      <c r="S104" s="1790"/>
      <c r="T104" s="1790"/>
      <c r="U104" s="1548">
        <v>740</v>
      </c>
      <c r="AC104" s="1467"/>
    </row>
    <row r="105" spans="1:29" s="1548" customFormat="1" ht="58.6" customHeight="1">
      <c r="A105" s="3773"/>
      <c r="B105" s="3004" t="str">
        <f t="shared" si="1"/>
        <v>2000003234</v>
      </c>
      <c r="C105" s="1493" t="s">
        <v>7399</v>
      </c>
      <c r="D105" s="3037"/>
      <c r="E105" s="1921"/>
      <c r="F105" s="1493" t="s">
        <v>16</v>
      </c>
      <c r="G105" s="1495"/>
      <c r="H105" s="1495"/>
      <c r="I105" s="1495" t="s">
        <v>7249</v>
      </c>
      <c r="J105" s="1493" t="s">
        <v>65</v>
      </c>
      <c r="K105" s="1495" t="s">
        <v>4386</v>
      </c>
      <c r="L105" s="1600" t="s">
        <v>8596</v>
      </c>
      <c r="M105" s="3037">
        <v>1000</v>
      </c>
      <c r="N105" s="2196" t="s">
        <v>7536</v>
      </c>
      <c r="O105" s="1493"/>
      <c r="P105" s="1493"/>
      <c r="Q105" s="2590" t="s">
        <v>8580</v>
      </c>
      <c r="R105" s="3045">
        <v>2</v>
      </c>
      <c r="S105" s="1790"/>
      <c r="T105" s="1790"/>
      <c r="U105" s="1548">
        <v>900</v>
      </c>
      <c r="AC105" s="1467"/>
    </row>
    <row r="106" spans="1:29" s="2938" customFormat="1" ht="58.6" customHeight="1">
      <c r="A106" s="2928"/>
      <c r="B106" s="2929" t="str">
        <f t="shared" si="1"/>
        <v>2000003262</v>
      </c>
      <c r="C106" s="2930" t="s">
        <v>2509</v>
      </c>
      <c r="D106" s="2931">
        <v>650</v>
      </c>
      <c r="E106" s="2932" t="s">
        <v>8597</v>
      </c>
      <c r="F106" s="2930"/>
      <c r="G106" s="2932"/>
      <c r="H106" s="2932"/>
      <c r="I106" s="2932" t="s">
        <v>7249</v>
      </c>
      <c r="J106" s="2930" t="s">
        <v>65</v>
      </c>
      <c r="K106" s="2932" t="s">
        <v>275</v>
      </c>
      <c r="L106" s="2933" t="s">
        <v>8598</v>
      </c>
      <c r="M106" s="3042">
        <v>830</v>
      </c>
      <c r="N106" s="3105" t="s">
        <v>5392</v>
      </c>
      <c r="O106" s="2935"/>
      <c r="P106" s="2935"/>
      <c r="Q106" s="2936"/>
      <c r="R106" s="3115">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6" customHeight="1">
      <c r="A107" s="2928"/>
      <c r="B107" s="2929" t="str">
        <f t="shared" si="1"/>
        <v>2000003185</v>
      </c>
      <c r="C107" s="2930" t="s">
        <v>2509</v>
      </c>
      <c r="D107" s="2939">
        <v>597</v>
      </c>
      <c r="E107" s="2932" t="s">
        <v>8599</v>
      </c>
      <c r="F107" s="2930"/>
      <c r="G107" s="2940"/>
      <c r="H107" s="2940"/>
      <c r="I107" s="2940" t="s">
        <v>7249</v>
      </c>
      <c r="J107" s="2930" t="s">
        <v>65</v>
      </c>
      <c r="K107" s="2940" t="s">
        <v>275</v>
      </c>
      <c r="L107" s="2941" t="s">
        <v>8600</v>
      </c>
      <c r="M107" s="2939">
        <v>720</v>
      </c>
      <c r="N107" s="3105" t="s">
        <v>5392</v>
      </c>
      <c r="O107" s="2930"/>
      <c r="P107" s="2930"/>
      <c r="Q107" s="2936"/>
      <c r="R107" s="3115">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6" customHeight="1">
      <c r="A108" s="2944"/>
      <c r="B108" s="2929" t="str">
        <f t="shared" si="1"/>
        <v>2000003237</v>
      </c>
      <c r="C108" s="2930" t="s">
        <v>2509</v>
      </c>
      <c r="D108" s="2945">
        <v>375</v>
      </c>
      <c r="E108" s="3110" t="s">
        <v>8601</v>
      </c>
      <c r="F108" s="2930"/>
      <c r="G108" s="2946"/>
      <c r="H108" s="2946"/>
      <c r="I108" s="2940" t="s">
        <v>7249</v>
      </c>
      <c r="J108" s="2940" t="s">
        <v>65</v>
      </c>
      <c r="K108" s="2930" t="s">
        <v>1653</v>
      </c>
      <c r="L108" s="3196" t="s">
        <v>8602</v>
      </c>
      <c r="M108" s="2939">
        <v>575</v>
      </c>
      <c r="N108" s="3105" t="s">
        <v>5392</v>
      </c>
      <c r="O108" s="2930"/>
      <c r="P108" s="2930"/>
      <c r="Q108" s="2947"/>
      <c r="R108" s="3115">
        <v>1</v>
      </c>
      <c r="S108" s="2934"/>
      <c r="T108" s="3054">
        <v>2000003237</v>
      </c>
      <c r="U108" s="2930">
        <f>VLOOKUP(T108,'PKH UPDATE'!A:D,2,0)</f>
        <v>574</v>
      </c>
      <c r="V108" s="2930">
        <f>VLOOKUP(T108,'PKH UPDATE'!A:D,3,0)</f>
        <v>186</v>
      </c>
      <c r="W108" s="2930">
        <f>VLOOKUP(T108,'PKH UPDATE'!A:D,4,0)</f>
        <v>388</v>
      </c>
    </row>
    <row r="109" spans="1:29" s="2938" customFormat="1" ht="58.6" customHeight="1">
      <c r="A109" s="2944"/>
      <c r="B109" s="2929" t="str">
        <f t="shared" si="1"/>
        <v>2000003238</v>
      </c>
      <c r="C109" s="2930" t="s">
        <v>2509</v>
      </c>
      <c r="D109" s="2945">
        <v>75</v>
      </c>
      <c r="E109" s="3110">
        <v>45909</v>
      </c>
      <c r="F109" s="2930"/>
      <c r="G109" s="2946"/>
      <c r="H109" s="2946"/>
      <c r="I109" s="2940" t="s">
        <v>7249</v>
      </c>
      <c r="J109" s="2940" t="s">
        <v>65</v>
      </c>
      <c r="K109" s="2930" t="s">
        <v>1653</v>
      </c>
      <c r="L109" s="3196" t="s">
        <v>8603</v>
      </c>
      <c r="M109" s="2939">
        <v>75</v>
      </c>
      <c r="N109" s="3105" t="s">
        <v>5392</v>
      </c>
      <c r="O109" s="2930"/>
      <c r="P109" s="2930"/>
      <c r="Q109" s="2947"/>
      <c r="R109" s="3115">
        <v>1</v>
      </c>
      <c r="S109" s="2934"/>
      <c r="T109" s="3054">
        <v>2000003238</v>
      </c>
      <c r="U109" s="2930" t="e">
        <f>VLOOKUP(T109,'PKH UPDATE'!A:D,2,0)</f>
        <v>#N/A</v>
      </c>
      <c r="V109" s="2930" t="e">
        <f>VLOOKUP(T109,'PKH UPDATE'!A:D,3,0)</f>
        <v>#N/A</v>
      </c>
      <c r="W109" s="2930" t="e">
        <f>VLOOKUP(T109,'PKH UPDATE'!A:D,4,0)</f>
        <v>#N/A</v>
      </c>
    </row>
    <row r="110" spans="1:29" s="2937" customFormat="1" ht="58.6" customHeight="1">
      <c r="A110" s="2944"/>
      <c r="B110" s="2929" t="str">
        <f t="shared" si="1"/>
        <v>2000003263</v>
      </c>
      <c r="C110" s="2930" t="s">
        <v>2509</v>
      </c>
      <c r="D110" s="2945">
        <v>650</v>
      </c>
      <c r="E110" s="3111">
        <v>46000</v>
      </c>
      <c r="F110" s="2930"/>
      <c r="G110" s="2949"/>
      <c r="H110" s="2949"/>
      <c r="I110" s="2940" t="s">
        <v>7249</v>
      </c>
      <c r="J110" s="2940" t="s">
        <v>65</v>
      </c>
      <c r="K110" s="2930" t="s">
        <v>1653</v>
      </c>
      <c r="L110" s="3196" t="s">
        <v>8604</v>
      </c>
      <c r="M110" s="2939">
        <v>650</v>
      </c>
      <c r="N110" s="2948" t="s">
        <v>8605</v>
      </c>
      <c r="O110" s="2930"/>
      <c r="P110" s="2930"/>
      <c r="Q110" s="2947"/>
      <c r="R110" s="3115">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6" customHeight="1">
      <c r="A111" s="2944"/>
      <c r="B111" s="2950" t="str">
        <f t="shared" si="1"/>
        <v>2000003248</v>
      </c>
      <c r="C111" s="2930" t="s">
        <v>2509</v>
      </c>
      <c r="D111" s="2942">
        <v>174</v>
      </c>
      <c r="E111" s="2932" t="s">
        <v>8606</v>
      </c>
      <c r="F111" s="2930"/>
      <c r="G111" s="2940"/>
      <c r="H111" s="2940"/>
      <c r="I111" s="2940" t="s">
        <v>7249</v>
      </c>
      <c r="J111" s="2940" t="s">
        <v>65</v>
      </c>
      <c r="K111" s="2930" t="s">
        <v>275</v>
      </c>
      <c r="L111" s="3196" t="s">
        <v>8607</v>
      </c>
      <c r="M111" s="2939">
        <v>174</v>
      </c>
      <c r="N111" s="3106" t="s">
        <v>5392</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6" customHeight="1">
      <c r="A112" s="2951"/>
      <c r="B112" s="2952" t="str">
        <f t="shared" si="1"/>
        <v>2000003236</v>
      </c>
      <c r="C112" s="2953" t="s">
        <v>2509</v>
      </c>
      <c r="D112" s="2954">
        <v>600</v>
      </c>
      <c r="E112" s="3112" t="s">
        <v>8608</v>
      </c>
      <c r="F112" s="2953"/>
      <c r="G112" s="2955"/>
      <c r="H112" s="2955"/>
      <c r="I112" s="2940" t="s">
        <v>7249</v>
      </c>
      <c r="J112" s="2955" t="s">
        <v>65</v>
      </c>
      <c r="K112" s="2953" t="s">
        <v>275</v>
      </c>
      <c r="L112" s="3197" t="s">
        <v>8609</v>
      </c>
      <c r="M112" s="3043">
        <v>600</v>
      </c>
      <c r="N112" s="3107" t="s">
        <v>5392</v>
      </c>
      <c r="O112" s="2953"/>
      <c r="P112" s="2953"/>
      <c r="Q112" s="2956"/>
      <c r="R112" s="3116">
        <v>3</v>
      </c>
      <c r="S112" s="2957"/>
      <c r="T112" s="3055">
        <v>2000003236</v>
      </c>
      <c r="U112" s="2930" t="e">
        <f>VLOOKUP(T112,'PKH UPDATE'!A:D,2,0)</f>
        <v>#N/A</v>
      </c>
      <c r="V112" s="2930" t="e">
        <f>VLOOKUP(T112,'PKH UPDATE'!A:D,3,0)</f>
        <v>#N/A</v>
      </c>
      <c r="W112" s="2930" t="e">
        <f>VLOOKUP(T112,'PKH UPDATE'!A:D,4,0)</f>
        <v>#N/A</v>
      </c>
    </row>
    <row r="113" spans="1:29" s="2937" customFormat="1" ht="58.6" customHeight="1">
      <c r="A113" s="2944"/>
      <c r="B113" s="2929" t="str">
        <f t="shared" si="1"/>
        <v>2000003239</v>
      </c>
      <c r="C113" s="2930" t="s">
        <v>2509</v>
      </c>
      <c r="D113" s="2945">
        <v>1000</v>
      </c>
      <c r="E113" s="3112" t="s">
        <v>8608</v>
      </c>
      <c r="F113" s="2930"/>
      <c r="G113" s="2946"/>
      <c r="H113" s="2946"/>
      <c r="I113" s="2940" t="s">
        <v>7249</v>
      </c>
      <c r="J113" s="2940" t="s">
        <v>65</v>
      </c>
      <c r="K113" s="2930" t="s">
        <v>275</v>
      </c>
      <c r="L113" s="3196" t="s">
        <v>8610</v>
      </c>
      <c r="M113" s="2939">
        <v>1000</v>
      </c>
      <c r="N113" s="3106" t="s">
        <v>5392</v>
      </c>
      <c r="O113" s="2930"/>
      <c r="P113" s="2930"/>
      <c r="Q113" s="2947"/>
      <c r="R113" s="3115">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6" customHeight="1">
      <c r="A114" s="2944"/>
      <c r="B114" s="2929" t="str">
        <f t="shared" si="1"/>
        <v>2200002158</v>
      </c>
      <c r="C114" s="2930" t="s">
        <v>2509</v>
      </c>
      <c r="D114" s="2945">
        <v>333</v>
      </c>
      <c r="E114" s="3110" t="s">
        <v>8611</v>
      </c>
      <c r="F114" s="2930"/>
      <c r="G114" s="2946"/>
      <c r="H114" s="2946"/>
      <c r="I114" s="2940" t="s">
        <v>7249</v>
      </c>
      <c r="J114" s="2940" t="s">
        <v>65</v>
      </c>
      <c r="K114" s="2930" t="s">
        <v>275</v>
      </c>
      <c r="L114" s="3196" t="s">
        <v>8612</v>
      </c>
      <c r="M114" s="2939">
        <v>333</v>
      </c>
      <c r="N114" s="3106" t="s">
        <v>5392</v>
      </c>
      <c r="O114" s="2930"/>
      <c r="P114" s="2930"/>
      <c r="Q114" s="2947"/>
      <c r="R114" s="3115">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6" customHeight="1">
      <c r="A115" s="3049"/>
      <c r="B115" s="2929" t="str">
        <f t="shared" si="1"/>
        <v>2000003319</v>
      </c>
      <c r="C115" s="2930" t="s">
        <v>2509</v>
      </c>
      <c r="D115" s="2945"/>
      <c r="E115" s="3110"/>
      <c r="F115" s="2930"/>
      <c r="G115" s="2946"/>
      <c r="H115" s="2946"/>
      <c r="I115" s="2940" t="s">
        <v>7249</v>
      </c>
      <c r="J115" s="2940" t="s">
        <v>65</v>
      </c>
      <c r="K115" s="2930" t="s">
        <v>275</v>
      </c>
      <c r="L115" s="3196" t="s">
        <v>8613</v>
      </c>
      <c r="M115" s="2939">
        <v>350</v>
      </c>
      <c r="N115" s="3106" t="s">
        <v>5392</v>
      </c>
      <c r="O115" s="2930"/>
      <c r="P115" s="2930"/>
      <c r="Q115" s="2947"/>
      <c r="R115" s="3115">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6" customHeight="1">
      <c r="A116" s="3049"/>
      <c r="B116" s="2929" t="str">
        <f t="shared" si="1"/>
        <v>2200002174</v>
      </c>
      <c r="C116" s="2930" t="s">
        <v>2509</v>
      </c>
      <c r="D116" s="2945">
        <v>104</v>
      </c>
      <c r="E116" s="3110"/>
      <c r="F116" s="2930"/>
      <c r="G116" s="2946"/>
      <c r="H116" s="2946"/>
      <c r="I116" s="2940" t="s">
        <v>7249</v>
      </c>
      <c r="J116" s="2940" t="s">
        <v>65</v>
      </c>
      <c r="K116" s="2930" t="s">
        <v>275</v>
      </c>
      <c r="L116" s="3196" t="s">
        <v>8614</v>
      </c>
      <c r="M116" s="2939">
        <v>104</v>
      </c>
      <c r="N116" s="3106" t="s">
        <v>5392</v>
      </c>
      <c r="O116" s="2930"/>
      <c r="P116" s="2930"/>
      <c r="Q116" s="2947"/>
      <c r="R116" s="3115">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6" customHeight="1">
      <c r="A117" s="3049"/>
      <c r="B117" s="2929" t="str">
        <f t="shared" si="1"/>
        <v>2200002203</v>
      </c>
      <c r="C117" s="2930" t="s">
        <v>2509</v>
      </c>
      <c r="D117" s="2945">
        <v>5612</v>
      </c>
      <c r="E117" s="3110"/>
      <c r="F117" s="2930"/>
      <c r="G117" s="2946"/>
      <c r="H117" s="2946"/>
      <c r="I117" s="2940" t="s">
        <v>7249</v>
      </c>
      <c r="J117" s="2940" t="s">
        <v>65</v>
      </c>
      <c r="K117" s="2930" t="s">
        <v>275</v>
      </c>
      <c r="L117" s="3196" t="s">
        <v>8615</v>
      </c>
      <c r="M117" s="2939">
        <v>5612</v>
      </c>
      <c r="N117" s="3106" t="s">
        <v>5392</v>
      </c>
      <c r="O117" s="2930"/>
      <c r="P117" s="2930"/>
      <c r="Q117" s="2947"/>
      <c r="R117" s="3115"/>
      <c r="S117" s="2934"/>
      <c r="T117" s="3054"/>
      <c r="U117" s="2930"/>
      <c r="V117" s="2930"/>
      <c r="W117" s="2930"/>
      <c r="X117" s="2938"/>
      <c r="Y117" s="2938"/>
      <c r="Z117" s="2938"/>
      <c r="AA117" s="2938"/>
      <c r="AB117" s="2938"/>
      <c r="AC117" s="2938"/>
    </row>
    <row r="118" spans="1:29" s="1548" customFormat="1" ht="58.6" customHeight="1">
      <c r="A118" s="3850">
        <v>25</v>
      </c>
      <c r="B118" s="3004" t="str">
        <f t="shared" si="1"/>
        <v>2400001278</v>
      </c>
      <c r="C118" s="3009" t="s">
        <v>6645</v>
      </c>
      <c r="D118" s="3006">
        <v>23900</v>
      </c>
      <c r="E118" s="3021" t="s">
        <v>8584</v>
      </c>
      <c r="F118" s="3009" t="s">
        <v>38</v>
      </c>
      <c r="G118" s="3007" t="s">
        <v>8616</v>
      </c>
      <c r="H118" s="3007"/>
      <c r="I118" s="3007" t="s">
        <v>7249</v>
      </c>
      <c r="J118" s="3009" t="s">
        <v>65</v>
      </c>
      <c r="K118" s="3007" t="s">
        <v>3552</v>
      </c>
      <c r="L118" s="2878" t="s">
        <v>8617</v>
      </c>
      <c r="M118" s="3040">
        <v>50</v>
      </c>
      <c r="N118" s="2907" t="s">
        <v>7536</v>
      </c>
      <c r="O118" s="3009"/>
      <c r="P118" s="3009"/>
      <c r="Q118" s="3010" t="s">
        <v>8618</v>
      </c>
      <c r="R118" s="3045">
        <v>2</v>
      </c>
      <c r="T118" s="1548">
        <v>2400001278</v>
      </c>
      <c r="U118" s="1493" t="e">
        <f>VLOOKUP(T118,'PKH UPDATE'!A:D,2,0)</f>
        <v>#N/A</v>
      </c>
      <c r="V118" s="1493" t="e">
        <f>VLOOKUP(T118,'PKH UPDATE'!A:D,3,0)</f>
        <v>#N/A</v>
      </c>
      <c r="W118" s="1493" t="e">
        <f>VLOOKUP(T118,'PKH UPDATE'!A:D,4,0)</f>
        <v>#N/A</v>
      </c>
    </row>
    <row r="119" spans="1:29" s="2150" customFormat="1" ht="58.6" customHeight="1">
      <c r="A119" s="3851"/>
      <c r="B119" s="3004" t="str">
        <f t="shared" si="1"/>
        <v>2400001279</v>
      </c>
      <c r="C119" s="3009" t="s">
        <v>6645</v>
      </c>
      <c r="D119" s="3006"/>
      <c r="E119" s="3021"/>
      <c r="F119" s="3009" t="s">
        <v>38</v>
      </c>
      <c r="G119" s="3007"/>
      <c r="H119" s="3007"/>
      <c r="I119" s="3007" t="s">
        <v>7249</v>
      </c>
      <c r="J119" s="3009" t="s">
        <v>65</v>
      </c>
      <c r="K119" s="3007" t="s">
        <v>3552</v>
      </c>
      <c r="L119" s="2878" t="s">
        <v>8619</v>
      </c>
      <c r="M119" s="3040">
        <v>2000</v>
      </c>
      <c r="N119" s="2907" t="s">
        <v>8620</v>
      </c>
      <c r="O119" s="3019"/>
      <c r="P119" s="3019"/>
      <c r="Q119" s="3010" t="s">
        <v>8618</v>
      </c>
      <c r="R119" s="3045">
        <v>2</v>
      </c>
      <c r="T119" s="2150">
        <v>2400001279</v>
      </c>
      <c r="U119" s="1493" t="e">
        <f>VLOOKUP(T119,'PKH UPDATE'!A:D,2,0)</f>
        <v>#N/A</v>
      </c>
      <c r="V119" s="1493" t="e">
        <f>VLOOKUP(T119,'PKH UPDATE'!A:D,3,0)</f>
        <v>#N/A</v>
      </c>
      <c r="W119" s="1493" t="e">
        <f>VLOOKUP(T119,'PKH UPDATE'!A:D,4,0)</f>
        <v>#N/A</v>
      </c>
    </row>
    <row r="120" spans="1:29" s="2150" customFormat="1" ht="58.6" customHeight="1">
      <c r="A120" s="3851"/>
      <c r="B120" s="3004" t="str">
        <f t="shared" si="1"/>
        <v>2400001280</v>
      </c>
      <c r="C120" s="3009" t="s">
        <v>6645</v>
      </c>
      <c r="D120" s="3006"/>
      <c r="E120" s="3021"/>
      <c r="F120" s="3009" t="s">
        <v>38</v>
      </c>
      <c r="G120" s="3007"/>
      <c r="H120" s="3007"/>
      <c r="I120" s="3007" t="s">
        <v>7249</v>
      </c>
      <c r="J120" s="3009" t="s">
        <v>65</v>
      </c>
      <c r="K120" s="3007" t="s">
        <v>3552</v>
      </c>
      <c r="L120" s="2878" t="s">
        <v>8621</v>
      </c>
      <c r="M120" s="3040">
        <v>9400</v>
      </c>
      <c r="N120" s="2907" t="s">
        <v>7536</v>
      </c>
      <c r="O120" s="3019"/>
      <c r="P120" s="3019"/>
      <c r="Q120" s="3010" t="s">
        <v>8618</v>
      </c>
      <c r="R120" s="3045">
        <v>2</v>
      </c>
      <c r="T120" s="2150">
        <v>2400001280</v>
      </c>
      <c r="U120" s="1493">
        <f>VLOOKUP(T120,'PKH UPDATE'!A:D,2,0)</f>
        <v>7603</v>
      </c>
      <c r="V120" s="1493">
        <f>VLOOKUP(T120,'PKH UPDATE'!A:D,3,0)</f>
        <v>0</v>
      </c>
      <c r="W120" s="1493">
        <f>VLOOKUP(T120,'PKH UPDATE'!A:D,4,0)</f>
        <v>7603</v>
      </c>
    </row>
    <row r="121" spans="1:29" s="2150" customFormat="1" ht="58.6" customHeight="1">
      <c r="A121" s="3851"/>
      <c r="B121" s="3004" t="str">
        <f t="shared" si="1"/>
        <v>2400001281</v>
      </c>
      <c r="C121" s="3009" t="s">
        <v>6645</v>
      </c>
      <c r="D121" s="3006"/>
      <c r="E121" s="3021"/>
      <c r="F121" s="3009" t="s">
        <v>38</v>
      </c>
      <c r="G121" s="3007"/>
      <c r="H121" s="3007"/>
      <c r="I121" s="3007" t="s">
        <v>7249</v>
      </c>
      <c r="J121" s="3009" t="s">
        <v>65</v>
      </c>
      <c r="K121" s="3007" t="s">
        <v>3552</v>
      </c>
      <c r="L121" s="2878" t="s">
        <v>8622</v>
      </c>
      <c r="M121" s="3040">
        <v>750</v>
      </c>
      <c r="N121" s="2907" t="s">
        <v>7536</v>
      </c>
      <c r="O121" s="3019"/>
      <c r="P121" s="3019"/>
      <c r="Q121" s="3010" t="s">
        <v>8618</v>
      </c>
      <c r="R121" s="3045">
        <v>2</v>
      </c>
      <c r="T121" s="2150">
        <v>2400001281</v>
      </c>
      <c r="U121" s="1493">
        <f>VLOOKUP(T121,'PKH UPDATE'!A:D,2,0)</f>
        <v>754</v>
      </c>
      <c r="V121" s="1493">
        <f>VLOOKUP(T121,'PKH UPDATE'!A:D,3,0)</f>
        <v>0</v>
      </c>
      <c r="W121" s="1493">
        <f>VLOOKUP(T121,'PKH UPDATE'!A:D,4,0)</f>
        <v>754</v>
      </c>
    </row>
    <row r="122" spans="1:29" s="2150" customFormat="1" ht="58.6" customHeight="1">
      <c r="A122" s="3851"/>
      <c r="B122" s="3004" t="str">
        <f t="shared" si="1"/>
        <v>2400001290</v>
      </c>
      <c r="C122" s="3009" t="s">
        <v>6645</v>
      </c>
      <c r="D122" s="3006"/>
      <c r="E122" s="3021"/>
      <c r="F122" s="3009" t="s">
        <v>38</v>
      </c>
      <c r="G122" s="3007"/>
      <c r="H122" s="3007"/>
      <c r="I122" s="3007" t="s">
        <v>7249</v>
      </c>
      <c r="J122" s="3009" t="s">
        <v>65</v>
      </c>
      <c r="K122" s="3007" t="s">
        <v>3552</v>
      </c>
      <c r="L122" s="3081" t="s">
        <v>8623</v>
      </c>
      <c r="M122" s="3125">
        <v>100</v>
      </c>
      <c r="N122" s="2907" t="s">
        <v>7536</v>
      </c>
      <c r="O122" s="3019"/>
      <c r="P122" s="3019"/>
      <c r="Q122" s="3010" t="s">
        <v>8618</v>
      </c>
      <c r="R122" s="3045">
        <v>2</v>
      </c>
      <c r="T122" s="2150">
        <v>2400001290</v>
      </c>
      <c r="U122" s="1493" t="e">
        <f>VLOOKUP(T122,'PKH UPDATE'!A:D,2,0)</f>
        <v>#N/A</v>
      </c>
      <c r="V122" s="1493" t="e">
        <f>VLOOKUP(T122,'PKH UPDATE'!A:D,3,0)</f>
        <v>#N/A</v>
      </c>
      <c r="W122" s="1493" t="e">
        <f>VLOOKUP(T122,'PKH UPDATE'!A:D,4,0)</f>
        <v>#N/A</v>
      </c>
    </row>
    <row r="123" spans="1:29" s="2150" customFormat="1" ht="58.6" customHeight="1">
      <c r="A123" s="3851"/>
      <c r="B123" s="3004" t="str">
        <f t="shared" si="1"/>
        <v>2400001288</v>
      </c>
      <c r="C123" s="3009" t="s">
        <v>6645</v>
      </c>
      <c r="D123" s="3006"/>
      <c r="E123" s="3021"/>
      <c r="F123" s="3009" t="s">
        <v>38</v>
      </c>
      <c r="G123" s="3007"/>
      <c r="H123" s="3007"/>
      <c r="I123" s="3007" t="s">
        <v>7249</v>
      </c>
      <c r="J123" s="3009" t="s">
        <v>65</v>
      </c>
      <c r="K123" s="3007" t="s">
        <v>3552</v>
      </c>
      <c r="L123" s="2878" t="s">
        <v>8624</v>
      </c>
      <c r="M123" s="3040">
        <v>1050</v>
      </c>
      <c r="N123" s="2907" t="s">
        <v>7536</v>
      </c>
      <c r="O123" s="3019"/>
      <c r="P123" s="3019"/>
      <c r="Q123" s="3010" t="s">
        <v>8618</v>
      </c>
      <c r="R123" s="3045">
        <v>2</v>
      </c>
      <c r="T123" s="2150">
        <v>2400001288</v>
      </c>
      <c r="U123" s="1493" t="e">
        <f>VLOOKUP(T123,'PKH UPDATE'!A:D,2,0)</f>
        <v>#N/A</v>
      </c>
      <c r="V123" s="1493" t="e">
        <f>VLOOKUP(T123,'PKH UPDATE'!A:D,3,0)</f>
        <v>#N/A</v>
      </c>
      <c r="W123" s="1493" t="e">
        <f>VLOOKUP(T123,'PKH UPDATE'!A:D,4,0)</f>
        <v>#N/A</v>
      </c>
    </row>
    <row r="124" spans="1:29" s="2150" customFormat="1" ht="58.6" customHeight="1">
      <c r="A124" s="3851"/>
      <c r="B124" s="3004" t="str">
        <f t="shared" si="1"/>
        <v>2400001289</v>
      </c>
      <c r="C124" s="3009" t="s">
        <v>6645</v>
      </c>
      <c r="D124" s="3006"/>
      <c r="E124" s="3021"/>
      <c r="F124" s="3009" t="s">
        <v>38</v>
      </c>
      <c r="G124" s="3007"/>
      <c r="H124" s="3007"/>
      <c r="I124" s="3007" t="s">
        <v>7249</v>
      </c>
      <c r="J124" s="3009" t="s">
        <v>65</v>
      </c>
      <c r="K124" s="3007" t="s">
        <v>3552</v>
      </c>
      <c r="L124" s="3081" t="s">
        <v>8625</v>
      </c>
      <c r="M124" s="3125">
        <v>4350</v>
      </c>
      <c r="N124" s="2907" t="s">
        <v>7536</v>
      </c>
      <c r="O124" s="3019"/>
      <c r="P124" s="3019"/>
      <c r="Q124" s="3010" t="s">
        <v>8618</v>
      </c>
      <c r="R124" s="3045">
        <v>2</v>
      </c>
      <c r="T124" s="2150">
        <v>2400001289</v>
      </c>
      <c r="U124" s="1493">
        <f>VLOOKUP(T124,'PKH UPDATE'!A:D,2,0)</f>
        <v>2363</v>
      </c>
      <c r="V124" s="1493">
        <f>VLOOKUP(T124,'PKH UPDATE'!A:D,3,0)</f>
        <v>0</v>
      </c>
      <c r="W124" s="1493">
        <f>VLOOKUP(T124,'PKH UPDATE'!A:D,4,0)</f>
        <v>2363</v>
      </c>
    </row>
    <row r="125" spans="1:29" s="2150" customFormat="1" ht="58.6" customHeight="1">
      <c r="A125" s="3851"/>
      <c r="B125" s="3004" t="str">
        <f t="shared" si="1"/>
        <v>2400001297</v>
      </c>
      <c r="C125" s="3009" t="s">
        <v>6645</v>
      </c>
      <c r="D125" s="3006"/>
      <c r="E125" s="3021"/>
      <c r="F125" s="3009" t="s">
        <v>38</v>
      </c>
      <c r="G125" s="3007"/>
      <c r="H125" s="3007"/>
      <c r="I125" s="3007" t="s">
        <v>7249</v>
      </c>
      <c r="J125" s="3009" t="s">
        <v>65</v>
      </c>
      <c r="K125" s="3007" t="s">
        <v>3552</v>
      </c>
      <c r="L125" s="3081" t="s">
        <v>8626</v>
      </c>
      <c r="M125" s="3125">
        <v>350</v>
      </c>
      <c r="N125" s="2907" t="s">
        <v>8627</v>
      </c>
      <c r="O125" s="3019"/>
      <c r="P125" s="3019"/>
      <c r="Q125" s="3010" t="s">
        <v>8618</v>
      </c>
      <c r="R125" s="3045">
        <v>2</v>
      </c>
      <c r="T125" s="2150">
        <v>2400001297</v>
      </c>
      <c r="U125" s="1493" t="e">
        <f>VLOOKUP(T125,'PKH UPDATE'!A:D,2,0)</f>
        <v>#N/A</v>
      </c>
      <c r="V125" s="1493" t="e">
        <f>VLOOKUP(T125,'PKH UPDATE'!A:D,3,0)</f>
        <v>#N/A</v>
      </c>
      <c r="W125" s="1493" t="e">
        <f>VLOOKUP(T125,'PKH UPDATE'!A:D,4,0)</f>
        <v>#N/A</v>
      </c>
    </row>
    <row r="126" spans="1:29" s="2150" customFormat="1" ht="58.6" customHeight="1">
      <c r="A126" s="3851"/>
      <c r="B126" s="3004" t="str">
        <f t="shared" si="1"/>
        <v>2400001298</v>
      </c>
      <c r="C126" s="3009" t="s">
        <v>6645</v>
      </c>
      <c r="D126" s="3006"/>
      <c r="E126" s="3021"/>
      <c r="F126" s="3009" t="s">
        <v>38</v>
      </c>
      <c r="G126" s="3007"/>
      <c r="H126" s="3007"/>
      <c r="I126" s="3007" t="s">
        <v>7249</v>
      </c>
      <c r="J126" s="3009" t="s">
        <v>65</v>
      </c>
      <c r="K126" s="3007" t="s">
        <v>3552</v>
      </c>
      <c r="L126" s="2878" t="s">
        <v>8628</v>
      </c>
      <c r="M126" s="3040">
        <v>325</v>
      </c>
      <c r="N126" s="2907" t="s">
        <v>7536</v>
      </c>
      <c r="O126" s="3019"/>
      <c r="P126" s="3019"/>
      <c r="Q126" s="3010" t="s">
        <v>8618</v>
      </c>
      <c r="R126" s="3045">
        <v>2</v>
      </c>
      <c r="T126" s="2150">
        <v>2400001298</v>
      </c>
      <c r="U126" s="1493">
        <f>VLOOKUP(T126,'PKH UPDATE'!A:D,2,0)</f>
        <v>230</v>
      </c>
      <c r="V126" s="1493">
        <f>VLOOKUP(T126,'PKH UPDATE'!A:D,3,0)</f>
        <v>0</v>
      </c>
      <c r="W126" s="1493">
        <f>VLOOKUP(T126,'PKH UPDATE'!A:D,4,0)</f>
        <v>230</v>
      </c>
    </row>
    <row r="127" spans="1:29" s="2150" customFormat="1" ht="58.6" customHeight="1">
      <c r="A127" s="3851"/>
      <c r="B127" s="3004" t="str">
        <f t="shared" si="1"/>
        <v>2400001296</v>
      </c>
      <c r="C127" s="3009" t="s">
        <v>6645</v>
      </c>
      <c r="D127" s="3006"/>
      <c r="E127" s="3021"/>
      <c r="F127" s="3009" t="s">
        <v>38</v>
      </c>
      <c r="G127" s="3007"/>
      <c r="H127" s="3007"/>
      <c r="I127" s="3007" t="s">
        <v>7249</v>
      </c>
      <c r="J127" s="3009" t="s">
        <v>65</v>
      </c>
      <c r="K127" s="3007" t="s">
        <v>3552</v>
      </c>
      <c r="L127" s="2878" t="s">
        <v>8629</v>
      </c>
      <c r="M127" s="3040">
        <v>175</v>
      </c>
      <c r="N127" s="2907" t="s">
        <v>7536</v>
      </c>
      <c r="O127" s="3019"/>
      <c r="P127" s="3019"/>
      <c r="Q127" s="3010" t="s">
        <v>8618</v>
      </c>
      <c r="R127" s="3045">
        <v>2</v>
      </c>
      <c r="T127" s="2150">
        <v>2400001296</v>
      </c>
      <c r="U127" s="1493" t="e">
        <f>VLOOKUP(T127,'PKH UPDATE'!A:D,2,0)</f>
        <v>#N/A</v>
      </c>
      <c r="V127" s="1493" t="e">
        <f>VLOOKUP(T127,'PKH UPDATE'!A:D,3,0)</f>
        <v>#N/A</v>
      </c>
      <c r="W127" s="1493" t="e">
        <f>VLOOKUP(T127,'PKH UPDATE'!A:D,4,0)</f>
        <v>#N/A</v>
      </c>
    </row>
    <row r="128" spans="1:29" s="2150" customFormat="1" ht="58.6" customHeight="1">
      <c r="A128" s="3851"/>
      <c r="B128" s="3004" t="str">
        <f t="shared" si="1"/>
        <v>2400001291</v>
      </c>
      <c r="C128" s="3009" t="s">
        <v>6645</v>
      </c>
      <c r="D128" s="3006"/>
      <c r="E128" s="3021"/>
      <c r="F128" s="3009" t="s">
        <v>38</v>
      </c>
      <c r="G128" s="3007"/>
      <c r="H128" s="3007"/>
      <c r="I128" s="3007" t="s">
        <v>7249</v>
      </c>
      <c r="J128" s="3009" t="s">
        <v>65</v>
      </c>
      <c r="K128" s="3007" t="s">
        <v>3552</v>
      </c>
      <c r="L128" s="2878" t="s">
        <v>8630</v>
      </c>
      <c r="M128" s="3040">
        <v>425</v>
      </c>
      <c r="N128" s="2907" t="s">
        <v>7536</v>
      </c>
      <c r="O128" s="3019"/>
      <c r="P128" s="3019"/>
      <c r="Q128" s="3010" t="s">
        <v>8618</v>
      </c>
      <c r="R128" s="3045">
        <v>2</v>
      </c>
      <c r="T128" s="2150">
        <v>2400001291</v>
      </c>
      <c r="U128" s="1493">
        <f>VLOOKUP(T128,'PKH UPDATE'!A:D,2,0)</f>
        <v>385</v>
      </c>
      <c r="V128" s="1493">
        <f>VLOOKUP(T128,'PKH UPDATE'!A:D,3,0)</f>
        <v>0</v>
      </c>
      <c r="W128" s="1493">
        <f>VLOOKUP(T128,'PKH UPDATE'!A:D,4,0)</f>
        <v>385</v>
      </c>
    </row>
    <row r="129" spans="1:30" s="2150" customFormat="1" ht="58.6" customHeight="1">
      <c r="A129" s="3851"/>
      <c r="B129" s="3004" t="str">
        <f t="shared" si="1"/>
        <v>2400001299</v>
      </c>
      <c r="C129" s="3009" t="s">
        <v>6645</v>
      </c>
      <c r="D129" s="3006"/>
      <c r="E129" s="3021"/>
      <c r="F129" s="3009" t="s">
        <v>38</v>
      </c>
      <c r="G129" s="3007"/>
      <c r="H129" s="3007"/>
      <c r="I129" s="3007" t="s">
        <v>7249</v>
      </c>
      <c r="J129" s="3009" t="s">
        <v>65</v>
      </c>
      <c r="K129" s="3007" t="s">
        <v>3552</v>
      </c>
      <c r="L129" s="2878" t="s">
        <v>8631</v>
      </c>
      <c r="M129" s="3040">
        <v>2025</v>
      </c>
      <c r="N129" s="2907" t="s">
        <v>7536</v>
      </c>
      <c r="O129" s="3019"/>
      <c r="P129" s="3019"/>
      <c r="Q129" s="3010" t="s">
        <v>8618</v>
      </c>
      <c r="R129" s="3045">
        <v>2</v>
      </c>
      <c r="T129" s="2150">
        <v>2400001299</v>
      </c>
      <c r="U129" s="1493">
        <f>VLOOKUP(T129,'PKH UPDATE'!A:D,2,0)</f>
        <v>1337</v>
      </c>
      <c r="V129" s="1493">
        <f>VLOOKUP(T129,'PKH UPDATE'!A:D,3,0)</f>
        <v>0</v>
      </c>
      <c r="W129" s="1493">
        <f>VLOOKUP(T129,'PKH UPDATE'!A:D,4,0)</f>
        <v>1337</v>
      </c>
    </row>
    <row r="130" spans="1:30" s="2150" customFormat="1" ht="58.6" customHeight="1">
      <c r="A130" s="3851"/>
      <c r="B130" s="3004" t="str">
        <f t="shared" si="1"/>
        <v>2400001300</v>
      </c>
      <c r="C130" s="3009" t="s">
        <v>6645</v>
      </c>
      <c r="D130" s="3006"/>
      <c r="E130" s="3021"/>
      <c r="F130" s="3009" t="s">
        <v>38</v>
      </c>
      <c r="G130" s="3007"/>
      <c r="H130" s="3007"/>
      <c r="I130" s="3007" t="s">
        <v>7249</v>
      </c>
      <c r="J130" s="3009" t="s">
        <v>65</v>
      </c>
      <c r="K130" s="3007" t="s">
        <v>3552</v>
      </c>
      <c r="L130" s="2878" t="s">
        <v>8632</v>
      </c>
      <c r="M130" s="3040"/>
      <c r="N130" s="2907" t="s">
        <v>7536</v>
      </c>
      <c r="O130" s="3019"/>
      <c r="P130" s="3019"/>
      <c r="Q130" s="3010" t="s">
        <v>8618</v>
      </c>
      <c r="R130" s="3045">
        <v>2</v>
      </c>
      <c r="T130" s="2150">
        <v>2400001300</v>
      </c>
      <c r="U130" s="1493" t="e">
        <f>VLOOKUP(T130,'PKH UPDATE'!A:D,2,0)</f>
        <v>#N/A</v>
      </c>
      <c r="V130" s="1493" t="e">
        <f>VLOOKUP(T130,'PKH UPDATE'!A:D,3,0)</f>
        <v>#N/A</v>
      </c>
      <c r="W130" s="1493" t="e">
        <f>VLOOKUP(T130,'PKH UPDATE'!A:D,4,0)</f>
        <v>#N/A</v>
      </c>
    </row>
    <row r="131" spans="1:30" s="2150" customFormat="1" ht="58.6" customHeight="1">
      <c r="A131" s="3851"/>
      <c r="B131" s="3004" t="str">
        <f t="shared" si="1"/>
        <v>2400001295</v>
      </c>
      <c r="C131" s="3009" t="s">
        <v>6645</v>
      </c>
      <c r="D131" s="3006"/>
      <c r="E131" s="3021"/>
      <c r="F131" s="3009" t="s">
        <v>38</v>
      </c>
      <c r="G131" s="3007"/>
      <c r="H131" s="3007"/>
      <c r="I131" s="3007" t="s">
        <v>7249</v>
      </c>
      <c r="J131" s="3009" t="s">
        <v>65</v>
      </c>
      <c r="K131" s="3007" t="s">
        <v>3552</v>
      </c>
      <c r="L131" s="2878" t="s">
        <v>8633</v>
      </c>
      <c r="M131" s="3040">
        <v>600</v>
      </c>
      <c r="N131" s="2907" t="s">
        <v>7536</v>
      </c>
      <c r="O131" s="3019"/>
      <c r="P131" s="3019"/>
      <c r="Q131" s="3010" t="s">
        <v>8618</v>
      </c>
      <c r="R131" s="3045">
        <v>2</v>
      </c>
      <c r="T131" s="2150">
        <v>2400001295</v>
      </c>
      <c r="U131" s="1493">
        <f>VLOOKUP(T131,'PKH UPDATE'!A:D,2,0)</f>
        <v>400</v>
      </c>
      <c r="V131" s="1493">
        <f>VLOOKUP(T131,'PKH UPDATE'!A:D,3,0)</f>
        <v>0</v>
      </c>
      <c r="W131" s="1493">
        <f>VLOOKUP(T131,'PKH UPDATE'!A:D,4,0)</f>
        <v>400</v>
      </c>
    </row>
    <row r="132" spans="1:30" s="2150" customFormat="1" ht="58.6" customHeight="1">
      <c r="A132" s="3851"/>
      <c r="B132" s="1900" t="str">
        <f t="shared" ref="B132:B195" si="2">TEXT(LEFT(L132,10),"0000000000")</f>
        <v>2400001294</v>
      </c>
      <c r="C132" s="3009" t="s">
        <v>6645</v>
      </c>
      <c r="D132" s="3006"/>
      <c r="E132" s="3021"/>
      <c r="F132" s="3009" t="s">
        <v>38</v>
      </c>
      <c r="G132" s="3007"/>
      <c r="H132" s="3007"/>
      <c r="I132" s="3007" t="s">
        <v>7249</v>
      </c>
      <c r="J132" s="3009" t="s">
        <v>65</v>
      </c>
      <c r="K132" s="3007" t="s">
        <v>3552</v>
      </c>
      <c r="L132" s="2878" t="s">
        <v>8634</v>
      </c>
      <c r="M132" s="3040">
        <v>400</v>
      </c>
      <c r="N132" s="2907" t="s">
        <v>7536</v>
      </c>
      <c r="O132" s="3019"/>
      <c r="P132" s="3019"/>
      <c r="Q132" s="3010" t="s">
        <v>8618</v>
      </c>
      <c r="R132" s="3045">
        <v>2</v>
      </c>
      <c r="T132" s="2150">
        <v>2400001294</v>
      </c>
      <c r="U132" s="1493">
        <f>VLOOKUP(T132,'PKH UPDATE'!A:D,2,0)</f>
        <v>283</v>
      </c>
      <c r="V132" s="1493">
        <f>VLOOKUP(T132,'PKH UPDATE'!A:D,3,0)</f>
        <v>0</v>
      </c>
      <c r="W132" s="1493">
        <f>VLOOKUP(T132,'PKH UPDATE'!A:D,4,0)</f>
        <v>283</v>
      </c>
    </row>
    <row r="133" spans="1:30" s="2150" customFormat="1" ht="58.6" customHeight="1">
      <c r="A133" s="3851"/>
      <c r="B133" s="3004" t="str">
        <f t="shared" si="2"/>
        <v>2400001293</v>
      </c>
      <c r="C133" s="3009" t="s">
        <v>6645</v>
      </c>
      <c r="D133" s="3006"/>
      <c r="E133" s="3021"/>
      <c r="F133" s="3009" t="s">
        <v>38</v>
      </c>
      <c r="G133" s="3007"/>
      <c r="H133" s="3007"/>
      <c r="I133" s="3007" t="s">
        <v>7249</v>
      </c>
      <c r="J133" s="3009" t="s">
        <v>65</v>
      </c>
      <c r="K133" s="3007" t="s">
        <v>3552</v>
      </c>
      <c r="L133" s="2878" t="s">
        <v>8635</v>
      </c>
      <c r="M133" s="3040">
        <v>1000</v>
      </c>
      <c r="N133" s="2907" t="s">
        <v>7536</v>
      </c>
      <c r="O133" s="3019"/>
      <c r="P133" s="3019"/>
      <c r="Q133" s="3010" t="s">
        <v>8618</v>
      </c>
      <c r="R133" s="3045">
        <v>2</v>
      </c>
      <c r="T133" s="2150">
        <v>2400001293</v>
      </c>
      <c r="U133" s="1493">
        <f>VLOOKUP(T133,'PKH UPDATE'!A:D,2,0)</f>
        <v>914</v>
      </c>
      <c r="V133" s="1493">
        <f>VLOOKUP(T133,'PKH UPDATE'!A:D,3,0)</f>
        <v>0</v>
      </c>
      <c r="W133" s="1493">
        <f>VLOOKUP(T133,'PKH UPDATE'!A:D,4,0)</f>
        <v>914</v>
      </c>
    </row>
    <row r="134" spans="1:30" s="2150" customFormat="1" ht="58.6" customHeight="1">
      <c r="A134" s="3851"/>
      <c r="B134" s="3004" t="str">
        <f t="shared" si="2"/>
        <v>2400001282</v>
      </c>
      <c r="C134" s="3009" t="s">
        <v>6645</v>
      </c>
      <c r="D134" s="3006"/>
      <c r="E134" s="3021"/>
      <c r="F134" s="3009" t="s">
        <v>38</v>
      </c>
      <c r="G134" s="3007"/>
      <c r="H134" s="3007"/>
      <c r="I134" s="3007" t="s">
        <v>7249</v>
      </c>
      <c r="J134" s="3009" t="s">
        <v>65</v>
      </c>
      <c r="K134" s="3007" t="s">
        <v>3552</v>
      </c>
      <c r="L134" s="2878" t="s">
        <v>8636</v>
      </c>
      <c r="M134" s="3040">
        <v>500</v>
      </c>
      <c r="N134" s="2907" t="s">
        <v>7536</v>
      </c>
      <c r="O134" s="3019"/>
      <c r="P134" s="3019"/>
      <c r="Q134" s="3010" t="s">
        <v>8618</v>
      </c>
      <c r="R134" s="3045">
        <v>2</v>
      </c>
      <c r="T134" s="2150">
        <v>2400001282</v>
      </c>
      <c r="U134" s="1493">
        <f>VLOOKUP(T134,'PKH UPDATE'!A:D,2,0)</f>
        <v>425</v>
      </c>
      <c r="V134" s="1493">
        <f>VLOOKUP(T134,'PKH UPDATE'!A:D,3,0)</f>
        <v>0</v>
      </c>
      <c r="W134" s="1493">
        <f>VLOOKUP(T134,'PKH UPDATE'!A:D,4,0)</f>
        <v>425</v>
      </c>
    </row>
    <row r="135" spans="1:30" s="2150" customFormat="1" ht="58.6" customHeight="1">
      <c r="A135" s="3852"/>
      <c r="B135" s="3004" t="str">
        <f t="shared" si="2"/>
        <v>2400001292</v>
      </c>
      <c r="C135" s="3009" t="s">
        <v>6645</v>
      </c>
      <c r="D135" s="3006"/>
      <c r="E135" s="3021"/>
      <c r="F135" s="3009" t="s">
        <v>38</v>
      </c>
      <c r="G135" s="3007"/>
      <c r="H135" s="3007"/>
      <c r="I135" s="3007" t="s">
        <v>7249</v>
      </c>
      <c r="J135" s="3009" t="s">
        <v>65</v>
      </c>
      <c r="K135" s="3007" t="s">
        <v>3552</v>
      </c>
      <c r="L135" s="2878" t="s">
        <v>8637</v>
      </c>
      <c r="M135" s="3040">
        <v>400</v>
      </c>
      <c r="N135" s="2907" t="s">
        <v>7536</v>
      </c>
      <c r="O135" s="3019"/>
      <c r="P135" s="3019"/>
      <c r="Q135" s="3010" t="s">
        <v>8618</v>
      </c>
      <c r="R135" s="3045">
        <v>2</v>
      </c>
      <c r="T135" s="2150">
        <v>2400001292</v>
      </c>
      <c r="U135" s="1493">
        <f>VLOOKUP(T135,'PKH UPDATE'!A:D,2,0)</f>
        <v>401</v>
      </c>
      <c r="V135" s="1493">
        <f>VLOOKUP(T135,'PKH UPDATE'!A:D,3,0)</f>
        <v>0</v>
      </c>
      <c r="W135" s="1493">
        <f>VLOOKUP(T135,'PKH UPDATE'!A:D,4,0)</f>
        <v>401</v>
      </c>
    </row>
    <row r="136" spans="1:30" s="2150" customFormat="1" ht="58.6" customHeight="1">
      <c r="A136" s="2436">
        <v>26</v>
      </c>
      <c r="B136" s="3004" t="str">
        <f t="shared" si="2"/>
        <v>2200002181</v>
      </c>
      <c r="C136" s="3019" t="s">
        <v>134</v>
      </c>
      <c r="D136" s="1494">
        <v>2950</v>
      </c>
      <c r="E136" s="3064" t="s">
        <v>8638</v>
      </c>
      <c r="F136" s="1493" t="s">
        <v>22</v>
      </c>
      <c r="G136" s="1495" t="s">
        <v>8639</v>
      </c>
      <c r="H136" s="1495"/>
      <c r="I136" s="1921" t="s">
        <v>7249</v>
      </c>
      <c r="J136" s="1493" t="s">
        <v>65</v>
      </c>
      <c r="K136" s="1773" t="s">
        <v>142</v>
      </c>
      <c r="L136" s="3195" t="s">
        <v>8581</v>
      </c>
      <c r="M136" s="3047">
        <v>2950</v>
      </c>
      <c r="N136" s="2907" t="s">
        <v>8582</v>
      </c>
      <c r="O136" s="2429"/>
      <c r="P136" s="2429"/>
      <c r="Q136" s="2290"/>
      <c r="R136" s="1748">
        <v>2</v>
      </c>
      <c r="AD136" s="2643"/>
    </row>
    <row r="137" spans="1:30" s="1467" customFormat="1" ht="58.6" customHeight="1">
      <c r="A137" s="3771">
        <v>27</v>
      </c>
      <c r="B137" s="3004" t="str">
        <f t="shared" si="2"/>
        <v>2000003220</v>
      </c>
      <c r="C137" s="3019" t="s">
        <v>5654</v>
      </c>
      <c r="D137" s="1494">
        <v>4350</v>
      </c>
      <c r="E137" s="1921" t="s">
        <v>8584</v>
      </c>
      <c r="F137" s="3009" t="s">
        <v>20</v>
      </c>
      <c r="G137" s="1495" t="s">
        <v>8639</v>
      </c>
      <c r="H137" s="1495"/>
      <c r="I137" s="1909" t="s">
        <v>7249</v>
      </c>
      <c r="J137" s="1909" t="s">
        <v>65</v>
      </c>
      <c r="K137" s="2429" t="s">
        <v>117</v>
      </c>
      <c r="L137" s="1862" t="s">
        <v>8640</v>
      </c>
      <c r="M137" s="3067">
        <v>1314</v>
      </c>
      <c r="N137" s="2196" t="s">
        <v>5392</v>
      </c>
      <c r="O137" s="1493"/>
      <c r="P137" s="1493"/>
      <c r="Q137" s="2590" t="s">
        <v>8641</v>
      </c>
      <c r="R137" s="1748">
        <v>2</v>
      </c>
      <c r="S137" s="1548"/>
      <c r="T137" s="1548"/>
      <c r="U137" s="1548"/>
      <c r="V137" s="1548"/>
      <c r="W137" s="1548"/>
      <c r="X137" s="1548"/>
      <c r="Y137" s="1548"/>
      <c r="Z137" s="1548"/>
      <c r="AA137" s="1548"/>
      <c r="AB137" s="1548"/>
      <c r="AC137" s="1548"/>
    </row>
    <row r="138" spans="1:30" s="2150" customFormat="1" ht="58.6" customHeight="1">
      <c r="A138" s="3772"/>
      <c r="B138" s="3004" t="str">
        <f t="shared" si="2"/>
        <v>2200002165</v>
      </c>
      <c r="C138" s="3009" t="s">
        <v>5654</v>
      </c>
      <c r="D138" s="3066"/>
      <c r="E138" s="1909"/>
      <c r="F138" s="3009" t="s">
        <v>20</v>
      </c>
      <c r="G138" s="1909"/>
      <c r="H138" s="1909"/>
      <c r="I138" s="1921" t="s">
        <v>7249</v>
      </c>
      <c r="J138" s="1493" t="s">
        <v>65</v>
      </c>
      <c r="K138" s="2429" t="s">
        <v>117</v>
      </c>
      <c r="L138" s="1600" t="s">
        <v>8642</v>
      </c>
      <c r="M138" s="3037">
        <f>3140-730</f>
        <v>2410</v>
      </c>
      <c r="N138" s="2196" t="s">
        <v>5392</v>
      </c>
      <c r="O138" s="2429"/>
      <c r="P138" s="2429"/>
      <c r="Q138" s="2290"/>
      <c r="R138" s="3045">
        <v>3</v>
      </c>
    </row>
    <row r="139" spans="1:30" s="2643" customFormat="1" ht="58.6" customHeight="1">
      <c r="A139" s="3772"/>
      <c r="B139" s="3004" t="str">
        <f t="shared" si="2"/>
        <v>2200002182</v>
      </c>
      <c r="C139" s="3009" t="s">
        <v>5654</v>
      </c>
      <c r="D139" s="3066"/>
      <c r="E139" s="1909"/>
      <c r="F139" s="3009" t="s">
        <v>20</v>
      </c>
      <c r="G139" s="1909"/>
      <c r="H139" s="1909"/>
      <c r="I139" s="3058" t="s">
        <v>7249</v>
      </c>
      <c r="J139" s="1495" t="s">
        <v>65</v>
      </c>
      <c r="K139" s="2429" t="s">
        <v>117</v>
      </c>
      <c r="L139" s="3198" t="s">
        <v>8643</v>
      </c>
      <c r="M139" s="3047">
        <v>393</v>
      </c>
      <c r="N139" s="2907" t="s">
        <v>8644</v>
      </c>
      <c r="O139" s="3093"/>
      <c r="P139" s="3093"/>
      <c r="Q139" s="2290"/>
      <c r="R139" s="3045">
        <v>2</v>
      </c>
      <c r="S139" s="2150"/>
      <c r="T139" s="2150"/>
      <c r="U139" s="2150"/>
      <c r="V139" s="2150"/>
      <c r="W139" s="2150"/>
      <c r="X139" s="2150"/>
      <c r="Y139" s="2150"/>
      <c r="Z139" s="2150"/>
      <c r="AA139" s="2150"/>
      <c r="AB139" s="2150"/>
      <c r="AC139" s="2150"/>
      <c r="AD139" s="2150"/>
    </row>
    <row r="140" spans="1:30" s="2643" customFormat="1" ht="58.6" customHeight="1">
      <c r="A140" s="3773"/>
      <c r="B140" s="3004" t="str">
        <f t="shared" si="2"/>
        <v>2200002190</v>
      </c>
      <c r="C140" s="3009" t="s">
        <v>5654</v>
      </c>
      <c r="D140" s="3066"/>
      <c r="E140" s="1909"/>
      <c r="F140" s="3009" t="s">
        <v>20</v>
      </c>
      <c r="G140" s="1909"/>
      <c r="H140" s="1909"/>
      <c r="I140" s="3058" t="s">
        <v>7249</v>
      </c>
      <c r="J140" s="1909" t="s">
        <v>65</v>
      </c>
      <c r="K140" s="2429" t="s">
        <v>117</v>
      </c>
      <c r="L140" s="1862" t="s">
        <v>8645</v>
      </c>
      <c r="M140" s="3067">
        <v>233</v>
      </c>
      <c r="N140" s="2196" t="s">
        <v>8582</v>
      </c>
      <c r="O140" s="3093"/>
      <c r="P140" s="3093"/>
      <c r="Q140" s="2290"/>
      <c r="R140" s="3045">
        <v>2</v>
      </c>
      <c r="S140" s="2150"/>
      <c r="T140" s="2150"/>
      <c r="U140" s="2150"/>
      <c r="V140" s="2150"/>
      <c r="W140" s="2150"/>
      <c r="X140" s="2150"/>
      <c r="Y140" s="2150"/>
      <c r="Z140" s="2150"/>
      <c r="AA140" s="2150"/>
      <c r="AB140" s="2150"/>
      <c r="AC140" s="2150"/>
      <c r="AD140" s="2150"/>
    </row>
    <row r="141" spans="1:30" s="2150" customFormat="1" ht="58.6" customHeight="1">
      <c r="A141" s="3768">
        <v>28</v>
      </c>
      <c r="B141" s="3004" t="str">
        <f t="shared" si="2"/>
        <v>2200002183</v>
      </c>
      <c r="C141" s="1902" t="s">
        <v>3464</v>
      </c>
      <c r="D141" s="2607">
        <v>3750</v>
      </c>
      <c r="E141" s="1921" t="s">
        <v>8584</v>
      </c>
      <c r="F141" s="1902" t="s">
        <v>24</v>
      </c>
      <c r="G141" s="1921" t="s">
        <v>8646</v>
      </c>
      <c r="H141" s="1921"/>
      <c r="I141" s="1921" t="s">
        <v>7249</v>
      </c>
      <c r="J141" s="1493" t="s">
        <v>65</v>
      </c>
      <c r="K141" s="1495" t="s">
        <v>1000</v>
      </c>
      <c r="L141" s="1862" t="s">
        <v>8647</v>
      </c>
      <c r="M141" s="3041">
        <v>2750</v>
      </c>
      <c r="N141" s="2907" t="s">
        <v>7536</v>
      </c>
      <c r="O141" s="1902">
        <v>28</v>
      </c>
      <c r="P141" s="1902"/>
      <c r="Q141" s="1745"/>
      <c r="R141" s="3026">
        <v>2</v>
      </c>
      <c r="S141" s="2429"/>
      <c r="T141" s="2429"/>
    </row>
    <row r="142" spans="1:30" s="2150" customFormat="1" ht="58.6" customHeight="1">
      <c r="A142" s="3769"/>
      <c r="B142" s="3004" t="str">
        <f t="shared" si="2"/>
        <v>2200002124</v>
      </c>
      <c r="C142" s="3009" t="s">
        <v>3464</v>
      </c>
      <c r="D142" s="2607"/>
      <c r="E142" s="1921"/>
      <c r="F142" s="1902" t="s">
        <v>24</v>
      </c>
      <c r="G142" s="1921"/>
      <c r="H142" s="1921"/>
      <c r="I142" s="1921" t="s">
        <v>7249</v>
      </c>
      <c r="J142" s="1493" t="s">
        <v>65</v>
      </c>
      <c r="K142" s="1495" t="s">
        <v>1000</v>
      </c>
      <c r="L142" s="3090" t="s">
        <v>8648</v>
      </c>
      <c r="M142" s="3061">
        <v>1000</v>
      </c>
      <c r="N142" s="2907" t="s">
        <v>7407</v>
      </c>
      <c r="O142" s="1902">
        <v>28</v>
      </c>
      <c r="P142" s="1902"/>
      <c r="R142" s="1495">
        <v>2</v>
      </c>
      <c r="S142" s="1902"/>
      <c r="T142" s="1902"/>
    </row>
    <row r="143" spans="1:30" s="2150" customFormat="1" ht="58.6" customHeight="1">
      <c r="A143" s="3768">
        <v>29</v>
      </c>
      <c r="B143" s="3004" t="str">
        <f t="shared" si="2"/>
        <v>2000003187</v>
      </c>
      <c r="C143" s="1902" t="s">
        <v>3895</v>
      </c>
      <c r="D143" s="2607">
        <v>3950</v>
      </c>
      <c r="E143" s="1921" t="s">
        <v>8584</v>
      </c>
      <c r="F143" s="1902" t="s">
        <v>24</v>
      </c>
      <c r="G143" s="1921" t="s">
        <v>8649</v>
      </c>
      <c r="H143" s="1921"/>
      <c r="I143" s="1921" t="s">
        <v>7249</v>
      </c>
      <c r="J143" s="1493" t="s">
        <v>65</v>
      </c>
      <c r="K143" s="1495" t="s">
        <v>1179</v>
      </c>
      <c r="L143" s="3081" t="s">
        <v>8650</v>
      </c>
      <c r="M143" s="3041">
        <v>1500</v>
      </c>
      <c r="N143" s="2907" t="s">
        <v>5392</v>
      </c>
      <c r="O143" s="1902">
        <v>36</v>
      </c>
      <c r="P143" s="1902"/>
      <c r="Q143" s="1745"/>
      <c r="R143" s="3026">
        <v>2</v>
      </c>
      <c r="S143" s="2429"/>
      <c r="T143" s="2429"/>
    </row>
    <row r="144" spans="1:30" s="1548" customFormat="1" ht="58.6" customHeight="1">
      <c r="A144" s="3770"/>
      <c r="B144" s="3004" t="str">
        <f t="shared" si="2"/>
        <v>2200002151</v>
      </c>
      <c r="C144" s="1493" t="s">
        <v>3895</v>
      </c>
      <c r="D144" s="1494"/>
      <c r="E144" s="1921"/>
      <c r="F144" s="1493" t="s">
        <v>24</v>
      </c>
      <c r="G144" s="1495"/>
      <c r="H144" s="1495"/>
      <c r="I144" s="1495" t="s">
        <v>7249</v>
      </c>
      <c r="J144" s="1493" t="s">
        <v>65</v>
      </c>
      <c r="K144" s="1495" t="s">
        <v>1179</v>
      </c>
      <c r="L144" s="3198" t="s">
        <v>8651</v>
      </c>
      <c r="M144" s="3082">
        <v>1025</v>
      </c>
      <c r="N144" s="2907" t="s">
        <v>7407</v>
      </c>
      <c r="O144" s="1902">
        <v>36</v>
      </c>
      <c r="P144" s="1902"/>
      <c r="Q144" s="1745"/>
      <c r="R144" s="1748">
        <v>2</v>
      </c>
      <c r="AD144" s="1467"/>
    </row>
    <row r="145" spans="1:30" s="1467" customFormat="1" ht="58.6" customHeight="1">
      <c r="A145" s="3770"/>
      <c r="B145" s="3004" t="str">
        <f t="shared" si="2"/>
        <v>2200002167</v>
      </c>
      <c r="C145" s="1493" t="s">
        <v>3895</v>
      </c>
      <c r="D145" s="1494"/>
      <c r="E145" s="1921"/>
      <c r="F145" s="1493" t="s">
        <v>24</v>
      </c>
      <c r="G145" s="1495"/>
      <c r="H145" s="1495"/>
      <c r="I145" s="1495" t="s">
        <v>7249</v>
      </c>
      <c r="J145" s="1493" t="s">
        <v>65</v>
      </c>
      <c r="K145" s="1495" t="s">
        <v>1179</v>
      </c>
      <c r="L145" s="3198" t="s">
        <v>8652</v>
      </c>
      <c r="M145" s="3082">
        <v>755</v>
      </c>
      <c r="N145" s="2907" t="s">
        <v>7407</v>
      </c>
      <c r="O145" s="1902">
        <v>36</v>
      </c>
      <c r="P145" s="1902"/>
      <c r="Q145" s="1745"/>
      <c r="R145" s="1748">
        <v>2</v>
      </c>
      <c r="S145" s="1548"/>
      <c r="T145" s="1548"/>
      <c r="U145" s="1548"/>
      <c r="V145" s="1548"/>
      <c r="W145" s="1548"/>
      <c r="X145" s="1548"/>
      <c r="Y145" s="1548"/>
      <c r="Z145" s="1548"/>
      <c r="AA145" s="1548"/>
      <c r="AB145" s="1548"/>
      <c r="AC145" s="1548"/>
    </row>
    <row r="146" spans="1:30" s="1467" customFormat="1" ht="58.6" customHeight="1">
      <c r="A146" s="3770"/>
      <c r="B146" s="3004" t="str">
        <f t="shared" si="2"/>
        <v>2200002136</v>
      </c>
      <c r="C146" s="1493" t="s">
        <v>3895</v>
      </c>
      <c r="D146" s="2607"/>
      <c r="E146" s="1921"/>
      <c r="F146" s="1493" t="s">
        <v>24</v>
      </c>
      <c r="G146" s="3021"/>
      <c r="H146" s="3021"/>
      <c r="I146" s="1495" t="s">
        <v>7249</v>
      </c>
      <c r="J146" s="1493" t="s">
        <v>65</v>
      </c>
      <c r="K146" s="1495" t="s">
        <v>1179</v>
      </c>
      <c r="L146" s="2878" t="s">
        <v>8653</v>
      </c>
      <c r="M146" s="3083">
        <v>310</v>
      </c>
      <c r="N146" s="2907" t="s">
        <v>7407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6" customHeight="1">
      <c r="A147" s="3769"/>
      <c r="B147" s="3004" t="str">
        <f t="shared" si="2"/>
        <v>2000003258</v>
      </c>
      <c r="C147" s="1493" t="s">
        <v>3895</v>
      </c>
      <c r="D147" s="2607"/>
      <c r="E147" s="1921"/>
      <c r="F147" s="1493" t="s">
        <v>24</v>
      </c>
      <c r="G147" s="3021"/>
      <c r="H147" s="3021"/>
      <c r="I147" s="1495" t="s">
        <v>7249</v>
      </c>
      <c r="J147" s="1493" t="s">
        <v>65</v>
      </c>
      <c r="K147" s="1495" t="s">
        <v>1179</v>
      </c>
      <c r="L147" s="2878" t="s">
        <v>8654</v>
      </c>
      <c r="M147" s="3083">
        <v>360</v>
      </c>
      <c r="N147" s="2907" t="s">
        <v>7407</v>
      </c>
      <c r="O147" s="2563">
        <v>36</v>
      </c>
      <c r="P147" s="2563"/>
      <c r="Q147" s="2223"/>
      <c r="R147" s="1495">
        <v>2</v>
      </c>
      <c r="S147" s="1548"/>
      <c r="T147" s="1548"/>
      <c r="U147" s="1548"/>
      <c r="V147" s="1548"/>
      <c r="W147" s="1548"/>
      <c r="X147" s="1548"/>
      <c r="Y147" s="1548"/>
      <c r="Z147" s="1548"/>
      <c r="AA147" s="1548"/>
      <c r="AB147" s="1548"/>
      <c r="AC147" s="1548"/>
    </row>
    <row r="148" spans="1:30" s="2643" customFormat="1" ht="58.6" customHeight="1">
      <c r="A148" s="3768">
        <v>30</v>
      </c>
      <c r="B148" s="3004" t="str">
        <f t="shared" si="2"/>
        <v>2000003283</v>
      </c>
      <c r="C148" s="1902" t="s">
        <v>234</v>
      </c>
      <c r="D148" s="2607">
        <v>11700</v>
      </c>
      <c r="E148" s="1921" t="s">
        <v>8655</v>
      </c>
      <c r="F148" s="1902" t="s">
        <v>16</v>
      </c>
      <c r="G148" s="1921" t="s">
        <v>8656</v>
      </c>
      <c r="H148" s="1921"/>
      <c r="I148" s="1495" t="s">
        <v>7249</v>
      </c>
      <c r="J148" s="1902" t="s">
        <v>65</v>
      </c>
      <c r="K148" s="1921" t="s">
        <v>294</v>
      </c>
      <c r="L148" s="3080" t="s">
        <v>8657</v>
      </c>
      <c r="M148" s="3079">
        <v>3200</v>
      </c>
      <c r="N148" s="2907" t="s">
        <v>7407</v>
      </c>
      <c r="O148" s="2429"/>
      <c r="P148" s="2429"/>
      <c r="Q148" s="2590" t="s">
        <v>8658</v>
      </c>
      <c r="R148" s="1748">
        <v>2</v>
      </c>
      <c r="S148" s="2150"/>
      <c r="T148" s="2150"/>
      <c r="U148" s="2150"/>
      <c r="V148" s="2150"/>
      <c r="W148" s="2150"/>
      <c r="X148" s="2150"/>
      <c r="Y148" s="2150"/>
      <c r="Z148" s="2150"/>
      <c r="AA148" s="2150"/>
      <c r="AB148" s="2150"/>
      <c r="AC148" s="2150"/>
    </row>
    <row r="149" spans="1:30" s="1467" customFormat="1" ht="58.6" customHeight="1">
      <c r="A149" s="3770"/>
      <c r="B149" s="3004" t="str">
        <f t="shared" si="2"/>
        <v>2000003289</v>
      </c>
      <c r="C149" s="1493" t="s">
        <v>234</v>
      </c>
      <c r="D149" s="1494"/>
      <c r="E149" s="1921"/>
      <c r="F149" s="1493" t="s">
        <v>16</v>
      </c>
      <c r="G149" s="1495"/>
      <c r="H149" s="1495"/>
      <c r="I149" s="1624" t="s">
        <v>7249</v>
      </c>
      <c r="J149" s="1493" t="s">
        <v>65</v>
      </c>
      <c r="K149" s="1495" t="s">
        <v>106</v>
      </c>
      <c r="L149" s="3090" t="s">
        <v>8659</v>
      </c>
      <c r="M149" s="3037">
        <v>2500</v>
      </c>
      <c r="N149" s="2907" t="s">
        <v>7407</v>
      </c>
      <c r="O149" s="1493"/>
      <c r="P149" s="1493"/>
      <c r="Q149" s="2223" t="s">
        <v>8660</v>
      </c>
      <c r="R149" s="1748">
        <v>2</v>
      </c>
      <c r="S149" s="1548"/>
      <c r="T149" s="1548"/>
      <c r="U149" s="1548"/>
      <c r="V149" s="1548"/>
      <c r="W149" s="1548"/>
      <c r="X149" s="1548"/>
      <c r="Y149" s="1548"/>
      <c r="Z149" s="1548"/>
      <c r="AA149" s="1548"/>
      <c r="AB149" s="1548"/>
      <c r="AC149" s="1548"/>
    </row>
    <row r="150" spans="1:30" s="1467" customFormat="1" ht="78.8" customHeight="1">
      <c r="A150" s="3770"/>
      <c r="B150" s="3004" t="str">
        <f t="shared" si="2"/>
        <v>2000003290</v>
      </c>
      <c r="C150" s="1493" t="s">
        <v>234</v>
      </c>
      <c r="D150" s="1494"/>
      <c r="E150" s="1921"/>
      <c r="F150" s="1493" t="s">
        <v>16</v>
      </c>
      <c r="G150" s="1495"/>
      <c r="H150" s="1495"/>
      <c r="I150" s="1624" t="s">
        <v>7249</v>
      </c>
      <c r="J150" s="1493" t="s">
        <v>65</v>
      </c>
      <c r="K150" s="1495" t="s">
        <v>462</v>
      </c>
      <c r="L150" s="2878" t="s">
        <v>8661</v>
      </c>
      <c r="M150" s="3037">
        <v>715</v>
      </c>
      <c r="N150" s="2907" t="s">
        <v>5392</v>
      </c>
      <c r="O150" s="1493"/>
      <c r="P150" s="1493"/>
      <c r="Q150" s="2223" t="s">
        <v>8662</v>
      </c>
      <c r="R150" s="1748">
        <v>2</v>
      </c>
      <c r="S150" s="1548"/>
      <c r="T150" s="1548"/>
      <c r="U150" s="1548"/>
      <c r="V150" s="1548"/>
      <c r="W150" s="1548"/>
      <c r="X150" s="1548"/>
      <c r="Y150" s="1548"/>
      <c r="Z150" s="1548"/>
      <c r="AA150" s="1548"/>
      <c r="AB150" s="1548"/>
      <c r="AC150" s="1548"/>
    </row>
    <row r="151" spans="1:30" s="1548" customFormat="1" ht="58.6" customHeight="1">
      <c r="A151" s="3770"/>
      <c r="B151" s="3004" t="str">
        <f t="shared" si="2"/>
        <v>2000003303</v>
      </c>
      <c r="C151" s="1493" t="s">
        <v>234</v>
      </c>
      <c r="D151" s="3006"/>
      <c r="E151" s="3021"/>
      <c r="F151" s="1493" t="s">
        <v>16</v>
      </c>
      <c r="G151" s="3007"/>
      <c r="H151" s="3007"/>
      <c r="I151" s="1624" t="s">
        <v>7249</v>
      </c>
      <c r="J151" s="3009" t="s">
        <v>65</v>
      </c>
      <c r="K151" s="3007" t="s">
        <v>106</v>
      </c>
      <c r="L151" s="2878" t="s">
        <v>8663</v>
      </c>
      <c r="M151" s="3040">
        <v>4000</v>
      </c>
      <c r="N151" s="2907" t="s">
        <v>5392</v>
      </c>
      <c r="O151" s="3009"/>
      <c r="P151" s="3009"/>
      <c r="Q151" s="2590" t="s">
        <v>8658</v>
      </c>
      <c r="R151" s="3045">
        <v>2</v>
      </c>
      <c r="AC151" s="1467"/>
    </row>
    <row r="152" spans="1:30" s="1548" customFormat="1" ht="58.6" customHeight="1">
      <c r="A152" s="3770"/>
      <c r="B152" s="3004" t="str">
        <f t="shared" si="2"/>
        <v>2000003200</v>
      </c>
      <c r="C152" s="1493" t="s">
        <v>234</v>
      </c>
      <c r="D152" s="3006"/>
      <c r="E152" s="3021"/>
      <c r="F152" s="1493" t="s">
        <v>16</v>
      </c>
      <c r="G152" s="3007"/>
      <c r="H152" s="3007"/>
      <c r="I152" s="1624" t="s">
        <v>7249</v>
      </c>
      <c r="J152" s="3009" t="s">
        <v>65</v>
      </c>
      <c r="K152" s="3007" t="s">
        <v>106</v>
      </c>
      <c r="L152" s="2878" t="s">
        <v>8664</v>
      </c>
      <c r="M152" s="3040">
        <v>1000</v>
      </c>
      <c r="N152" s="2907" t="s">
        <v>8665</v>
      </c>
      <c r="O152" s="3009"/>
      <c r="P152" s="3009"/>
      <c r="Q152" s="2590" t="s">
        <v>8658</v>
      </c>
      <c r="R152" s="3045">
        <v>2</v>
      </c>
    </row>
    <row r="153" spans="1:30" s="1467" customFormat="1" ht="58.6" customHeight="1">
      <c r="A153" s="3769"/>
      <c r="B153" s="3004" t="str">
        <f t="shared" si="2"/>
        <v>2000003335</v>
      </c>
      <c r="C153" s="1493" t="s">
        <v>234</v>
      </c>
      <c r="D153" s="3006"/>
      <c r="E153" s="3021"/>
      <c r="F153" s="1493" t="s">
        <v>16</v>
      </c>
      <c r="G153" s="3007"/>
      <c r="H153" s="3007"/>
      <c r="I153" s="1624" t="s">
        <v>7249</v>
      </c>
      <c r="J153" s="3009" t="s">
        <v>65</v>
      </c>
      <c r="K153" s="3007" t="s">
        <v>106</v>
      </c>
      <c r="L153" s="2878" t="s">
        <v>8666</v>
      </c>
      <c r="M153" s="3040">
        <v>260</v>
      </c>
      <c r="N153" s="2907" t="s">
        <v>5392</v>
      </c>
      <c r="O153" s="3009"/>
      <c r="P153" s="3009"/>
      <c r="Q153" s="2590"/>
      <c r="R153" s="3045">
        <v>2</v>
      </c>
      <c r="S153" s="1548"/>
      <c r="T153" s="1548"/>
      <c r="U153" s="1548"/>
      <c r="V153" s="1548"/>
      <c r="W153" s="1548"/>
      <c r="X153" s="1548"/>
      <c r="Y153" s="1548"/>
      <c r="Z153" s="1548"/>
      <c r="AA153" s="1548"/>
      <c r="AB153" s="1548"/>
      <c r="AC153" s="1548"/>
    </row>
    <row r="154" spans="1:30" s="2643" customFormat="1" ht="58.6" customHeight="1">
      <c r="A154" s="3768">
        <v>31</v>
      </c>
      <c r="B154" s="3004" t="str">
        <f t="shared" si="2"/>
        <v>2000003318</v>
      </c>
      <c r="C154" s="1902" t="s">
        <v>8667</v>
      </c>
      <c r="D154" s="2607">
        <v>13400</v>
      </c>
      <c r="E154" s="1921" t="s">
        <v>8584</v>
      </c>
      <c r="F154" s="1902" t="s">
        <v>14</v>
      </c>
      <c r="G154" s="1921" t="s">
        <v>8668</v>
      </c>
      <c r="H154" s="1921"/>
      <c r="I154" s="3094" t="s">
        <v>7249</v>
      </c>
      <c r="J154" s="1493" t="s">
        <v>65</v>
      </c>
      <c r="K154" s="1921" t="s">
        <v>164</v>
      </c>
      <c r="L154" s="1845" t="s">
        <v>8669</v>
      </c>
      <c r="M154" s="3041">
        <v>4500</v>
      </c>
      <c r="N154" s="2907" t="s">
        <v>7407</v>
      </c>
      <c r="O154" s="1902"/>
      <c r="P154" s="1902"/>
      <c r="Q154" s="1745" t="s">
        <v>8658</v>
      </c>
      <c r="R154" s="1748">
        <v>2</v>
      </c>
      <c r="S154" s="2150"/>
      <c r="T154" s="2150"/>
      <c r="U154" s="2150"/>
      <c r="V154" s="2150"/>
      <c r="W154" s="2150"/>
      <c r="X154" s="2150"/>
      <c r="Y154" s="2150"/>
      <c r="Z154" s="2150"/>
      <c r="AA154" s="2150"/>
      <c r="AB154" s="2150"/>
      <c r="AC154" s="2150"/>
    </row>
    <row r="155" spans="1:30" s="1467" customFormat="1" ht="58.6" customHeight="1">
      <c r="A155" s="3769"/>
      <c r="B155" s="3004" t="str">
        <f t="shared" si="2"/>
        <v>2000003317</v>
      </c>
      <c r="C155" s="1493" t="s">
        <v>8667</v>
      </c>
      <c r="D155" s="1494"/>
      <c r="E155" s="1921"/>
      <c r="F155" s="1493" t="s">
        <v>14</v>
      </c>
      <c r="G155" s="1495"/>
      <c r="H155" s="1495"/>
      <c r="I155" s="1624" t="s">
        <v>7249</v>
      </c>
      <c r="J155" s="1493" t="s">
        <v>65</v>
      </c>
      <c r="K155" s="1495" t="s">
        <v>164</v>
      </c>
      <c r="L155" s="1600" t="s">
        <v>8670</v>
      </c>
      <c r="M155" s="3037">
        <v>9000</v>
      </c>
      <c r="N155" s="2907" t="s">
        <v>7407</v>
      </c>
      <c r="O155" s="1493"/>
      <c r="P155" s="1493"/>
      <c r="Q155" s="2590" t="s">
        <v>8658</v>
      </c>
      <c r="R155" s="1748">
        <v>2</v>
      </c>
      <c r="S155" s="1548"/>
      <c r="T155" s="1548"/>
      <c r="U155" s="1548"/>
      <c r="V155" s="1548"/>
      <c r="W155" s="1548"/>
      <c r="X155" s="1548"/>
      <c r="Y155" s="1548"/>
      <c r="Z155" s="1548"/>
      <c r="AA155" s="1548"/>
      <c r="AB155" s="1548"/>
      <c r="AC155" s="1548"/>
    </row>
    <row r="156" spans="1:30" s="2150" customFormat="1" ht="58.6" customHeight="1">
      <c r="A156" s="3876">
        <v>32</v>
      </c>
      <c r="B156" s="3004" t="str">
        <f t="shared" si="2"/>
        <v>2400001301</v>
      </c>
      <c r="C156" s="3019" t="s">
        <v>8671</v>
      </c>
      <c r="D156" s="3020">
        <f>SUM(M156:M161)</f>
        <v>7275</v>
      </c>
      <c r="E156" s="3021" t="s">
        <v>8558</v>
      </c>
      <c r="F156" s="3019" t="s">
        <v>2301</v>
      </c>
      <c r="G156" s="3021" t="s">
        <v>8672</v>
      </c>
      <c r="H156" s="3021"/>
      <c r="I156" s="1624" t="s">
        <v>7249</v>
      </c>
      <c r="J156" s="3019" t="s">
        <v>65</v>
      </c>
      <c r="K156" s="3021" t="s">
        <v>7127</v>
      </c>
      <c r="L156" s="2904" t="s">
        <v>8673</v>
      </c>
      <c r="M156" s="3036">
        <v>1175</v>
      </c>
      <c r="N156" s="2907" t="s">
        <v>7499</v>
      </c>
      <c r="O156" s="3019">
        <v>25</v>
      </c>
      <c r="P156" s="3019"/>
      <c r="Q156" s="3023" t="s">
        <v>8674</v>
      </c>
      <c r="R156" s="3026">
        <v>2</v>
      </c>
      <c r="T156" s="2150">
        <v>2400001301</v>
      </c>
      <c r="U156" s="1902">
        <f>VLOOKUP(T156,'PKH UPDATE'!A:D,2,0)</f>
        <v>1016</v>
      </c>
      <c r="V156" s="1902">
        <f>VLOOKUP(T156,'PKH UPDATE'!A:D,3,0)</f>
        <v>0</v>
      </c>
      <c r="W156" s="1902">
        <f>VLOOKUP(T156,'PKH UPDATE'!A:D,4,0)</f>
        <v>1016</v>
      </c>
    </row>
    <row r="157" spans="1:30" s="1548" customFormat="1" ht="58.6" customHeight="1">
      <c r="A157" s="3877"/>
      <c r="B157" s="3004" t="str">
        <f t="shared" si="2"/>
        <v>2400001302</v>
      </c>
      <c r="C157" s="3009" t="s">
        <v>8671</v>
      </c>
      <c r="D157" s="3006"/>
      <c r="E157" s="3021"/>
      <c r="F157" s="3009" t="s">
        <v>2301</v>
      </c>
      <c r="G157" s="3007"/>
      <c r="H157" s="3007"/>
      <c r="I157" s="1624" t="s">
        <v>7249</v>
      </c>
      <c r="J157" s="3009" t="s">
        <v>65</v>
      </c>
      <c r="K157" s="3007" t="s">
        <v>7127</v>
      </c>
      <c r="L157" s="2878" t="s">
        <v>8675</v>
      </c>
      <c r="M157" s="3040">
        <v>700</v>
      </c>
      <c r="N157" s="2907" t="s">
        <v>7499</v>
      </c>
      <c r="O157" s="3009"/>
      <c r="P157" s="3009"/>
      <c r="Q157" s="3010" t="s">
        <v>8674</v>
      </c>
      <c r="R157" s="3045">
        <v>2</v>
      </c>
      <c r="T157" s="1548">
        <v>2400001302</v>
      </c>
      <c r="U157" s="1493">
        <f>VLOOKUP(T157,'PKH UPDATE'!A:D,2,0)</f>
        <v>326</v>
      </c>
      <c r="V157" s="1493">
        <f>VLOOKUP(T157,'PKH UPDATE'!A:D,3,0)</f>
        <v>0</v>
      </c>
      <c r="W157" s="1493">
        <f>VLOOKUP(T157,'PKH UPDATE'!A:D,4,0)</f>
        <v>326</v>
      </c>
    </row>
    <row r="158" spans="1:30" s="1548" customFormat="1" ht="58.6" customHeight="1">
      <c r="A158" s="3877"/>
      <c r="B158" s="3004" t="str">
        <f t="shared" si="2"/>
        <v>2400001303</v>
      </c>
      <c r="C158" s="3009" t="s">
        <v>8671</v>
      </c>
      <c r="D158" s="3006"/>
      <c r="E158" s="3021"/>
      <c r="F158" s="3009" t="s">
        <v>2301</v>
      </c>
      <c r="G158" s="3007"/>
      <c r="H158" s="3007"/>
      <c r="I158" s="1624" t="s">
        <v>7249</v>
      </c>
      <c r="J158" s="3009" t="s">
        <v>65</v>
      </c>
      <c r="K158" s="3007" t="s">
        <v>7127</v>
      </c>
      <c r="L158" s="2878" t="s">
        <v>8676</v>
      </c>
      <c r="M158" s="3040">
        <v>475</v>
      </c>
      <c r="N158" s="2907" t="s">
        <v>7499</v>
      </c>
      <c r="O158" s="3009"/>
      <c r="P158" s="3009"/>
      <c r="Q158" s="3010" t="s">
        <v>8674</v>
      </c>
      <c r="R158" s="3045">
        <v>2</v>
      </c>
      <c r="T158" s="1548">
        <v>2400001303</v>
      </c>
      <c r="U158" s="1493">
        <f>VLOOKUP(T158,'PKH UPDATE'!A:D,2,0)</f>
        <v>258</v>
      </c>
      <c r="V158" s="1493">
        <f>VLOOKUP(T158,'PKH UPDATE'!A:D,3,0)</f>
        <v>0</v>
      </c>
      <c r="W158" s="1493">
        <f>VLOOKUP(T158,'PKH UPDATE'!A:D,4,0)</f>
        <v>258</v>
      </c>
    </row>
    <row r="159" spans="1:30" s="1548" customFormat="1" ht="58.6" customHeight="1">
      <c r="A159" s="3877"/>
      <c r="B159" s="3004" t="str">
        <f t="shared" si="2"/>
        <v>2400001304</v>
      </c>
      <c r="C159" s="3009" t="s">
        <v>8671</v>
      </c>
      <c r="D159" s="3006"/>
      <c r="E159" s="3021"/>
      <c r="F159" s="3009" t="s">
        <v>2301</v>
      </c>
      <c r="G159" s="3007"/>
      <c r="H159" s="3007"/>
      <c r="I159" s="1624" t="s">
        <v>7249</v>
      </c>
      <c r="J159" s="3009" t="s">
        <v>65</v>
      </c>
      <c r="K159" s="3007" t="s">
        <v>7127</v>
      </c>
      <c r="L159" s="2878" t="s">
        <v>8677</v>
      </c>
      <c r="M159" s="3040">
        <v>1825</v>
      </c>
      <c r="N159" s="2907" t="s">
        <v>7499</v>
      </c>
      <c r="O159" s="3009"/>
      <c r="P159" s="3009"/>
      <c r="Q159" s="3010" t="s">
        <v>8674</v>
      </c>
      <c r="R159" s="3045">
        <v>2</v>
      </c>
      <c r="T159" s="1548">
        <v>2400001304</v>
      </c>
      <c r="U159" s="1493">
        <f>VLOOKUP(T159,'PKH UPDATE'!A:D,2,0)</f>
        <v>888</v>
      </c>
      <c r="V159" s="1493">
        <f>VLOOKUP(T159,'PKH UPDATE'!A:D,3,0)</f>
        <v>0</v>
      </c>
      <c r="W159" s="1493">
        <f>VLOOKUP(T159,'PKH UPDATE'!A:D,4,0)</f>
        <v>888</v>
      </c>
    </row>
    <row r="160" spans="1:30" s="3004" customFormat="1" ht="58.6" customHeight="1">
      <c r="A160" s="3877"/>
      <c r="B160" s="3004" t="str">
        <f t="shared" si="2"/>
        <v>2400001308</v>
      </c>
      <c r="C160" s="3009" t="s">
        <v>8671</v>
      </c>
      <c r="D160" s="3006"/>
      <c r="E160" s="3021"/>
      <c r="F160" s="3009" t="s">
        <v>2301</v>
      </c>
      <c r="G160" s="3007"/>
      <c r="H160" s="3007"/>
      <c r="I160" s="1624" t="s">
        <v>7249</v>
      </c>
      <c r="J160" s="3009" t="s">
        <v>65</v>
      </c>
      <c r="K160" s="3007" t="s">
        <v>7127</v>
      </c>
      <c r="L160" s="3098" t="s">
        <v>8678</v>
      </c>
      <c r="M160" s="3099">
        <v>2100</v>
      </c>
      <c r="N160" s="2907" t="s">
        <v>7499</v>
      </c>
      <c r="Q160" s="3010" t="s">
        <v>8674</v>
      </c>
      <c r="R160" s="3045">
        <v>2</v>
      </c>
      <c r="T160" s="3004">
        <v>2400001308</v>
      </c>
      <c r="U160" s="1493">
        <f>VLOOKUP(T160,'PKH UPDATE'!A:D,2,0)</f>
        <v>400</v>
      </c>
      <c r="V160" s="1493">
        <f>VLOOKUP(T160,'PKH UPDATE'!A:D,3,0)</f>
        <v>0</v>
      </c>
      <c r="W160" s="1493">
        <f>VLOOKUP(T160,'PKH UPDATE'!A:D,4,0)</f>
        <v>400</v>
      </c>
    </row>
    <row r="161" spans="1:30" s="3004" customFormat="1" ht="58.6" customHeight="1">
      <c r="A161" s="3878"/>
      <c r="B161" s="3004" t="str">
        <f t="shared" si="2"/>
        <v>2400001307</v>
      </c>
      <c r="C161" s="3009" t="s">
        <v>8671</v>
      </c>
      <c r="D161" s="3006"/>
      <c r="E161" s="3021"/>
      <c r="F161" s="3009" t="s">
        <v>2301</v>
      </c>
      <c r="G161" s="3007"/>
      <c r="H161" s="3007"/>
      <c r="I161" s="1624" t="s">
        <v>7249</v>
      </c>
      <c r="J161" s="3009" t="s">
        <v>65</v>
      </c>
      <c r="K161" s="3068" t="s">
        <v>7127</v>
      </c>
      <c r="L161" s="2878" t="s">
        <v>8679</v>
      </c>
      <c r="M161" s="3099">
        <v>1000</v>
      </c>
      <c r="N161" s="2907" t="s">
        <v>7499</v>
      </c>
      <c r="Q161" s="3010" t="s">
        <v>8674</v>
      </c>
      <c r="R161" s="3045">
        <v>2</v>
      </c>
      <c r="T161" s="3004">
        <v>2400001307</v>
      </c>
      <c r="U161" s="1493">
        <f>VLOOKUP(T161,'PKH UPDATE'!A:D,2,0)</f>
        <v>137</v>
      </c>
      <c r="V161" s="1493">
        <f>VLOOKUP(T161,'PKH UPDATE'!A:D,3,0)</f>
        <v>0</v>
      </c>
      <c r="W161" s="1493">
        <f>VLOOKUP(T161,'PKH UPDATE'!A:D,4,0)</f>
        <v>137</v>
      </c>
    </row>
    <row r="162" spans="1:30" s="1467" customFormat="1" ht="58.6" customHeight="1">
      <c r="A162" s="3771">
        <v>33</v>
      </c>
      <c r="B162" s="3004" t="str">
        <f t="shared" si="2"/>
        <v>2000003305</v>
      </c>
      <c r="C162" s="3019" t="s">
        <v>2953</v>
      </c>
      <c r="D162" s="1494">
        <v>4000</v>
      </c>
      <c r="E162" s="1921" t="s">
        <v>8680</v>
      </c>
      <c r="F162" s="1493" t="s">
        <v>22</v>
      </c>
      <c r="G162" s="1495" t="s">
        <v>8681</v>
      </c>
      <c r="H162" s="1495" t="s">
        <v>8682</v>
      </c>
      <c r="I162" s="1624" t="s">
        <v>7249</v>
      </c>
      <c r="J162" s="1493" t="s">
        <v>65</v>
      </c>
      <c r="K162" s="1773" t="s">
        <v>240</v>
      </c>
      <c r="L162" s="2875" t="s">
        <v>8683</v>
      </c>
      <c r="M162" s="3097">
        <v>2000</v>
      </c>
      <c r="N162" s="2907" t="s">
        <v>5392</v>
      </c>
      <c r="O162" s="1493"/>
      <c r="P162" s="1493"/>
      <c r="Q162" s="2590"/>
      <c r="R162" s="1748">
        <v>2</v>
      </c>
      <c r="S162" s="1548"/>
      <c r="T162" s="1548"/>
      <c r="U162" s="1548"/>
      <c r="V162" s="1548"/>
      <c r="W162" s="1548"/>
      <c r="X162" s="1548"/>
      <c r="Y162" s="1548"/>
      <c r="Z162" s="1548"/>
      <c r="AA162" s="1548"/>
      <c r="AB162" s="1548"/>
      <c r="AC162" s="1548"/>
    </row>
    <row r="163" spans="1:30" s="1467" customFormat="1" ht="58.6" customHeight="1">
      <c r="A163" s="3772"/>
      <c r="B163" s="3004" t="str">
        <f t="shared" si="2"/>
        <v>2000003316</v>
      </c>
      <c r="C163" s="3009" t="s">
        <v>2953</v>
      </c>
      <c r="D163" s="1494"/>
      <c r="E163" s="1921"/>
      <c r="F163" s="1493" t="s">
        <v>22</v>
      </c>
      <c r="G163" s="1495"/>
      <c r="H163" s="1495"/>
      <c r="I163" s="1624" t="s">
        <v>7249</v>
      </c>
      <c r="J163" s="1493" t="s">
        <v>65</v>
      </c>
      <c r="K163" s="1495" t="s">
        <v>117</v>
      </c>
      <c r="L163" s="1600" t="s">
        <v>8684</v>
      </c>
      <c r="M163" s="3037">
        <v>700</v>
      </c>
      <c r="N163" s="2196" t="s">
        <v>7536</v>
      </c>
      <c r="O163" s="1493"/>
      <c r="P163" s="1493"/>
      <c r="Q163" s="2590" t="s">
        <v>8685</v>
      </c>
      <c r="R163" s="1748">
        <v>2</v>
      </c>
      <c r="S163" s="1548"/>
      <c r="T163" s="1548"/>
      <c r="U163" s="1548"/>
      <c r="V163" s="1548"/>
      <c r="W163" s="1548"/>
      <c r="X163" s="1548"/>
      <c r="Y163" s="1548"/>
      <c r="Z163" s="1548"/>
      <c r="AA163" s="1548"/>
      <c r="AB163" s="1548"/>
      <c r="AC163" s="1548"/>
    </row>
    <row r="164" spans="1:30" s="1467" customFormat="1" ht="58.6" customHeight="1">
      <c r="A164" s="3773"/>
      <c r="B164" s="3004" t="str">
        <f t="shared" si="2"/>
        <v>2000003220</v>
      </c>
      <c r="C164" s="3009" t="s">
        <v>2953</v>
      </c>
      <c r="D164" s="1494"/>
      <c r="E164" s="1921"/>
      <c r="F164" s="1493" t="s">
        <v>22</v>
      </c>
      <c r="G164" s="1495"/>
      <c r="H164" s="1495"/>
      <c r="I164" s="1921" t="s">
        <v>7249</v>
      </c>
      <c r="J164" s="1921" t="s">
        <v>65</v>
      </c>
      <c r="K164" s="1902" t="s">
        <v>117</v>
      </c>
      <c r="L164" s="1497" t="s">
        <v>8686</v>
      </c>
      <c r="M164" s="3041">
        <v>1300</v>
      </c>
      <c r="N164" s="2196" t="s">
        <v>5392</v>
      </c>
      <c r="O164" s="1493"/>
      <c r="P164" s="1493"/>
      <c r="Q164" s="2590"/>
      <c r="R164" s="1748">
        <v>2</v>
      </c>
      <c r="S164" s="1548"/>
      <c r="T164" s="1548"/>
      <c r="U164" s="1548"/>
      <c r="V164" s="1548"/>
      <c r="W164" s="1548"/>
      <c r="X164" s="1548"/>
      <c r="Y164" s="1548"/>
      <c r="Z164" s="1548"/>
      <c r="AA164" s="1548"/>
      <c r="AB164" s="1548"/>
      <c r="AC164" s="1548"/>
    </row>
    <row r="165" spans="1:30" s="2643" customFormat="1" ht="58.6" customHeight="1">
      <c r="A165" s="3873">
        <v>34</v>
      </c>
      <c r="B165" s="3004" t="str">
        <f t="shared" si="2"/>
        <v>2200002186</v>
      </c>
      <c r="C165" s="2180" t="s">
        <v>4824</v>
      </c>
      <c r="D165" s="3100">
        <v>5820</v>
      </c>
      <c r="E165" s="3101" t="s">
        <v>8687</v>
      </c>
      <c r="F165" s="2667" t="s">
        <v>18</v>
      </c>
      <c r="G165" s="3101" t="s">
        <v>8688</v>
      </c>
      <c r="H165" s="1495" t="s">
        <v>8682</v>
      </c>
      <c r="I165" s="1921" t="s">
        <v>7249</v>
      </c>
      <c r="J165" s="1493" t="s">
        <v>65</v>
      </c>
      <c r="K165" s="3021" t="s">
        <v>1179</v>
      </c>
      <c r="L165" s="3199" t="s">
        <v>8689</v>
      </c>
      <c r="M165" s="3102">
        <v>4834</v>
      </c>
      <c r="N165" s="2196" t="s">
        <v>8690</v>
      </c>
      <c r="O165" s="3093"/>
      <c r="P165" s="3093"/>
      <c r="Q165" s="2290"/>
      <c r="R165" s="3026">
        <v>2</v>
      </c>
      <c r="S165" s="1745"/>
      <c r="T165" s="1745"/>
      <c r="U165" s="1745"/>
      <c r="V165" s="1745"/>
      <c r="W165" s="1745"/>
      <c r="X165" s="1745"/>
      <c r="Y165" s="1745"/>
      <c r="Z165" s="1745"/>
      <c r="AA165" s="1745"/>
      <c r="AB165" s="1745"/>
      <c r="AC165" s="1745"/>
      <c r="AD165" s="1745"/>
    </row>
    <row r="166" spans="1:30" s="1467" customFormat="1" ht="58.6" customHeight="1">
      <c r="A166" s="3875"/>
      <c r="B166" s="3004" t="str">
        <f t="shared" si="2"/>
        <v>2200002185</v>
      </c>
      <c r="C166" s="1780" t="s">
        <v>4824</v>
      </c>
      <c r="D166" s="3100"/>
      <c r="E166" s="3101"/>
      <c r="F166" s="1782" t="s">
        <v>18</v>
      </c>
      <c r="G166" s="3026"/>
      <c r="H166" s="1495"/>
      <c r="I166" s="1921" t="s">
        <v>7249</v>
      </c>
      <c r="J166" s="1493" t="s">
        <v>65</v>
      </c>
      <c r="K166" s="1921" t="s">
        <v>1179</v>
      </c>
      <c r="L166" s="2878" t="s">
        <v>8691</v>
      </c>
      <c r="M166" s="3083">
        <v>986</v>
      </c>
      <c r="N166" s="2907" t="s">
        <v>8692</v>
      </c>
      <c r="O166" s="3093"/>
      <c r="P166" s="3093"/>
      <c r="Q166" s="2290"/>
      <c r="R166" s="1495">
        <v>2</v>
      </c>
      <c r="S166" s="1745"/>
      <c r="T166" s="1745"/>
      <c r="U166" s="1745"/>
      <c r="V166" s="1745"/>
      <c r="W166" s="1745"/>
      <c r="X166" s="1745"/>
      <c r="Y166" s="1745"/>
      <c r="Z166" s="1745"/>
      <c r="AA166" s="1745"/>
      <c r="AB166" s="1745"/>
      <c r="AC166" s="1745"/>
      <c r="AD166" s="3103"/>
    </row>
    <row r="167" spans="1:30" s="2643" customFormat="1" ht="58.6" customHeight="1">
      <c r="A167" s="3104">
        <v>35</v>
      </c>
      <c r="B167" s="3004" t="str">
        <f t="shared" si="2"/>
        <v>2000003293</v>
      </c>
      <c r="C167" s="2180" t="s">
        <v>4868</v>
      </c>
      <c r="D167" s="3100">
        <v>4350</v>
      </c>
      <c r="E167" s="3026"/>
      <c r="F167" s="2667" t="s">
        <v>18</v>
      </c>
      <c r="G167" s="3101" t="s">
        <v>8681</v>
      </c>
      <c r="H167" s="3101"/>
      <c r="I167" s="3094" t="s">
        <v>7249</v>
      </c>
      <c r="J167" s="1902" t="s">
        <v>65</v>
      </c>
      <c r="K167" s="3021" t="s">
        <v>66</v>
      </c>
      <c r="L167" s="2904" t="s">
        <v>8693</v>
      </c>
      <c r="M167" s="3102">
        <v>4350</v>
      </c>
      <c r="N167" s="2196" t="s">
        <v>7536</v>
      </c>
      <c r="O167" s="3093"/>
      <c r="P167" s="3093"/>
      <c r="Q167" s="2290"/>
      <c r="R167" s="3045">
        <v>2</v>
      </c>
      <c r="S167" s="1745"/>
      <c r="T167" s="1745"/>
      <c r="U167" s="1745"/>
      <c r="V167" s="1745"/>
      <c r="W167" s="1745"/>
      <c r="X167" s="1745"/>
      <c r="Y167" s="1745"/>
      <c r="Z167" s="1745"/>
      <c r="AA167" s="1745"/>
      <c r="AB167" s="1745"/>
      <c r="AC167" s="1745"/>
      <c r="AD167" s="3103"/>
    </row>
    <row r="168" spans="1:30" s="2643" customFormat="1" ht="58.6" customHeight="1">
      <c r="A168" s="3768">
        <v>36</v>
      </c>
      <c r="B168" s="3004" t="str">
        <f t="shared" si="2"/>
        <v>2000003217</v>
      </c>
      <c r="C168" s="3019" t="s">
        <v>3316</v>
      </c>
      <c r="D168" s="2638">
        <v>10500</v>
      </c>
      <c r="E168" s="1921" t="s">
        <v>8680</v>
      </c>
      <c r="F168" s="1902" t="s">
        <v>16</v>
      </c>
      <c r="G168" s="1921" t="s">
        <v>8694</v>
      </c>
      <c r="H168" s="1495" t="s">
        <v>8682</v>
      </c>
      <c r="I168" s="1495" t="s">
        <v>7249</v>
      </c>
      <c r="J168" s="1902" t="s">
        <v>65</v>
      </c>
      <c r="K168" s="1921" t="s">
        <v>164</v>
      </c>
      <c r="L168" s="1600" t="s">
        <v>8695</v>
      </c>
      <c r="M168" s="3041">
        <v>3400</v>
      </c>
      <c r="N168" s="2907" t="s">
        <v>7407</v>
      </c>
      <c r="O168" s="1902"/>
      <c r="P168" s="1902"/>
      <c r="Q168" s="1745"/>
      <c r="R168" s="1909">
        <v>2</v>
      </c>
      <c r="S168" s="2150"/>
      <c r="T168" s="2150"/>
      <c r="U168" s="2150"/>
      <c r="V168" s="2150"/>
      <c r="W168" s="2150"/>
      <c r="X168" s="2150"/>
      <c r="Y168" s="2150"/>
      <c r="Z168" s="2150"/>
      <c r="AA168" s="2150"/>
      <c r="AB168" s="2150"/>
      <c r="AC168" s="2150"/>
    </row>
    <row r="169" spans="1:30" s="1467" customFormat="1" ht="58.6" customHeight="1">
      <c r="A169" s="3770"/>
      <c r="B169" s="3004" t="str">
        <f t="shared" si="2"/>
        <v>2000003274</v>
      </c>
      <c r="C169" s="3009" t="s">
        <v>3316</v>
      </c>
      <c r="D169" s="1808"/>
      <c r="E169" s="1921"/>
      <c r="F169" s="1493" t="s">
        <v>16</v>
      </c>
      <c r="G169" s="1495"/>
      <c r="H169" s="1495"/>
      <c r="I169" s="1495" t="s">
        <v>7249</v>
      </c>
      <c r="J169" s="1493" t="s">
        <v>65</v>
      </c>
      <c r="K169" s="1495" t="s">
        <v>164</v>
      </c>
      <c r="L169" s="1600" t="s">
        <v>8696</v>
      </c>
      <c r="M169" s="3037">
        <v>2000</v>
      </c>
      <c r="N169" s="2907" t="s">
        <v>7536</v>
      </c>
      <c r="O169" s="1493"/>
      <c r="P169" s="1493"/>
      <c r="Q169" s="2590"/>
      <c r="R169" s="3045">
        <v>2</v>
      </c>
      <c r="S169" s="1548"/>
      <c r="T169" s="1548"/>
      <c r="U169" s="1548"/>
      <c r="V169" s="1548"/>
      <c r="W169" s="1548"/>
      <c r="X169" s="1548"/>
      <c r="Y169" s="1548"/>
      <c r="Z169" s="1548"/>
      <c r="AA169" s="1548"/>
      <c r="AB169" s="1548"/>
      <c r="AC169" s="1548"/>
    </row>
    <row r="170" spans="1:30" s="1467" customFormat="1" ht="58.6" customHeight="1">
      <c r="A170" s="3770"/>
      <c r="B170" s="3004" t="str">
        <f t="shared" si="2"/>
        <v>2000003299</v>
      </c>
      <c r="C170" s="3009" t="s">
        <v>3316</v>
      </c>
      <c r="D170" s="1494"/>
      <c r="E170" s="1921"/>
      <c r="F170" s="1493" t="s">
        <v>16</v>
      </c>
      <c r="G170" s="1495"/>
      <c r="H170" s="1495"/>
      <c r="I170" s="1495" t="s">
        <v>7249</v>
      </c>
      <c r="J170" s="1493" t="s">
        <v>65</v>
      </c>
      <c r="K170" s="1495" t="s">
        <v>1271</v>
      </c>
      <c r="L170" s="2878" t="s">
        <v>8697</v>
      </c>
      <c r="M170" s="3037">
        <v>1500</v>
      </c>
      <c r="N170" s="2907" t="s">
        <v>7407</v>
      </c>
      <c r="O170" s="1493"/>
      <c r="P170" s="1493"/>
      <c r="Q170" s="2590"/>
      <c r="R170" s="1748">
        <v>2</v>
      </c>
      <c r="S170" s="1548"/>
      <c r="T170" s="1548"/>
      <c r="U170" s="1548"/>
      <c r="V170" s="1548"/>
      <c r="W170" s="1548"/>
      <c r="X170" s="1548"/>
      <c r="Y170" s="1548"/>
      <c r="Z170" s="1548"/>
      <c r="AA170" s="1548"/>
      <c r="AB170" s="1548"/>
      <c r="AC170" s="1548"/>
    </row>
    <row r="171" spans="1:30" s="1467" customFormat="1" ht="58.6" customHeight="1">
      <c r="A171" s="3770"/>
      <c r="B171" s="3004" t="str">
        <f t="shared" si="2"/>
        <v>2000003297</v>
      </c>
      <c r="C171" s="3009" t="s">
        <v>3316</v>
      </c>
      <c r="D171" s="1494"/>
      <c r="E171" s="1921"/>
      <c r="F171" s="1493" t="s">
        <v>16</v>
      </c>
      <c r="G171" s="1495"/>
      <c r="H171" s="1495"/>
      <c r="I171" s="1495" t="s">
        <v>7249</v>
      </c>
      <c r="J171" s="1493" t="s">
        <v>65</v>
      </c>
      <c r="K171" s="1495" t="s">
        <v>1271</v>
      </c>
      <c r="L171" s="2878" t="s">
        <v>8698</v>
      </c>
      <c r="M171" s="3037">
        <v>1500</v>
      </c>
      <c r="N171" s="2907" t="s">
        <v>5392</v>
      </c>
      <c r="O171" s="1493"/>
      <c r="P171" s="1493"/>
      <c r="Q171" s="2590"/>
      <c r="R171" s="1748">
        <v>2</v>
      </c>
      <c r="S171" s="1548"/>
      <c r="T171" s="1548"/>
      <c r="U171" s="1548"/>
      <c r="V171" s="1548"/>
      <c r="W171" s="1548"/>
      <c r="X171" s="1548"/>
      <c r="Y171" s="1548"/>
      <c r="Z171" s="1548"/>
      <c r="AA171" s="1548"/>
      <c r="AB171" s="1548"/>
      <c r="AC171" s="1548"/>
    </row>
    <row r="172" spans="1:30" s="1467" customFormat="1" ht="58.6" customHeight="1">
      <c r="A172" s="3769"/>
      <c r="B172" s="3004" t="str">
        <f t="shared" si="2"/>
        <v>2000003292</v>
      </c>
      <c r="C172" s="3009" t="s">
        <v>3316</v>
      </c>
      <c r="D172" s="2638"/>
      <c r="E172" s="1921"/>
      <c r="F172" s="1493" t="s">
        <v>16</v>
      </c>
      <c r="G172" s="1495"/>
      <c r="H172" s="1495"/>
      <c r="I172" s="1495" t="s">
        <v>7249</v>
      </c>
      <c r="J172" s="1493" t="s">
        <v>65</v>
      </c>
      <c r="K172" s="1495" t="s">
        <v>294</v>
      </c>
      <c r="L172" s="3198" t="s">
        <v>8699</v>
      </c>
      <c r="M172" s="3132">
        <v>2200</v>
      </c>
      <c r="N172" s="2907" t="s">
        <v>7536</v>
      </c>
      <c r="O172" s="2429"/>
      <c r="P172" s="2429"/>
      <c r="Q172" s="2590"/>
      <c r="R172" s="1748">
        <v>2</v>
      </c>
      <c r="S172" s="1548"/>
      <c r="T172" s="1548"/>
      <c r="U172" s="1548"/>
      <c r="V172" s="1548"/>
      <c r="W172" s="1548"/>
      <c r="X172" s="1548"/>
      <c r="Y172" s="1548"/>
      <c r="Z172" s="1548"/>
      <c r="AA172" s="1548"/>
      <c r="AB172" s="1548"/>
      <c r="AC172" s="1548"/>
    </row>
    <row r="173" spans="1:30" s="1467" customFormat="1" ht="58.6" customHeight="1">
      <c r="A173" s="3850">
        <v>37</v>
      </c>
      <c r="B173" s="3004" t="str">
        <f t="shared" si="2"/>
        <v>2000003320</v>
      </c>
      <c r="C173" s="3019" t="s">
        <v>7701</v>
      </c>
      <c r="D173" s="3006">
        <v>10500</v>
      </c>
      <c r="E173" s="3021" t="s">
        <v>8680</v>
      </c>
      <c r="F173" s="1493" t="s">
        <v>16</v>
      </c>
      <c r="G173" s="3007" t="s">
        <v>8700</v>
      </c>
      <c r="H173" s="1495" t="s">
        <v>8682</v>
      </c>
      <c r="I173" s="3007" t="s">
        <v>7249</v>
      </c>
      <c r="J173" s="3009" t="s">
        <v>65</v>
      </c>
      <c r="K173" s="3007" t="s">
        <v>164</v>
      </c>
      <c r="L173" s="2878" t="s">
        <v>8701</v>
      </c>
      <c r="M173" s="3040">
        <v>1000</v>
      </c>
      <c r="N173" s="2196" t="s">
        <v>8702</v>
      </c>
      <c r="O173" s="3009"/>
      <c r="P173" s="3009"/>
      <c r="Q173" s="3010"/>
      <c r="R173" s="3045">
        <v>2</v>
      </c>
    </row>
    <row r="174" spans="1:30" s="1467" customFormat="1" ht="58.6" customHeight="1">
      <c r="A174" s="3851"/>
      <c r="B174" s="3004" t="str">
        <f t="shared" si="2"/>
        <v>2000003307</v>
      </c>
      <c r="C174" s="3009" t="s">
        <v>7701</v>
      </c>
      <c r="D174" s="3006"/>
      <c r="E174" s="3021"/>
      <c r="F174" s="1493" t="s">
        <v>16</v>
      </c>
      <c r="G174" s="3007"/>
      <c r="H174" s="1495"/>
      <c r="I174" s="3007" t="s">
        <v>7249</v>
      </c>
      <c r="J174" s="3009" t="s">
        <v>65</v>
      </c>
      <c r="K174" s="3007" t="s">
        <v>164</v>
      </c>
      <c r="L174" s="2878" t="s">
        <v>8703</v>
      </c>
      <c r="M174" s="3040">
        <v>1000</v>
      </c>
      <c r="N174" s="2907" t="s">
        <v>7536</v>
      </c>
      <c r="O174" s="3009"/>
      <c r="P174" s="3009"/>
      <c r="Q174" s="3120" t="s">
        <v>8704</v>
      </c>
      <c r="R174" s="3045">
        <v>2</v>
      </c>
    </row>
    <row r="175" spans="1:30" s="1467" customFormat="1" ht="58.6" customHeight="1">
      <c r="A175" s="3851"/>
      <c r="B175" s="3004" t="str">
        <f t="shared" si="2"/>
        <v>2000003348</v>
      </c>
      <c r="C175" s="3009" t="s">
        <v>7701</v>
      </c>
      <c r="D175" s="3006"/>
      <c r="E175" s="3021"/>
      <c r="F175" s="1493" t="s">
        <v>16</v>
      </c>
      <c r="G175" s="3007"/>
      <c r="H175" s="1495"/>
      <c r="I175" s="3007" t="s">
        <v>7249</v>
      </c>
      <c r="J175" s="3009" t="s">
        <v>65</v>
      </c>
      <c r="K175" s="3007" t="s">
        <v>164</v>
      </c>
      <c r="L175" s="2878" t="s">
        <v>8705</v>
      </c>
      <c r="M175" s="3040">
        <v>100</v>
      </c>
      <c r="N175" s="2907" t="s">
        <v>7407</v>
      </c>
      <c r="O175" s="3009"/>
      <c r="P175" s="3009"/>
      <c r="Q175" s="3010"/>
      <c r="R175" s="3045">
        <v>2</v>
      </c>
    </row>
    <row r="176" spans="1:30" s="1467" customFormat="1" ht="58.6" customHeight="1">
      <c r="A176" s="3851"/>
      <c r="B176" s="3004" t="str">
        <f t="shared" si="2"/>
        <v>2000003363</v>
      </c>
      <c r="C176" s="3009" t="s">
        <v>7701</v>
      </c>
      <c r="D176" s="1494"/>
      <c r="E176" s="1921"/>
      <c r="F176" s="1493" t="s">
        <v>16</v>
      </c>
      <c r="G176" s="1495"/>
      <c r="H176" s="1495"/>
      <c r="I176" s="3007" t="s">
        <v>7249</v>
      </c>
      <c r="J176" s="3009" t="s">
        <v>65</v>
      </c>
      <c r="K176" s="1495" t="s">
        <v>164</v>
      </c>
      <c r="L176" s="1600" t="s">
        <v>8706</v>
      </c>
      <c r="M176" s="3037">
        <v>2000</v>
      </c>
      <c r="N176" s="2907" t="s">
        <v>8707</v>
      </c>
      <c r="O176" s="1548"/>
      <c r="P176" s="1548"/>
      <c r="Q176" s="2590"/>
      <c r="R176" s="1748">
        <v>2</v>
      </c>
    </row>
    <row r="177" spans="1:30" s="1548" customFormat="1" ht="58.6" customHeight="1">
      <c r="A177" s="3852"/>
      <c r="B177" s="3004" t="str">
        <f t="shared" si="2"/>
        <v>2000003188</v>
      </c>
      <c r="C177" s="3009" t="s">
        <v>7701</v>
      </c>
      <c r="D177" s="2325"/>
      <c r="E177" s="1921"/>
      <c r="F177" s="1493" t="s">
        <v>16</v>
      </c>
      <c r="G177" s="1495"/>
      <c r="H177" s="1495"/>
      <c r="I177" s="1495" t="s">
        <v>7249</v>
      </c>
      <c r="J177" s="1493" t="s">
        <v>65</v>
      </c>
      <c r="K177" s="1495" t="s">
        <v>5400</v>
      </c>
      <c r="L177" s="1843" t="s">
        <v>8708</v>
      </c>
      <c r="M177" s="3037">
        <v>6200</v>
      </c>
      <c r="N177" s="3121" t="s">
        <v>8709</v>
      </c>
      <c r="O177" s="1493"/>
      <c r="P177" s="1493"/>
      <c r="Q177" s="2590"/>
      <c r="R177" s="3045">
        <v>2</v>
      </c>
      <c r="S177" s="1790"/>
      <c r="T177" s="1790"/>
    </row>
    <row r="178" spans="1:30" s="2643" customFormat="1" ht="58.6" customHeight="1">
      <c r="A178" s="3872">
        <v>38</v>
      </c>
      <c r="B178" s="3024" t="str">
        <f t="shared" si="2"/>
        <v>2200002196</v>
      </c>
      <c r="C178" s="1902" t="s">
        <v>3508</v>
      </c>
      <c r="D178" s="3020">
        <v>4300</v>
      </c>
      <c r="E178" s="3021" t="s">
        <v>8710</v>
      </c>
      <c r="F178" s="2823" t="s">
        <v>18</v>
      </c>
      <c r="G178" s="1902" t="s">
        <v>8711</v>
      </c>
      <c r="H178" s="2279" t="s">
        <v>8712</v>
      </c>
      <c r="I178" s="1921" t="s">
        <v>7249</v>
      </c>
      <c r="J178" s="2823" t="s">
        <v>65</v>
      </c>
      <c r="K178" s="1921" t="s">
        <v>142</v>
      </c>
      <c r="L178" s="1845" t="s">
        <v>8713</v>
      </c>
      <c r="M178" s="3041">
        <v>3054</v>
      </c>
      <c r="N178" s="2160" t="s">
        <v>8096</v>
      </c>
      <c r="O178" s="3124"/>
      <c r="P178" s="3124"/>
      <c r="Q178" s="1745"/>
      <c r="R178" s="3026">
        <v>3</v>
      </c>
      <c r="S178" s="2150"/>
      <c r="T178" s="2150"/>
      <c r="U178" s="2150"/>
      <c r="V178" s="2150"/>
      <c r="W178" s="2150"/>
      <c r="X178" s="2150"/>
      <c r="Y178" s="2150"/>
      <c r="Z178" s="2150"/>
      <c r="AA178" s="2150"/>
      <c r="AB178" s="2150"/>
      <c r="AC178" s="2150"/>
      <c r="AD178" s="2150"/>
    </row>
    <row r="179" spans="1:30" s="1467" customFormat="1" ht="58.6" customHeight="1">
      <c r="A179" s="3871"/>
      <c r="B179" s="3004" t="str">
        <f t="shared" si="2"/>
        <v>2200002197</v>
      </c>
      <c r="C179" s="1493" t="s">
        <v>3508</v>
      </c>
      <c r="D179" s="3006"/>
      <c r="E179" s="3021"/>
      <c r="F179" s="1769" t="s">
        <v>18</v>
      </c>
      <c r="G179" s="1548"/>
      <c r="H179" s="2279"/>
      <c r="I179" s="1495" t="s">
        <v>7249</v>
      </c>
      <c r="J179" s="1769" t="s">
        <v>65</v>
      </c>
      <c r="K179" s="1495" t="s">
        <v>142</v>
      </c>
      <c r="L179" s="1497" t="s">
        <v>8714</v>
      </c>
      <c r="M179" s="3123">
        <v>1300</v>
      </c>
      <c r="N179" s="2160" t="s">
        <v>8715</v>
      </c>
      <c r="O179" s="3122"/>
      <c r="P179" s="3122"/>
      <c r="Q179" s="2590"/>
      <c r="R179" s="3045">
        <v>3</v>
      </c>
      <c r="S179" s="1548"/>
      <c r="T179" s="1548"/>
      <c r="U179" s="1548"/>
      <c r="V179" s="1548"/>
      <c r="W179" s="1548"/>
      <c r="X179" s="1548"/>
      <c r="Y179" s="1548"/>
      <c r="Z179" s="1548"/>
      <c r="AA179" s="1548"/>
      <c r="AB179" s="1548"/>
      <c r="AC179" s="1548"/>
      <c r="AD179" s="1548"/>
    </row>
    <row r="180" spans="1:30" s="2643" customFormat="1" ht="58.6" customHeight="1">
      <c r="A180" s="3873">
        <v>39</v>
      </c>
      <c r="B180" s="3004" t="str">
        <f t="shared" si="2"/>
        <v>2200002188</v>
      </c>
      <c r="C180" s="2180" t="s">
        <v>8716</v>
      </c>
      <c r="D180" s="3100">
        <v>11000</v>
      </c>
      <c r="E180" s="3101" t="s">
        <v>8717</v>
      </c>
      <c r="F180" s="2667" t="s">
        <v>22</v>
      </c>
      <c r="G180" s="3007" t="s">
        <v>8718</v>
      </c>
      <c r="H180" s="3007"/>
      <c r="I180" s="1909"/>
      <c r="J180" s="1493" t="s">
        <v>65</v>
      </c>
      <c r="K180" s="3021" t="s">
        <v>1179</v>
      </c>
      <c r="L180" s="3118" t="s">
        <v>8719</v>
      </c>
      <c r="M180" s="3102">
        <v>7107</v>
      </c>
      <c r="N180" s="2196" t="s">
        <v>7536</v>
      </c>
      <c r="O180" s="3093"/>
      <c r="P180" s="3093"/>
      <c r="Q180" s="2290"/>
      <c r="R180" s="3045">
        <v>2</v>
      </c>
      <c r="S180" s="1745"/>
      <c r="T180" s="1745"/>
      <c r="U180" s="1745"/>
      <c r="V180" s="1745"/>
      <c r="W180" s="1745"/>
      <c r="X180" s="1745"/>
      <c r="Y180" s="1745"/>
      <c r="Z180" s="1745"/>
      <c r="AA180" s="1745"/>
      <c r="AB180" s="1745"/>
      <c r="AC180" s="1745"/>
      <c r="AD180" s="3103"/>
    </row>
    <row r="181" spans="1:30" s="1467" customFormat="1" ht="58.6" customHeight="1">
      <c r="A181" s="3874"/>
      <c r="B181" s="3004" t="str">
        <f t="shared" si="2"/>
        <v>2200002187</v>
      </c>
      <c r="C181" s="1495" t="s">
        <v>8716</v>
      </c>
      <c r="D181" s="3100"/>
      <c r="E181" s="3101"/>
      <c r="F181" s="1493" t="s">
        <v>22</v>
      </c>
      <c r="G181" s="3026"/>
      <c r="H181" s="3026"/>
      <c r="I181" s="1909"/>
      <c r="J181" s="1493" t="s">
        <v>65</v>
      </c>
      <c r="K181" s="1495" t="s">
        <v>1179</v>
      </c>
      <c r="L181" s="2878" t="s">
        <v>8720</v>
      </c>
      <c r="M181" s="3083">
        <v>1303</v>
      </c>
      <c r="N181" s="2907" t="s">
        <v>8692</v>
      </c>
      <c r="O181" s="3093"/>
      <c r="P181" s="3093"/>
      <c r="Q181" s="2290"/>
      <c r="R181" s="1495">
        <v>2</v>
      </c>
      <c r="S181" s="1745"/>
      <c r="T181" s="1745"/>
      <c r="U181" s="1745"/>
      <c r="V181" s="1745"/>
      <c r="W181" s="1745"/>
      <c r="X181" s="1745"/>
      <c r="Y181" s="1745"/>
      <c r="Z181" s="1745"/>
      <c r="AA181" s="1745"/>
      <c r="AB181" s="1745"/>
      <c r="AC181" s="1745"/>
      <c r="AD181" s="3103"/>
    </row>
    <row r="182" spans="1:30" s="1467" customFormat="1" ht="58.6" customHeight="1">
      <c r="A182" s="3875"/>
      <c r="B182" s="3004" t="str">
        <f t="shared" si="2"/>
        <v>2200002191</v>
      </c>
      <c r="C182" s="1495" t="s">
        <v>8716</v>
      </c>
      <c r="D182" s="3006"/>
      <c r="E182" s="3021"/>
      <c r="F182" s="1493" t="s">
        <v>22</v>
      </c>
      <c r="G182" s="3007"/>
      <c r="H182" s="3007"/>
      <c r="I182" s="1495"/>
      <c r="J182" s="1493" t="s">
        <v>65</v>
      </c>
      <c r="K182" s="1495" t="s">
        <v>1179</v>
      </c>
      <c r="L182" s="2878" t="s">
        <v>8721</v>
      </c>
      <c r="M182" s="3083">
        <v>2590</v>
      </c>
      <c r="N182" s="2907" t="s">
        <v>8722</v>
      </c>
      <c r="O182" s="1626"/>
      <c r="P182" s="1626"/>
      <c r="Q182" s="1770"/>
      <c r="R182" s="3045">
        <v>2</v>
      </c>
      <c r="S182" s="1548"/>
      <c r="T182" s="1548"/>
      <c r="U182" s="1548"/>
      <c r="V182" s="1548"/>
      <c r="W182" s="1548"/>
      <c r="X182" s="1548"/>
      <c r="Y182" s="1548"/>
      <c r="Z182" s="1548"/>
      <c r="AA182" s="1548"/>
      <c r="AB182" s="1548"/>
      <c r="AC182" s="1548"/>
    </row>
    <row r="183" spans="1:30" s="2643" customFormat="1" ht="58.6" customHeight="1">
      <c r="A183" s="3850">
        <v>40</v>
      </c>
      <c r="B183" s="3004" t="str">
        <f t="shared" si="2"/>
        <v>2200002186</v>
      </c>
      <c r="C183" s="1921" t="s">
        <v>7944</v>
      </c>
      <c r="D183" s="3020">
        <v>4430</v>
      </c>
      <c r="E183" s="3021" t="s">
        <v>8682</v>
      </c>
      <c r="F183" s="1902" t="s">
        <v>26</v>
      </c>
      <c r="G183" s="3021" t="s">
        <v>8723</v>
      </c>
      <c r="H183" s="3021"/>
      <c r="I183" s="1921"/>
      <c r="J183" s="1493" t="s">
        <v>65</v>
      </c>
      <c r="K183" s="3021" t="s">
        <v>1179</v>
      </c>
      <c r="L183" s="3118" t="s">
        <v>8724</v>
      </c>
      <c r="M183" s="3102">
        <v>2876</v>
      </c>
      <c r="N183" s="2907" t="s">
        <v>8725</v>
      </c>
      <c r="O183" s="2563"/>
      <c r="P183" s="2563"/>
      <c r="Q183" s="1916"/>
      <c r="R183" s="3045">
        <v>3</v>
      </c>
      <c r="S183" s="2150"/>
      <c r="T183" s="2150"/>
      <c r="U183" s="2150"/>
      <c r="V183" s="2150"/>
      <c r="W183" s="2150"/>
      <c r="X183" s="2150"/>
      <c r="Y183" s="2150"/>
      <c r="Z183" s="2150"/>
      <c r="AA183" s="2150"/>
      <c r="AB183" s="2150"/>
      <c r="AC183" s="2150"/>
    </row>
    <row r="184" spans="1:30" s="2643" customFormat="1" ht="58.6" customHeight="1">
      <c r="A184" s="3851"/>
      <c r="B184" s="3004" t="str">
        <f t="shared" si="2"/>
        <v>2200002152</v>
      </c>
      <c r="C184" s="1495" t="s">
        <v>7944</v>
      </c>
      <c r="D184" s="3020"/>
      <c r="E184" s="3021"/>
      <c r="F184" s="1902" t="s">
        <v>26</v>
      </c>
      <c r="G184" s="3021"/>
      <c r="H184" s="3021"/>
      <c r="I184" s="1921"/>
      <c r="J184" s="1493" t="s">
        <v>65</v>
      </c>
      <c r="K184" s="3007" t="s">
        <v>1179</v>
      </c>
      <c r="L184" s="1496" t="s">
        <v>8726</v>
      </c>
      <c r="M184" s="3089">
        <v>100</v>
      </c>
      <c r="N184" s="2196" t="s">
        <v>6593</v>
      </c>
      <c r="O184" s="2563"/>
      <c r="P184" s="2563"/>
      <c r="Q184" s="1916"/>
      <c r="R184" s="3045">
        <v>3</v>
      </c>
      <c r="S184" s="2150"/>
      <c r="T184" s="2150"/>
      <c r="U184" s="2150"/>
      <c r="V184" s="2150"/>
      <c r="W184" s="2150"/>
      <c r="X184" s="2150"/>
      <c r="Y184" s="2150"/>
      <c r="Z184" s="2150"/>
      <c r="AA184" s="2150"/>
      <c r="AB184" s="2150"/>
      <c r="AC184" s="2150"/>
    </row>
    <row r="185" spans="1:30" s="1467" customFormat="1" ht="58.6" customHeight="1">
      <c r="A185" s="3851"/>
      <c r="B185" s="3004" t="str">
        <f t="shared" si="2"/>
        <v>2200002188</v>
      </c>
      <c r="C185" s="1495" t="s">
        <v>7944</v>
      </c>
      <c r="D185" s="3006"/>
      <c r="E185" s="3021"/>
      <c r="F185" s="1493" t="s">
        <v>26</v>
      </c>
      <c r="G185" s="3007"/>
      <c r="H185" s="3007"/>
      <c r="I185" s="1495"/>
      <c r="J185" s="1493" t="s">
        <v>65</v>
      </c>
      <c r="K185" s="1495" t="s">
        <v>1179</v>
      </c>
      <c r="L185" s="2878" t="s">
        <v>8727</v>
      </c>
      <c r="M185" s="3083">
        <v>856</v>
      </c>
      <c r="N185" s="2196" t="s">
        <v>7536</v>
      </c>
      <c r="O185" s="1626"/>
      <c r="P185" s="1626"/>
      <c r="Q185" s="1770"/>
      <c r="R185" s="3045">
        <v>3</v>
      </c>
      <c r="S185" s="1548"/>
      <c r="T185" s="1548"/>
      <c r="U185" s="1548"/>
      <c r="V185" s="1548"/>
      <c r="W185" s="1548"/>
      <c r="X185" s="1548"/>
      <c r="Y185" s="1548"/>
      <c r="Z185" s="1548"/>
      <c r="AA185" s="1548"/>
      <c r="AB185" s="1548"/>
      <c r="AC185" s="1548"/>
    </row>
    <row r="186" spans="1:30" s="1467" customFormat="1" ht="58.6" customHeight="1">
      <c r="A186" s="3852"/>
      <c r="B186" s="3004" t="str">
        <f t="shared" si="2"/>
        <v>2000003302</v>
      </c>
      <c r="C186" s="1495" t="s">
        <v>7944</v>
      </c>
      <c r="D186" s="3119"/>
      <c r="E186" s="3026"/>
      <c r="F186" s="1493" t="s">
        <v>26</v>
      </c>
      <c r="G186" s="3026"/>
      <c r="H186" s="3026"/>
      <c r="I186" s="1909"/>
      <c r="J186" s="1493" t="s">
        <v>65</v>
      </c>
      <c r="K186" s="1495" t="s">
        <v>1179</v>
      </c>
      <c r="L186" s="2878" t="s">
        <v>8728</v>
      </c>
      <c r="M186" s="3040">
        <v>600</v>
      </c>
      <c r="N186" s="2196" t="s">
        <v>7536</v>
      </c>
      <c r="O186" s="3093"/>
      <c r="P186" s="3093"/>
      <c r="Q186" s="2290"/>
      <c r="R186" s="3045">
        <v>3</v>
      </c>
      <c r="S186" s="1745"/>
      <c r="T186" s="1745"/>
      <c r="U186" s="1745"/>
      <c r="V186" s="1745"/>
      <c r="W186" s="1745"/>
      <c r="X186" s="1745"/>
      <c r="Y186" s="1745"/>
      <c r="Z186" s="1745"/>
      <c r="AA186" s="1745"/>
      <c r="AB186" s="1745"/>
      <c r="AC186" s="1745"/>
      <c r="AD186" s="3103"/>
    </row>
    <row r="187" spans="1:30" s="1467" customFormat="1" ht="78.8" customHeight="1">
      <c r="A187" s="3771">
        <v>41</v>
      </c>
      <c r="B187" s="3004" t="str">
        <f t="shared" si="2"/>
        <v>2000003290</v>
      </c>
      <c r="C187" s="3019" t="s">
        <v>5896</v>
      </c>
      <c r="D187" s="1494">
        <v>11900</v>
      </c>
      <c r="E187" s="1921" t="s">
        <v>8710</v>
      </c>
      <c r="F187" s="1493" t="s">
        <v>14</v>
      </c>
      <c r="G187" s="1495" t="s">
        <v>8729</v>
      </c>
      <c r="H187" s="1495" t="s">
        <v>8712</v>
      </c>
      <c r="I187" s="1624" t="s">
        <v>7249</v>
      </c>
      <c r="J187" s="1493" t="s">
        <v>65</v>
      </c>
      <c r="K187" s="1495" t="s">
        <v>462</v>
      </c>
      <c r="L187" s="1600" t="s">
        <v>8730</v>
      </c>
      <c r="M187" s="3037">
        <v>300</v>
      </c>
      <c r="N187" s="2907" t="s">
        <v>7536</v>
      </c>
      <c r="O187" s="1493"/>
      <c r="P187" s="1493"/>
      <c r="Q187" s="2223" t="s">
        <v>8662</v>
      </c>
      <c r="R187" s="1748">
        <v>2</v>
      </c>
      <c r="S187" s="1548"/>
      <c r="T187" s="1548"/>
      <c r="U187" s="1548"/>
      <c r="V187" s="1548"/>
      <c r="W187" s="1548"/>
      <c r="X187" s="1548"/>
      <c r="Y187" s="1548"/>
      <c r="Z187" s="1548"/>
      <c r="AA187" s="1548"/>
      <c r="AB187" s="1548"/>
      <c r="AC187" s="1548"/>
    </row>
    <row r="188" spans="1:30" s="1467" customFormat="1" ht="58.6" customHeight="1">
      <c r="A188" s="3772"/>
      <c r="B188" s="3004" t="str">
        <f t="shared" si="2"/>
        <v>2000003289</v>
      </c>
      <c r="C188" s="3019" t="s">
        <v>5896</v>
      </c>
      <c r="D188" s="1494"/>
      <c r="E188" s="1921"/>
      <c r="F188" s="1493" t="s">
        <v>14</v>
      </c>
      <c r="G188" s="1495"/>
      <c r="H188" s="1495"/>
      <c r="I188" s="1624" t="s">
        <v>7249</v>
      </c>
      <c r="J188" s="1493" t="s">
        <v>65</v>
      </c>
      <c r="K188" s="1495" t="s">
        <v>106</v>
      </c>
      <c r="L188" s="3090" t="s">
        <v>8731</v>
      </c>
      <c r="M188" s="3037">
        <v>631</v>
      </c>
      <c r="N188" s="2907" t="s">
        <v>7407</v>
      </c>
      <c r="O188" s="1493"/>
      <c r="P188" s="1493"/>
      <c r="Q188" s="2223" t="s">
        <v>8660</v>
      </c>
      <c r="R188" s="1748">
        <v>2</v>
      </c>
      <c r="S188" s="1548"/>
      <c r="T188" s="1548"/>
      <c r="U188" s="1548"/>
      <c r="V188" s="1548"/>
      <c r="W188" s="1548"/>
      <c r="X188" s="1548"/>
      <c r="Y188" s="1548"/>
      <c r="Z188" s="1548"/>
      <c r="AA188" s="1548"/>
      <c r="AB188" s="1548"/>
      <c r="AC188" s="1548"/>
    </row>
    <row r="189" spans="1:30" s="1467" customFormat="1" ht="58.6" customHeight="1">
      <c r="A189" s="3772"/>
      <c r="B189" s="3004" t="str">
        <f t="shared" si="2"/>
        <v>2000003304</v>
      </c>
      <c r="C189" s="3009" t="s">
        <v>5896</v>
      </c>
      <c r="D189" s="1494"/>
      <c r="E189" s="1921"/>
      <c r="F189" s="1493" t="s">
        <v>14</v>
      </c>
      <c r="G189" s="1495"/>
      <c r="H189" s="1495"/>
      <c r="I189" s="1495" t="s">
        <v>7249</v>
      </c>
      <c r="J189" s="1493" t="s">
        <v>65</v>
      </c>
      <c r="K189" s="1495" t="s">
        <v>106</v>
      </c>
      <c r="L189" s="3146" t="s">
        <v>8732</v>
      </c>
      <c r="M189" s="3037">
        <v>1610</v>
      </c>
      <c r="N189" s="2907" t="s">
        <v>7536</v>
      </c>
      <c r="O189" s="1493"/>
      <c r="P189" s="1493"/>
      <c r="Q189" s="2590"/>
      <c r="R189" s="1748">
        <v>2</v>
      </c>
      <c r="S189" s="1548"/>
      <c r="T189" s="1548"/>
      <c r="U189" s="1548"/>
      <c r="V189" s="1548"/>
      <c r="W189" s="1548"/>
      <c r="X189" s="1548"/>
      <c r="Y189" s="1548"/>
      <c r="Z189" s="1548"/>
      <c r="AA189" s="1548"/>
      <c r="AB189" s="1548"/>
      <c r="AC189" s="1548"/>
    </row>
    <row r="190" spans="1:30" s="1467" customFormat="1" ht="58.6" customHeight="1">
      <c r="A190" s="3772"/>
      <c r="B190" s="3004" t="str">
        <f t="shared" si="2"/>
        <v>2000003245</v>
      </c>
      <c r="C190" s="3009" t="s">
        <v>5896</v>
      </c>
      <c r="D190" s="1494"/>
      <c r="E190" s="1921"/>
      <c r="F190" s="1493" t="s">
        <v>14</v>
      </c>
      <c r="G190" s="1495"/>
      <c r="H190" s="1495"/>
      <c r="I190" s="1495" t="s">
        <v>7249</v>
      </c>
      <c r="J190" s="1493" t="s">
        <v>65</v>
      </c>
      <c r="K190" s="1495" t="s">
        <v>106</v>
      </c>
      <c r="L190" s="3198" t="s">
        <v>8733</v>
      </c>
      <c r="M190" s="3079">
        <v>551</v>
      </c>
      <c r="N190" s="2907" t="s">
        <v>7536</v>
      </c>
      <c r="O190" s="2429"/>
      <c r="P190" s="2429"/>
      <c r="Q190" s="2590"/>
      <c r="R190" s="1748">
        <v>2</v>
      </c>
      <c r="S190" s="1548"/>
      <c r="T190" s="1548"/>
      <c r="U190" s="1548"/>
      <c r="V190" s="1548"/>
      <c r="W190" s="1548"/>
      <c r="X190" s="1548"/>
      <c r="Y190" s="1548"/>
      <c r="Z190" s="1548"/>
      <c r="AA190" s="1548"/>
      <c r="AB190" s="1548"/>
      <c r="AC190" s="1548"/>
    </row>
    <row r="191" spans="1:30" s="1548" customFormat="1" ht="58.6" customHeight="1">
      <c r="A191" s="3772"/>
      <c r="B191" s="3004" t="str">
        <f t="shared" si="2"/>
        <v>2000003314</v>
      </c>
      <c r="C191" s="3009" t="s">
        <v>5896</v>
      </c>
      <c r="D191" s="3006"/>
      <c r="E191" s="3021"/>
      <c r="F191" s="1493" t="s">
        <v>14</v>
      </c>
      <c r="G191" s="3007"/>
      <c r="H191" s="1495"/>
      <c r="I191" s="3007" t="s">
        <v>7249</v>
      </c>
      <c r="J191" s="3008" t="s">
        <v>65</v>
      </c>
      <c r="K191" s="3007" t="s">
        <v>106</v>
      </c>
      <c r="L191" s="2878" t="s">
        <v>8734</v>
      </c>
      <c r="M191" s="3040">
        <v>2321</v>
      </c>
      <c r="N191" s="2907" t="s">
        <v>7536</v>
      </c>
      <c r="O191" s="3009"/>
      <c r="P191" s="3009"/>
      <c r="Q191" s="3010"/>
      <c r="R191" s="3045">
        <v>2</v>
      </c>
    </row>
    <row r="192" spans="1:30" s="1467" customFormat="1" ht="58.6" customHeight="1">
      <c r="A192" s="3772"/>
      <c r="B192" s="3004" t="str">
        <f t="shared" si="2"/>
        <v>2000003328</v>
      </c>
      <c r="C192" s="3009" t="s">
        <v>5896</v>
      </c>
      <c r="D192" s="3006"/>
      <c r="E192" s="3021"/>
      <c r="F192" s="1493" t="s">
        <v>14</v>
      </c>
      <c r="G192" s="3007"/>
      <c r="H192" s="1495"/>
      <c r="I192" s="3007" t="s">
        <v>8735</v>
      </c>
      <c r="J192" s="3009" t="s">
        <v>65</v>
      </c>
      <c r="K192" s="3007" t="s">
        <v>164</v>
      </c>
      <c r="L192" s="2878" t="s">
        <v>8736</v>
      </c>
      <c r="M192" s="3040">
        <v>1556</v>
      </c>
      <c r="N192" s="2196" t="s">
        <v>8737</v>
      </c>
      <c r="O192" s="3009"/>
      <c r="P192" s="3009"/>
      <c r="Q192" s="3010"/>
      <c r="R192" s="3045">
        <v>2</v>
      </c>
    </row>
    <row r="193" spans="1:29" s="1467" customFormat="1" ht="58.6" customHeight="1">
      <c r="A193" s="3772"/>
      <c r="B193" s="3004" t="str">
        <f t="shared" si="2"/>
        <v>2000003330</v>
      </c>
      <c r="C193" s="3009" t="s">
        <v>5896</v>
      </c>
      <c r="D193" s="3006"/>
      <c r="E193" s="3021"/>
      <c r="F193" s="1493" t="s">
        <v>14</v>
      </c>
      <c r="G193" s="3007"/>
      <c r="H193" s="1495"/>
      <c r="I193" s="3007" t="s">
        <v>8735</v>
      </c>
      <c r="J193" s="3009" t="s">
        <v>65</v>
      </c>
      <c r="K193" s="3007" t="s">
        <v>164</v>
      </c>
      <c r="L193" s="2878" t="s">
        <v>8738</v>
      </c>
      <c r="M193" s="3040">
        <v>2091</v>
      </c>
      <c r="N193" s="2196" t="s">
        <v>8737</v>
      </c>
      <c r="O193" s="3009"/>
      <c r="P193" s="3009"/>
      <c r="Q193" s="3010"/>
      <c r="R193" s="3045">
        <v>2</v>
      </c>
    </row>
    <row r="194" spans="1:29" s="1467" customFormat="1" ht="58.6" customHeight="1">
      <c r="A194" s="3772"/>
      <c r="B194" s="3004" t="str">
        <f t="shared" si="2"/>
        <v>2000003270</v>
      </c>
      <c r="C194" s="3009" t="s">
        <v>5896</v>
      </c>
      <c r="D194" s="1808"/>
      <c r="E194" s="1921"/>
      <c r="F194" s="1493" t="s">
        <v>14</v>
      </c>
      <c r="G194" s="1495"/>
      <c r="H194" s="1495"/>
      <c r="I194" s="1495" t="s">
        <v>7249</v>
      </c>
      <c r="J194" s="1493" t="s">
        <v>65</v>
      </c>
      <c r="K194" s="1495" t="s">
        <v>164</v>
      </c>
      <c r="L194" s="1600" t="s">
        <v>8739</v>
      </c>
      <c r="M194" s="3037">
        <v>2800</v>
      </c>
      <c r="N194" s="2907" t="s">
        <v>7536</v>
      </c>
      <c r="O194" s="1493"/>
      <c r="P194" s="1493"/>
      <c r="Q194" s="2590"/>
      <c r="R194" s="1748">
        <v>2</v>
      </c>
      <c r="S194" s="1548"/>
      <c r="T194" s="1548"/>
      <c r="U194" s="1548"/>
      <c r="V194" s="1548"/>
      <c r="W194" s="1548"/>
      <c r="X194" s="1548"/>
      <c r="Y194" s="1548"/>
      <c r="Z194" s="1548"/>
      <c r="AA194" s="1548"/>
      <c r="AB194" s="1548"/>
      <c r="AC194" s="1548"/>
    </row>
    <row r="195" spans="1:29" s="2150" customFormat="1" ht="58.6" customHeight="1">
      <c r="A195" s="3870">
        <v>42</v>
      </c>
      <c r="B195" s="3004" t="str">
        <f t="shared" si="2"/>
        <v>2000003220</v>
      </c>
      <c r="C195" s="1493" t="s">
        <v>252</v>
      </c>
      <c r="D195" s="3128">
        <v>4000</v>
      </c>
      <c r="E195" s="3027" t="s">
        <v>8682</v>
      </c>
      <c r="F195" s="3129" t="s">
        <v>20</v>
      </c>
      <c r="G195" s="3027"/>
      <c r="H195" s="1543" t="s">
        <v>8740</v>
      </c>
      <c r="I195" s="1495" t="s">
        <v>7249</v>
      </c>
      <c r="J195" s="1921" t="s">
        <v>65</v>
      </c>
      <c r="K195" s="2391" t="s">
        <v>117</v>
      </c>
      <c r="L195" s="3130" t="s">
        <v>8741</v>
      </c>
      <c r="M195" s="3131">
        <v>2532</v>
      </c>
      <c r="N195" s="2196" t="s">
        <v>8742</v>
      </c>
      <c r="O195" s="2429"/>
      <c r="P195" s="2429"/>
      <c r="Q195" s="2290"/>
      <c r="R195" s="3045">
        <v>3</v>
      </c>
    </row>
    <row r="196" spans="1:29" s="1467" customFormat="1" ht="58.6" customHeight="1">
      <c r="A196" s="3871"/>
      <c r="B196" s="3004" t="str">
        <f t="shared" ref="B196:B259" si="3">TEXT(LEFT(L196,10),"0000000000")</f>
        <v>2200002197</v>
      </c>
      <c r="C196" s="1769" t="s">
        <v>252</v>
      </c>
      <c r="D196" s="2607"/>
      <c r="E196" s="1921"/>
      <c r="F196" s="3009" t="s">
        <v>20</v>
      </c>
      <c r="G196" s="1495"/>
      <c r="H196" s="1495"/>
      <c r="I196" s="1568" t="s">
        <v>7249</v>
      </c>
      <c r="J196" s="1769" t="s">
        <v>65</v>
      </c>
      <c r="K196" s="1495" t="s">
        <v>142</v>
      </c>
      <c r="L196" s="1600" t="s">
        <v>8743</v>
      </c>
      <c r="M196" s="3037">
        <v>1500</v>
      </c>
      <c r="N196" s="2196" t="s">
        <v>7959</v>
      </c>
      <c r="O196" s="1548"/>
      <c r="P196" s="1548"/>
      <c r="Q196" s="2590"/>
      <c r="R196" s="1748">
        <v>3</v>
      </c>
    </row>
    <row r="197" spans="1:29" s="1467" customFormat="1" ht="58.6" customHeight="1">
      <c r="A197" s="3771">
        <v>43</v>
      </c>
      <c r="B197" s="3004" t="str">
        <f t="shared" si="3"/>
        <v>2000003332</v>
      </c>
      <c r="C197" s="1769" t="s">
        <v>3546</v>
      </c>
      <c r="D197" s="3006">
        <v>4300</v>
      </c>
      <c r="E197" s="1921" t="s">
        <v>8710</v>
      </c>
      <c r="F197" s="1493" t="s">
        <v>26</v>
      </c>
      <c r="G197" s="1495" t="s">
        <v>8744</v>
      </c>
      <c r="H197" s="1495" t="s">
        <v>8745</v>
      </c>
      <c r="I197" s="1568" t="s">
        <v>7249</v>
      </c>
      <c r="J197" s="1493" t="s">
        <v>65</v>
      </c>
      <c r="K197" s="1495" t="s">
        <v>117</v>
      </c>
      <c r="L197" s="1496" t="s">
        <v>8746</v>
      </c>
      <c r="M197" s="3037">
        <v>2000</v>
      </c>
      <c r="N197" s="2907" t="s">
        <v>7407</v>
      </c>
      <c r="O197" s="1548"/>
      <c r="P197" s="1548"/>
      <c r="Q197" s="2590"/>
      <c r="R197" s="1748">
        <v>3</v>
      </c>
    </row>
    <row r="198" spans="1:29" s="1467" customFormat="1" ht="58.6" customHeight="1">
      <c r="A198" s="3772"/>
      <c r="B198" s="3004" t="str">
        <f t="shared" si="3"/>
        <v>2200002198</v>
      </c>
      <c r="C198" s="1769" t="s">
        <v>3546</v>
      </c>
      <c r="D198" s="3006"/>
      <c r="E198" s="1921"/>
      <c r="F198" s="1493" t="s">
        <v>26</v>
      </c>
      <c r="G198" s="1495"/>
      <c r="H198" s="1495"/>
      <c r="I198" s="1560" t="s">
        <v>7249</v>
      </c>
      <c r="J198" s="1561" t="s">
        <v>65</v>
      </c>
      <c r="K198" s="1902" t="s">
        <v>117</v>
      </c>
      <c r="L198" s="1600" t="s">
        <v>8747</v>
      </c>
      <c r="M198" s="3037">
        <v>830</v>
      </c>
      <c r="N198" s="2196" t="s">
        <v>8748</v>
      </c>
      <c r="O198" s="1807"/>
      <c r="P198" s="1807"/>
      <c r="Q198" s="2590"/>
      <c r="R198" s="1748">
        <v>3</v>
      </c>
    </row>
    <row r="199" spans="1:29" s="2643" customFormat="1" ht="58.6" customHeight="1">
      <c r="A199" s="3773"/>
      <c r="B199" s="3004" t="str">
        <f t="shared" si="3"/>
        <v>2000003360</v>
      </c>
      <c r="C199" s="1769" t="s">
        <v>3546</v>
      </c>
      <c r="D199" s="2150"/>
      <c r="E199" s="2150"/>
      <c r="F199" s="1493" t="s">
        <v>26</v>
      </c>
      <c r="G199" s="1921"/>
      <c r="H199" s="2150"/>
      <c r="I199" s="3127" t="s">
        <v>7249</v>
      </c>
      <c r="J199" s="1769" t="s">
        <v>65</v>
      </c>
      <c r="K199" s="1495" t="s">
        <v>240</v>
      </c>
      <c r="L199" s="2875" t="s">
        <v>8749</v>
      </c>
      <c r="M199" s="3037">
        <v>1500</v>
      </c>
      <c r="N199" s="2907" t="s">
        <v>8750</v>
      </c>
      <c r="O199" s="2181"/>
      <c r="P199" s="2181"/>
      <c r="Q199" s="1745"/>
      <c r="R199" s="1909">
        <v>3</v>
      </c>
    </row>
    <row r="200" spans="1:29" s="2643" customFormat="1" ht="58.6" customHeight="1">
      <c r="A200" s="2723"/>
      <c r="B200" s="3004" t="str">
        <f t="shared" si="3"/>
        <v>2000003240</v>
      </c>
      <c r="C200" s="3019" t="s">
        <v>6852</v>
      </c>
      <c r="D200" s="2607">
        <v>10675</v>
      </c>
      <c r="E200" s="1921" t="s">
        <v>8682</v>
      </c>
      <c r="F200" s="1902" t="s">
        <v>16</v>
      </c>
      <c r="G200" s="1921" t="s">
        <v>8751</v>
      </c>
      <c r="H200" s="1921" t="s">
        <v>7983</v>
      </c>
      <c r="I200" s="3094" t="s">
        <v>7249</v>
      </c>
      <c r="J200" s="1902" t="s">
        <v>65</v>
      </c>
      <c r="K200" s="1921" t="s">
        <v>4386</v>
      </c>
      <c r="L200" s="1845" t="s">
        <v>8752</v>
      </c>
      <c r="M200" s="3041">
        <v>1900</v>
      </c>
      <c r="N200" s="2196" t="s">
        <v>7536</v>
      </c>
      <c r="O200" s="1902"/>
      <c r="P200" s="1902"/>
      <c r="Q200" s="1745"/>
      <c r="R200" s="1909">
        <v>3</v>
      </c>
      <c r="S200" s="2150"/>
      <c r="T200" s="2150"/>
      <c r="U200" s="2150"/>
      <c r="V200" s="2150"/>
      <c r="W200" s="2150"/>
      <c r="X200" s="2150"/>
      <c r="Y200" s="2150"/>
      <c r="Z200" s="2150"/>
      <c r="AA200" s="2150"/>
      <c r="AB200" s="2150"/>
      <c r="AC200" s="2150"/>
    </row>
    <row r="201" spans="1:29" s="1467" customFormat="1" ht="58.6" customHeight="1">
      <c r="A201" s="2723"/>
      <c r="B201" s="3004" t="str">
        <f t="shared" si="3"/>
        <v>2000003242</v>
      </c>
      <c r="C201" s="3009" t="s">
        <v>6852</v>
      </c>
      <c r="D201" s="1494"/>
      <c r="E201" s="1921"/>
      <c r="F201" s="1493" t="s">
        <v>16</v>
      </c>
      <c r="G201" s="1495"/>
      <c r="H201" s="1495"/>
      <c r="I201" s="1495" t="s">
        <v>7249</v>
      </c>
      <c r="J201" s="1493" t="s">
        <v>65</v>
      </c>
      <c r="K201" s="1495" t="s">
        <v>4386</v>
      </c>
      <c r="L201" s="1600" t="s">
        <v>8753</v>
      </c>
      <c r="M201" s="3037">
        <v>3000</v>
      </c>
      <c r="N201" s="2196" t="s">
        <v>7536</v>
      </c>
      <c r="O201" s="1493"/>
      <c r="P201" s="1493"/>
      <c r="Q201" s="2590"/>
      <c r="R201" s="1748">
        <v>3</v>
      </c>
      <c r="S201" s="1548"/>
      <c r="T201" s="1548"/>
      <c r="U201" s="1548"/>
      <c r="V201" s="1548"/>
      <c r="W201" s="1548"/>
      <c r="X201" s="1548"/>
      <c r="Y201" s="1548"/>
      <c r="Z201" s="1548"/>
      <c r="AA201" s="1548"/>
      <c r="AB201" s="1548"/>
      <c r="AC201" s="1548"/>
    </row>
    <row r="202" spans="1:29" s="1467" customFormat="1" ht="58.6" customHeight="1">
      <c r="A202" s="2723"/>
      <c r="B202" s="3004" t="str">
        <f t="shared" si="3"/>
        <v>2000003362</v>
      </c>
      <c r="C202" s="3009" t="s">
        <v>6852</v>
      </c>
      <c r="D202" s="1494"/>
      <c r="E202" s="1921"/>
      <c r="F202" s="1493" t="s">
        <v>16</v>
      </c>
      <c r="G202" s="1495"/>
      <c r="H202" s="1495"/>
      <c r="I202" s="1568" t="s">
        <v>7249</v>
      </c>
      <c r="J202" s="3009" t="s">
        <v>65</v>
      </c>
      <c r="K202" s="1495" t="s">
        <v>164</v>
      </c>
      <c r="L202" s="1600" t="s">
        <v>8754</v>
      </c>
      <c r="M202" s="3037">
        <v>2000</v>
      </c>
      <c r="N202" s="2196" t="s">
        <v>8737</v>
      </c>
      <c r="O202" s="1548"/>
      <c r="P202" s="1548"/>
      <c r="Q202" s="2590"/>
      <c r="R202" s="1748">
        <v>3</v>
      </c>
    </row>
    <row r="203" spans="1:29" s="1467" customFormat="1" ht="58.6" customHeight="1">
      <c r="A203" s="2723"/>
      <c r="B203" s="3004" t="str">
        <f t="shared" si="3"/>
        <v>2000003244</v>
      </c>
      <c r="C203" s="3009" t="s">
        <v>6852</v>
      </c>
      <c r="D203" s="1494"/>
      <c r="E203" s="1921"/>
      <c r="F203" s="1493" t="s">
        <v>16</v>
      </c>
      <c r="G203" s="1495"/>
      <c r="H203" s="1495"/>
      <c r="I203" s="1568" t="s">
        <v>7249</v>
      </c>
      <c r="J203" s="1493" t="s">
        <v>65</v>
      </c>
      <c r="K203" s="1495" t="s">
        <v>164</v>
      </c>
      <c r="L203" s="3198" t="s">
        <v>8755</v>
      </c>
      <c r="M203" s="3079">
        <v>300</v>
      </c>
      <c r="N203" s="2196" t="s">
        <v>7536</v>
      </c>
      <c r="O203" s="2429"/>
      <c r="P203" s="2429"/>
      <c r="Q203" s="2590"/>
      <c r="R203" s="1748">
        <v>3</v>
      </c>
      <c r="S203" s="1548"/>
      <c r="T203" s="1548"/>
      <c r="U203" s="1548"/>
      <c r="V203" s="1548"/>
      <c r="W203" s="1548"/>
      <c r="X203" s="1548"/>
      <c r="Y203" s="1548"/>
      <c r="Z203" s="1548"/>
      <c r="AA203" s="1548"/>
      <c r="AB203" s="1548"/>
      <c r="AC203" s="1548"/>
    </row>
    <row r="204" spans="1:29" s="1467" customFormat="1" ht="58.6" customHeight="1">
      <c r="A204" s="2723"/>
      <c r="B204" s="3004" t="str">
        <f t="shared" si="3"/>
        <v>2000003321</v>
      </c>
      <c r="C204" s="3009" t="s">
        <v>6852</v>
      </c>
      <c r="D204" s="3006"/>
      <c r="E204" s="3021"/>
      <c r="F204" s="1493" t="s">
        <v>16</v>
      </c>
      <c r="G204" s="3007"/>
      <c r="H204" s="1495"/>
      <c r="I204" s="3007" t="s">
        <v>7249</v>
      </c>
      <c r="J204" s="3009" t="s">
        <v>65</v>
      </c>
      <c r="K204" s="3007" t="s">
        <v>164</v>
      </c>
      <c r="L204" s="2878" t="s">
        <v>8756</v>
      </c>
      <c r="M204" s="3040">
        <v>1075</v>
      </c>
      <c r="N204" s="2196" t="s">
        <v>8737</v>
      </c>
      <c r="O204" s="3009"/>
      <c r="P204" s="3009"/>
      <c r="Q204" s="3010"/>
      <c r="R204" s="3045">
        <v>3</v>
      </c>
    </row>
    <row r="205" spans="1:29" s="1467" customFormat="1" ht="58.6" customHeight="1">
      <c r="A205" s="3147"/>
      <c r="B205" s="3004" t="str">
        <f t="shared" si="3"/>
        <v>2000003307</v>
      </c>
      <c r="C205" s="3009" t="s">
        <v>6852</v>
      </c>
      <c r="D205" s="3006"/>
      <c r="E205" s="3021"/>
      <c r="F205" s="3122" t="s">
        <v>16</v>
      </c>
      <c r="G205" s="3007"/>
      <c r="H205" s="3007"/>
      <c r="I205" s="3007" t="s">
        <v>7249</v>
      </c>
      <c r="J205" s="3009" t="s">
        <v>65</v>
      </c>
      <c r="K205" s="3007" t="s">
        <v>164</v>
      </c>
      <c r="L205" s="2878" t="s">
        <v>8757</v>
      </c>
      <c r="M205" s="3040">
        <v>577</v>
      </c>
      <c r="N205" s="2196" t="s">
        <v>7536</v>
      </c>
      <c r="O205" s="3009"/>
      <c r="P205" s="3009"/>
      <c r="Q205" s="3120" t="s">
        <v>8758</v>
      </c>
      <c r="R205" s="3045">
        <v>3</v>
      </c>
    </row>
    <row r="206" spans="1:29" s="1467" customFormat="1" ht="58.6" customHeight="1">
      <c r="A206" s="2723"/>
      <c r="B206" s="3004" t="str">
        <f t="shared" si="3"/>
        <v>2000003308</v>
      </c>
      <c r="C206" s="3009" t="s">
        <v>6852</v>
      </c>
      <c r="D206" s="3006"/>
      <c r="E206" s="3021"/>
      <c r="F206" s="1493" t="s">
        <v>16</v>
      </c>
      <c r="G206" s="3008"/>
      <c r="H206" s="3007"/>
      <c r="I206" s="3007" t="s">
        <v>7249</v>
      </c>
      <c r="J206" s="3009" t="s">
        <v>65</v>
      </c>
      <c r="K206" s="3007" t="s">
        <v>164</v>
      </c>
      <c r="L206" s="2878" t="s">
        <v>8759</v>
      </c>
      <c r="M206" s="3040">
        <v>1064</v>
      </c>
      <c r="N206" s="2196" t="s">
        <v>8760</v>
      </c>
      <c r="O206" s="3009"/>
      <c r="P206" s="3009"/>
      <c r="Q206" s="3120" t="s">
        <v>8761</v>
      </c>
      <c r="R206" s="3045">
        <v>3</v>
      </c>
    </row>
    <row r="207" spans="1:29" s="1467" customFormat="1" ht="58.6" customHeight="1">
      <c r="A207" s="2414"/>
      <c r="B207" s="3004" t="str">
        <f t="shared" si="3"/>
        <v>2000003270</v>
      </c>
      <c r="C207" s="3009" t="s">
        <v>6852</v>
      </c>
      <c r="D207" s="1808"/>
      <c r="E207" s="1921"/>
      <c r="F207" s="1769" t="s">
        <v>16</v>
      </c>
      <c r="G207" s="1495"/>
      <c r="H207" s="1568"/>
      <c r="I207" s="1495" t="s">
        <v>7249</v>
      </c>
      <c r="J207" s="1493" t="s">
        <v>65</v>
      </c>
      <c r="K207" s="1495" t="s">
        <v>164</v>
      </c>
      <c r="L207" s="2878" t="s">
        <v>8762</v>
      </c>
      <c r="M207" s="3037">
        <v>200</v>
      </c>
      <c r="N207" s="2196" t="s">
        <v>7536</v>
      </c>
      <c r="O207" s="1493"/>
      <c r="P207" s="1493"/>
      <c r="Q207" s="2590"/>
      <c r="R207" s="1748">
        <v>3</v>
      </c>
      <c r="S207" s="1548"/>
      <c r="T207" s="1548"/>
      <c r="U207" s="1548"/>
      <c r="V207" s="1548"/>
      <c r="W207" s="1548"/>
      <c r="X207" s="1548"/>
      <c r="Y207" s="1548"/>
      <c r="Z207" s="1548"/>
      <c r="AA207" s="1548"/>
      <c r="AB207" s="1548"/>
      <c r="AC207" s="1548"/>
    </row>
    <row r="208" spans="1:29" s="2643" customFormat="1" ht="58.6" customHeight="1">
      <c r="A208" s="3147"/>
      <c r="B208" s="3004" t="str">
        <f t="shared" si="3"/>
        <v>2000003331</v>
      </c>
      <c r="C208" s="3019" t="s">
        <v>3432</v>
      </c>
      <c r="D208" s="3148">
        <v>3300</v>
      </c>
      <c r="E208" s="3149" t="s">
        <v>8763</v>
      </c>
      <c r="F208" s="3150" t="s">
        <v>24</v>
      </c>
      <c r="G208" s="3021" t="s">
        <v>8764</v>
      </c>
      <c r="H208" s="3151"/>
      <c r="I208" s="3021" t="s">
        <v>8765</v>
      </c>
      <c r="J208" s="3019" t="s">
        <v>65</v>
      </c>
      <c r="K208" s="3152" t="s">
        <v>1000</v>
      </c>
      <c r="L208" s="3118" t="s">
        <v>8766</v>
      </c>
      <c r="M208" s="3036">
        <v>1460</v>
      </c>
      <c r="N208" s="2907" t="s">
        <v>7407</v>
      </c>
      <c r="O208" s="3019">
        <v>25</v>
      </c>
      <c r="P208" s="3019"/>
      <c r="Q208" s="3023"/>
      <c r="R208" s="3045">
        <v>3</v>
      </c>
    </row>
    <row r="209" spans="1:29" s="1467" customFormat="1" ht="58.6" customHeight="1">
      <c r="A209" s="3153"/>
      <c r="B209" s="3004" t="str">
        <f t="shared" si="3"/>
        <v>2000003350</v>
      </c>
      <c r="C209" s="3009" t="s">
        <v>3432</v>
      </c>
      <c r="D209" s="3006"/>
      <c r="E209" s="3021"/>
      <c r="F209" s="3009" t="s">
        <v>24</v>
      </c>
      <c r="G209" s="3154"/>
      <c r="H209" s="3007"/>
      <c r="I209" s="3021" t="s">
        <v>8765</v>
      </c>
      <c r="J209" s="3009" t="s">
        <v>65</v>
      </c>
      <c r="K209" s="3155" t="s">
        <v>1000</v>
      </c>
      <c r="L209" s="1496" t="s">
        <v>8767</v>
      </c>
      <c r="M209" s="2357">
        <v>1020</v>
      </c>
      <c r="N209" s="2196" t="s">
        <v>7536</v>
      </c>
      <c r="O209" s="3019">
        <v>25</v>
      </c>
      <c r="P209" s="3019"/>
      <c r="Q209" s="3010"/>
      <c r="R209" s="3045">
        <v>3</v>
      </c>
    </row>
    <row r="210" spans="1:29" s="1785" customFormat="1" ht="58.6" customHeight="1">
      <c r="A210" s="1781"/>
      <c r="B210" s="3004" t="str">
        <f t="shared" si="3"/>
        <v>2000003276</v>
      </c>
      <c r="C210" s="3009" t="s">
        <v>3432</v>
      </c>
      <c r="D210" s="3156"/>
      <c r="E210" s="2180"/>
      <c r="F210" s="3009" t="s">
        <v>24</v>
      </c>
      <c r="G210" s="1780"/>
      <c r="H210" s="1780"/>
      <c r="I210" s="1560" t="s">
        <v>7249</v>
      </c>
      <c r="J210" s="1782" t="s">
        <v>65</v>
      </c>
      <c r="K210" s="3155" t="s">
        <v>1000</v>
      </c>
      <c r="L210" s="1546" t="s">
        <v>8768</v>
      </c>
      <c r="M210" s="3089">
        <v>510</v>
      </c>
      <c r="N210" s="2907" t="s">
        <v>7536</v>
      </c>
      <c r="O210" s="3019">
        <v>25</v>
      </c>
      <c r="P210" s="3019"/>
      <c r="Q210" s="1821"/>
      <c r="R210" s="3045">
        <v>3</v>
      </c>
      <c r="S210" s="1821"/>
      <c r="T210" s="1821"/>
      <c r="U210" s="1821"/>
      <c r="V210" s="1821"/>
      <c r="W210" s="1821"/>
      <c r="X210" s="1821"/>
      <c r="Y210" s="1821"/>
      <c r="Z210" s="1821"/>
      <c r="AA210" s="1821"/>
      <c r="AB210" s="1821"/>
      <c r="AC210" s="1821"/>
    </row>
    <row r="211" spans="1:29" s="1785" customFormat="1" ht="58.6" customHeight="1">
      <c r="A211" s="3157"/>
      <c r="B211" s="3004" t="str">
        <f t="shared" si="3"/>
        <v>2000003361</v>
      </c>
      <c r="C211" s="3009" t="s">
        <v>3432</v>
      </c>
      <c r="D211" s="3158"/>
      <c r="E211" s="3159"/>
      <c r="F211" s="3160" t="s">
        <v>24</v>
      </c>
      <c r="G211" s="3161"/>
      <c r="H211" s="3161"/>
      <c r="I211" s="3121" t="s">
        <v>7249</v>
      </c>
      <c r="J211" s="1782" t="s">
        <v>65</v>
      </c>
      <c r="K211" s="3155" t="s">
        <v>1000</v>
      </c>
      <c r="L211" s="3090" t="s">
        <v>8769</v>
      </c>
      <c r="M211" s="3162">
        <v>300</v>
      </c>
      <c r="N211" s="2907" t="s">
        <v>7536</v>
      </c>
      <c r="O211" s="3019">
        <v>25</v>
      </c>
      <c r="P211" s="3019"/>
      <c r="Q211" s="3010"/>
      <c r="R211" s="3045">
        <v>3</v>
      </c>
    </row>
    <row r="212" spans="1:29" s="2643" customFormat="1" ht="58.6" customHeight="1">
      <c r="A212" s="3204"/>
      <c r="B212" s="3024" t="str">
        <f t="shared" si="3"/>
        <v>2000003336</v>
      </c>
      <c r="C212" s="2823" t="s">
        <v>6985</v>
      </c>
      <c r="D212" s="3020">
        <v>4250</v>
      </c>
      <c r="E212" s="1921" t="s">
        <v>8770</v>
      </c>
      <c r="F212" s="3019" t="s">
        <v>22</v>
      </c>
      <c r="G212" s="3021" t="s">
        <v>8771</v>
      </c>
      <c r="H212" s="3149"/>
      <c r="I212" s="1495" t="s">
        <v>7249</v>
      </c>
      <c r="J212" s="1902" t="s">
        <v>65</v>
      </c>
      <c r="K212" s="1921" t="s">
        <v>117</v>
      </c>
      <c r="L212" s="2194" t="s">
        <v>8772</v>
      </c>
      <c r="M212" s="3041">
        <v>918</v>
      </c>
      <c r="N212" s="3188" t="s">
        <v>5392</v>
      </c>
      <c r="O212" s="3093"/>
      <c r="P212" s="3093"/>
      <c r="Q212" s="2290"/>
      <c r="R212" s="3026">
        <v>3</v>
      </c>
      <c r="S212" s="2150"/>
      <c r="T212" s="2150"/>
      <c r="U212" s="2150"/>
      <c r="V212" s="2150"/>
      <c r="W212" s="2150"/>
      <c r="X212" s="2150"/>
      <c r="Y212" s="2150"/>
      <c r="Z212" s="2150"/>
      <c r="AA212" s="2150"/>
      <c r="AB212" s="2150"/>
      <c r="AC212" s="2150"/>
    </row>
    <row r="213" spans="1:29" s="2643" customFormat="1" ht="58.6" customHeight="1">
      <c r="A213" s="2436"/>
      <c r="B213" s="3024" t="str">
        <f t="shared" si="3"/>
        <v>2200002206</v>
      </c>
      <c r="C213" s="1769" t="s">
        <v>6985</v>
      </c>
      <c r="D213" s="2150"/>
      <c r="E213" s="2150"/>
      <c r="F213" s="3009" t="s">
        <v>22</v>
      </c>
      <c r="G213" s="1921"/>
      <c r="H213" s="2150"/>
      <c r="I213" s="1568" t="s">
        <v>8773</v>
      </c>
      <c r="J213" s="1493" t="s">
        <v>65</v>
      </c>
      <c r="K213" s="1495" t="s">
        <v>117</v>
      </c>
      <c r="L213" s="1843" t="s">
        <v>8774</v>
      </c>
      <c r="M213" s="3037">
        <v>750</v>
      </c>
      <c r="N213" s="3205" t="s">
        <v>8775</v>
      </c>
      <c r="O213" s="2181"/>
      <c r="P213" s="2181"/>
      <c r="Q213" s="1745"/>
      <c r="R213" s="1909">
        <v>3</v>
      </c>
    </row>
    <row r="214" spans="1:29" s="2643" customFormat="1" ht="70.5" customHeight="1">
      <c r="A214" s="2723"/>
      <c r="B214" s="3024" t="str">
        <f t="shared" si="3"/>
        <v>2000003337</v>
      </c>
      <c r="C214" s="1769" t="s">
        <v>6985</v>
      </c>
      <c r="D214" s="2150"/>
      <c r="E214" s="2150"/>
      <c r="F214" s="3009" t="s">
        <v>22</v>
      </c>
      <c r="G214" s="1921"/>
      <c r="H214" s="2150"/>
      <c r="I214" s="1495" t="s">
        <v>7249</v>
      </c>
      <c r="J214" s="1493" t="s">
        <v>65</v>
      </c>
      <c r="K214" s="1495" t="s">
        <v>117</v>
      </c>
      <c r="L214" s="3090" t="s">
        <v>8776</v>
      </c>
      <c r="M214" s="3037">
        <v>1088</v>
      </c>
      <c r="N214" s="2907" t="s">
        <v>7407</v>
      </c>
      <c r="O214" s="2181"/>
      <c r="P214" s="2181"/>
      <c r="Q214" s="1745"/>
      <c r="R214" s="1909">
        <v>3</v>
      </c>
    </row>
    <row r="215" spans="1:29" s="2643" customFormat="1" ht="58.6" customHeight="1">
      <c r="A215" s="3203"/>
      <c r="B215" s="3024" t="str">
        <f t="shared" si="3"/>
        <v>2000003360</v>
      </c>
      <c r="C215" s="1769" t="s">
        <v>6985</v>
      </c>
      <c r="D215" s="3006"/>
      <c r="E215" s="3021"/>
      <c r="F215" s="3009" t="s">
        <v>22</v>
      </c>
      <c r="G215" s="3021"/>
      <c r="H215" s="1921"/>
      <c r="I215" s="3127" t="s">
        <v>7249</v>
      </c>
      <c r="J215" s="1769" t="s">
        <v>65</v>
      </c>
      <c r="K215" s="1495" t="s">
        <v>240</v>
      </c>
      <c r="L215" s="2875" t="s">
        <v>8777</v>
      </c>
      <c r="M215" s="3037">
        <v>1500</v>
      </c>
      <c r="N215" s="3007" t="s">
        <v>8778</v>
      </c>
      <c r="O215" s="3093"/>
      <c r="P215" s="3093"/>
      <c r="Q215" s="2290"/>
      <c r="R215" s="3045">
        <v>3</v>
      </c>
      <c r="S215" s="2150"/>
      <c r="T215" s="2150"/>
      <c r="U215" s="2150"/>
      <c r="V215" s="2150"/>
      <c r="W215" s="2150"/>
      <c r="X215" s="2150"/>
      <c r="Y215" s="2150"/>
      <c r="Z215" s="2150"/>
      <c r="AA215" s="2150"/>
      <c r="AB215" s="2150"/>
      <c r="AC215" s="2150"/>
    </row>
    <row r="216" spans="1:29" s="2643" customFormat="1" ht="58.6" customHeight="1">
      <c r="A216" s="3147"/>
      <c r="B216" s="3024" t="str">
        <f t="shared" si="3"/>
        <v>2000003324</v>
      </c>
      <c r="C216" s="3019" t="s">
        <v>7719</v>
      </c>
      <c r="D216" s="3148">
        <v>4450</v>
      </c>
      <c r="E216" s="3149" t="s">
        <v>8712</v>
      </c>
      <c r="F216" s="3025" t="s">
        <v>26</v>
      </c>
      <c r="G216" s="3149" t="s">
        <v>8779</v>
      </c>
      <c r="H216" s="3149" t="s">
        <v>8780</v>
      </c>
      <c r="I216" s="1921" t="s">
        <v>7249</v>
      </c>
      <c r="J216" s="2823" t="s">
        <v>65</v>
      </c>
      <c r="K216" s="3021" t="s">
        <v>117</v>
      </c>
      <c r="L216" s="2904" t="s">
        <v>8781</v>
      </c>
      <c r="M216" s="3036">
        <v>4450</v>
      </c>
      <c r="N216" s="2907" t="s">
        <v>5392</v>
      </c>
      <c r="O216" s="3019"/>
      <c r="P216" s="3019"/>
      <c r="Q216" s="3060"/>
      <c r="R216" s="3026">
        <v>3</v>
      </c>
    </row>
    <row r="217" spans="1:29" s="2676" customFormat="1" ht="58.6" customHeight="1">
      <c r="A217" s="3190"/>
      <c r="B217" s="3024" t="str">
        <f t="shared" si="3"/>
        <v>2000003293</v>
      </c>
      <c r="C217" s="2180" t="s">
        <v>61</v>
      </c>
      <c r="D217" s="3100">
        <v>3950</v>
      </c>
      <c r="E217" s="3101" t="s">
        <v>8740</v>
      </c>
      <c r="F217" s="1902" t="s">
        <v>26</v>
      </c>
      <c r="G217" s="3101" t="s">
        <v>8782</v>
      </c>
      <c r="H217" s="3101"/>
      <c r="I217" s="3191" t="s">
        <v>7249</v>
      </c>
      <c r="J217" s="2667" t="s">
        <v>65</v>
      </c>
      <c r="K217" s="3101" t="s">
        <v>66</v>
      </c>
      <c r="L217" s="3192" t="s">
        <v>8783</v>
      </c>
      <c r="M217" s="3091">
        <v>955</v>
      </c>
      <c r="N217" s="2907" t="s">
        <v>8784</v>
      </c>
      <c r="O217" s="3193"/>
      <c r="P217" s="3193"/>
      <c r="Q217" s="2162"/>
      <c r="R217" s="3045">
        <v>3</v>
      </c>
      <c r="S217" s="2660"/>
      <c r="T217" s="2660"/>
      <c r="U217" s="2660"/>
      <c r="V217" s="2660"/>
      <c r="W217" s="2660"/>
      <c r="X217" s="2660"/>
      <c r="Y217" s="2660"/>
      <c r="Z217" s="2660"/>
      <c r="AA217" s="2660"/>
      <c r="AB217" s="2660"/>
      <c r="AC217" s="2660"/>
    </row>
    <row r="218" spans="1:29" s="2676" customFormat="1" ht="54.7" customHeight="1">
      <c r="A218" s="3190"/>
      <c r="B218" s="3024" t="str">
        <f t="shared" si="3"/>
        <v>2000003370</v>
      </c>
      <c r="C218" s="1780" t="s">
        <v>61</v>
      </c>
      <c r="D218" s="3100"/>
      <c r="E218" s="3101"/>
      <c r="F218" s="1493" t="s">
        <v>26</v>
      </c>
      <c r="G218" s="3101"/>
      <c r="H218" s="3101"/>
      <c r="I218" s="3191">
        <v>45923</v>
      </c>
      <c r="J218" s="1493" t="s">
        <v>65</v>
      </c>
      <c r="K218" s="3101" t="s">
        <v>66</v>
      </c>
      <c r="L218" s="3056" t="s">
        <v>8785</v>
      </c>
      <c r="M218" s="3091">
        <v>716</v>
      </c>
      <c r="N218" s="3016" t="s">
        <v>8786</v>
      </c>
      <c r="O218" s="3193"/>
      <c r="P218" s="3193"/>
      <c r="Q218" s="2162"/>
      <c r="R218" s="3045">
        <v>3</v>
      </c>
      <c r="S218" s="2660"/>
      <c r="T218" s="2660"/>
      <c r="U218" s="2660"/>
      <c r="V218" s="2660"/>
      <c r="W218" s="2660"/>
      <c r="X218" s="2660"/>
      <c r="Y218" s="2660"/>
      <c r="Z218" s="2660"/>
      <c r="AA218" s="2660"/>
      <c r="AB218" s="2660"/>
      <c r="AC218" s="2660"/>
    </row>
    <row r="219" spans="1:29" s="1548" customFormat="1" ht="58.6" customHeight="1">
      <c r="B219" s="3024" t="str">
        <f t="shared" si="3"/>
        <v>2200002183</v>
      </c>
      <c r="C219" s="1780" t="s">
        <v>61</v>
      </c>
      <c r="D219" s="1494"/>
      <c r="E219" s="3101"/>
      <c r="F219" s="1493" t="s">
        <v>26</v>
      </c>
      <c r="G219" s="1495"/>
      <c r="H219" s="1495"/>
      <c r="I219" s="1495" t="s">
        <v>7249</v>
      </c>
      <c r="J219" s="1493" t="s">
        <v>65</v>
      </c>
      <c r="K219" s="1495" t="s">
        <v>1179</v>
      </c>
      <c r="L219" s="1600" t="s">
        <v>8787</v>
      </c>
      <c r="M219" s="3037">
        <v>130</v>
      </c>
      <c r="N219" s="2907" t="s">
        <v>7536</v>
      </c>
      <c r="O219" s="1493"/>
      <c r="P219" s="1493"/>
      <c r="Q219" s="2590"/>
      <c r="R219" s="3045">
        <v>3</v>
      </c>
      <c r="S219" s="1790"/>
      <c r="T219" s="1790"/>
    </row>
    <row r="220" spans="1:29" s="1467" customFormat="1" ht="58.6" customHeight="1">
      <c r="A220" s="3147"/>
      <c r="B220" s="3024" t="str">
        <f t="shared" si="3"/>
        <v>2000003187</v>
      </c>
      <c r="C220" s="1780" t="s">
        <v>61</v>
      </c>
      <c r="D220" s="3006"/>
      <c r="E220" s="3101"/>
      <c r="F220" s="1493" t="s">
        <v>26</v>
      </c>
      <c r="G220" s="3007"/>
      <c r="H220" s="3007"/>
      <c r="I220" s="1495" t="s">
        <v>7249</v>
      </c>
      <c r="J220" s="1493" t="s">
        <v>65</v>
      </c>
      <c r="K220" s="1495" t="s">
        <v>1179</v>
      </c>
      <c r="L220" s="2878" t="s">
        <v>8788</v>
      </c>
      <c r="M220" s="3040">
        <v>140</v>
      </c>
      <c r="N220" s="2907" t="s">
        <v>8789</v>
      </c>
      <c r="O220" s="3009"/>
      <c r="P220" s="3009"/>
      <c r="Q220" s="3010"/>
      <c r="R220" s="3045">
        <v>3</v>
      </c>
    </row>
    <row r="221" spans="1:29" s="1467" customFormat="1" ht="54" customHeight="1">
      <c r="A221" s="3147"/>
      <c r="B221" s="3024" t="str">
        <f t="shared" si="3"/>
        <v>2000003302</v>
      </c>
      <c r="C221" s="1780" t="s">
        <v>61</v>
      </c>
      <c r="D221" s="3006"/>
      <c r="E221" s="3101"/>
      <c r="F221" s="1493" t="s">
        <v>26</v>
      </c>
      <c r="G221" s="3007"/>
      <c r="H221" s="3007"/>
      <c r="I221" s="3007" t="s">
        <v>7249</v>
      </c>
      <c r="J221" s="1493" t="s">
        <v>65</v>
      </c>
      <c r="K221" s="1495" t="s">
        <v>1179</v>
      </c>
      <c r="L221" s="2878" t="s">
        <v>8790</v>
      </c>
      <c r="M221" s="3040">
        <v>20</v>
      </c>
      <c r="N221" s="2196" t="s">
        <v>6593</v>
      </c>
      <c r="O221" s="3009"/>
      <c r="P221" s="3009"/>
      <c r="Q221" s="3010"/>
      <c r="R221" s="3045">
        <v>3</v>
      </c>
    </row>
    <row r="222" spans="1:29" s="1467" customFormat="1" ht="83.25" customHeight="1">
      <c r="A222" s="3147"/>
      <c r="B222" s="3024" t="str">
        <f t="shared" si="3"/>
        <v>2200002192</v>
      </c>
      <c r="C222" s="1780" t="s">
        <v>61</v>
      </c>
      <c r="D222" s="3006"/>
      <c r="E222" s="3101"/>
      <c r="F222" s="1493" t="s">
        <v>26</v>
      </c>
      <c r="G222" s="3007"/>
      <c r="H222" s="3007"/>
      <c r="I222" s="3007" t="s">
        <v>7249</v>
      </c>
      <c r="J222" s="1493" t="s">
        <v>65</v>
      </c>
      <c r="K222" s="1495" t="s">
        <v>1179</v>
      </c>
      <c r="L222" s="3118" t="s">
        <v>8791</v>
      </c>
      <c r="M222" s="3040">
        <v>1989</v>
      </c>
      <c r="N222" s="2196" t="s">
        <v>8792</v>
      </c>
      <c r="O222" s="3009"/>
      <c r="P222" s="3009"/>
      <c r="Q222" s="3010"/>
      <c r="R222" s="3045">
        <v>3</v>
      </c>
    </row>
    <row r="223" spans="1:29" s="2643" customFormat="1" ht="54.7" customHeight="1">
      <c r="A223" s="3147"/>
      <c r="B223" s="3024" t="str">
        <f t="shared" si="3"/>
        <v>2200002200</v>
      </c>
      <c r="C223" s="3019" t="s">
        <v>2947</v>
      </c>
      <c r="D223" s="3020">
        <v>3500</v>
      </c>
      <c r="E223" s="3021" t="s">
        <v>8793</v>
      </c>
      <c r="F223" s="3019" t="s">
        <v>14</v>
      </c>
      <c r="G223" s="3021" t="s">
        <v>8794</v>
      </c>
      <c r="H223" s="3021" t="s">
        <v>8712</v>
      </c>
      <c r="I223" s="3021" t="s">
        <v>7249</v>
      </c>
      <c r="J223" s="3019" t="s">
        <v>65</v>
      </c>
      <c r="K223" s="3021" t="s">
        <v>1179</v>
      </c>
      <c r="L223" s="3118" t="s">
        <v>8795</v>
      </c>
      <c r="M223" s="3036">
        <v>454</v>
      </c>
      <c r="N223" s="2196" t="s">
        <v>8796</v>
      </c>
      <c r="O223" s="3019"/>
      <c r="P223" s="3019"/>
      <c r="Q223" s="3023"/>
      <c r="R223" s="1909">
        <v>3</v>
      </c>
    </row>
    <row r="224" spans="1:29" s="1467" customFormat="1" ht="77.95" customHeight="1">
      <c r="A224" s="3147"/>
      <c r="B224" s="3024" t="str">
        <f t="shared" si="3"/>
        <v>2200002195</v>
      </c>
      <c r="C224" s="3009" t="s">
        <v>2947</v>
      </c>
      <c r="D224" s="3006"/>
      <c r="E224" s="3021"/>
      <c r="F224" s="3009" t="s">
        <v>14</v>
      </c>
      <c r="G224" s="3007"/>
      <c r="H224" s="3007"/>
      <c r="I224" s="3007" t="s">
        <v>7249</v>
      </c>
      <c r="J224" s="1493" t="s">
        <v>65</v>
      </c>
      <c r="K224" s="3021" t="s">
        <v>1179</v>
      </c>
      <c r="L224" s="2878" t="s">
        <v>8797</v>
      </c>
      <c r="M224" s="3040">
        <v>3046</v>
      </c>
      <c r="N224" s="2196" t="s">
        <v>8796</v>
      </c>
      <c r="O224" s="3009"/>
      <c r="P224" s="3009"/>
      <c r="Q224" s="3010"/>
      <c r="R224" s="1748">
        <v>3</v>
      </c>
    </row>
    <row r="225" spans="1:30" s="2643" customFormat="1" ht="58.6" customHeight="1">
      <c r="A225" s="3147"/>
      <c r="B225" s="3024" t="str">
        <f t="shared" si="3"/>
        <v>2200002199</v>
      </c>
      <c r="C225" s="3019" t="s">
        <v>3440</v>
      </c>
      <c r="D225" s="3020">
        <v>8800</v>
      </c>
      <c r="E225" s="3021" t="s">
        <v>8740</v>
      </c>
      <c r="F225" s="3019" t="s">
        <v>16</v>
      </c>
      <c r="G225" s="3101" t="s">
        <v>8798</v>
      </c>
      <c r="H225" s="3021" t="s">
        <v>8799</v>
      </c>
      <c r="I225" s="3026" t="s">
        <v>7249</v>
      </c>
      <c r="J225" s="1902" t="s">
        <v>65</v>
      </c>
      <c r="K225" s="3021" t="s">
        <v>1179</v>
      </c>
      <c r="L225" s="3118" t="s">
        <v>8800</v>
      </c>
      <c r="M225" s="3172">
        <v>5056</v>
      </c>
      <c r="N225" s="2196" t="s">
        <v>8725</v>
      </c>
      <c r="O225" s="3019">
        <v>36</v>
      </c>
      <c r="P225" s="3019"/>
      <c r="Q225" s="3023"/>
      <c r="R225" s="3026">
        <v>3</v>
      </c>
    </row>
    <row r="226" spans="1:30" s="2643" customFormat="1" ht="88.5" customHeight="1">
      <c r="A226" s="3147"/>
      <c r="B226" s="3024" t="str">
        <f t="shared" si="3"/>
        <v>2000003340</v>
      </c>
      <c r="C226" s="3009" t="s">
        <v>3440</v>
      </c>
      <c r="D226" s="3020"/>
      <c r="E226" s="3021"/>
      <c r="F226" s="3019" t="s">
        <v>16</v>
      </c>
      <c r="G226" s="3101"/>
      <c r="H226" s="3021"/>
      <c r="I226" s="3007" t="s">
        <v>7249</v>
      </c>
      <c r="J226" s="1902" t="s">
        <v>65</v>
      </c>
      <c r="K226" s="3007" t="s">
        <v>1179</v>
      </c>
      <c r="L226" s="1496" t="s">
        <v>8801</v>
      </c>
      <c r="M226" s="3089">
        <v>200</v>
      </c>
      <c r="N226" s="2907" t="s">
        <v>7536</v>
      </c>
      <c r="O226" s="3019">
        <v>36</v>
      </c>
      <c r="P226" s="3019"/>
      <c r="Q226" s="3023"/>
      <c r="R226" s="3026">
        <v>3</v>
      </c>
    </row>
    <row r="227" spans="1:30" s="1467" customFormat="1" ht="84.1" customHeight="1">
      <c r="A227" s="3153"/>
      <c r="B227" s="3024" t="str">
        <f t="shared" si="3"/>
        <v>2000003331</v>
      </c>
      <c r="C227" s="3009" t="s">
        <v>3440</v>
      </c>
      <c r="D227" s="3006"/>
      <c r="E227" s="3021"/>
      <c r="F227" s="3009" t="s">
        <v>16</v>
      </c>
      <c r="G227" s="3007"/>
      <c r="H227" s="3007"/>
      <c r="I227" s="3007" t="s">
        <v>8802</v>
      </c>
      <c r="J227" s="3009" t="s">
        <v>65</v>
      </c>
      <c r="K227" s="3007" t="s">
        <v>1179</v>
      </c>
      <c r="L227" s="2878" t="s">
        <v>8803</v>
      </c>
      <c r="M227" s="3040">
        <v>3540</v>
      </c>
      <c r="N227" s="2907" t="s">
        <v>7407</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6" customHeight="1">
      <c r="A228" s="3147"/>
      <c r="B228" s="3024" t="str">
        <f t="shared" si="3"/>
        <v>2200002192</v>
      </c>
      <c r="C228" s="3019" t="s">
        <v>8804</v>
      </c>
      <c r="D228" s="3020">
        <v>8800</v>
      </c>
      <c r="E228" s="3021" t="s">
        <v>8740</v>
      </c>
      <c r="F228" s="3019" t="s">
        <v>16</v>
      </c>
      <c r="G228" s="3101"/>
      <c r="H228" s="3007" t="s">
        <v>8805</v>
      </c>
      <c r="I228" s="3007" t="s">
        <v>7249</v>
      </c>
      <c r="J228" s="3009" t="s">
        <v>1653</v>
      </c>
      <c r="K228" s="3021" t="s">
        <v>1179</v>
      </c>
      <c r="L228" s="3118" t="s">
        <v>8806</v>
      </c>
      <c r="M228" s="3172">
        <v>4500</v>
      </c>
      <c r="N228" s="2196" t="s">
        <v>8792</v>
      </c>
      <c r="O228" s="3009"/>
      <c r="P228" s="3009"/>
      <c r="Q228" s="3010"/>
      <c r="R228" s="1748" t="s">
        <v>8807</v>
      </c>
    </row>
    <row r="229" spans="1:30" s="1467" customFormat="1" ht="58.6" customHeight="1">
      <c r="A229" s="3147"/>
      <c r="B229" s="3024" t="str">
        <f t="shared" si="3"/>
        <v>2000003315</v>
      </c>
      <c r="C229" s="3009" t="s">
        <v>8804</v>
      </c>
      <c r="D229" s="3020"/>
      <c r="E229" s="3021"/>
      <c r="F229" s="3009" t="s">
        <v>16</v>
      </c>
      <c r="G229" s="3026"/>
      <c r="H229" s="3007"/>
      <c r="I229" s="3007" t="s">
        <v>7249</v>
      </c>
      <c r="J229" s="3009" t="s">
        <v>1653</v>
      </c>
      <c r="K229" s="3007" t="s">
        <v>1179</v>
      </c>
      <c r="L229" s="1600" t="s">
        <v>8808</v>
      </c>
      <c r="M229" s="3037">
        <v>4300</v>
      </c>
      <c r="N229" s="2907" t="s">
        <v>7499</v>
      </c>
      <c r="O229" s="3009"/>
      <c r="P229" s="3009"/>
      <c r="Q229" s="3010"/>
      <c r="R229" s="1748" t="s">
        <v>8807</v>
      </c>
    </row>
    <row r="230" spans="1:30" s="2643" customFormat="1" ht="58.6" customHeight="1">
      <c r="A230" s="2436"/>
      <c r="B230" s="3024" t="str">
        <f t="shared" si="3"/>
        <v>2200002150</v>
      </c>
      <c r="C230" s="1902" t="s">
        <v>5480</v>
      </c>
      <c r="D230" s="3020">
        <v>24000</v>
      </c>
      <c r="E230" s="1921" t="s">
        <v>8745</v>
      </c>
      <c r="F230" s="1902" t="s">
        <v>14</v>
      </c>
      <c r="G230" s="3101" t="s">
        <v>8809</v>
      </c>
      <c r="H230" s="1921" t="s">
        <v>8810</v>
      </c>
      <c r="I230" s="3026" t="s">
        <v>7249</v>
      </c>
      <c r="J230" s="2563" t="s">
        <v>65</v>
      </c>
      <c r="K230" s="1921" t="s">
        <v>1000</v>
      </c>
      <c r="L230" s="3214" t="s">
        <v>8811</v>
      </c>
      <c r="M230" s="3036">
        <v>3465</v>
      </c>
      <c r="N230" s="2907" t="s">
        <v>8812</v>
      </c>
      <c r="O230" s="1902"/>
      <c r="P230" s="1902"/>
      <c r="Q230" s="1745"/>
      <c r="R230" s="1909">
        <v>3</v>
      </c>
      <c r="S230" s="2150"/>
      <c r="T230" s="2150"/>
      <c r="U230" s="2150"/>
      <c r="V230" s="2150"/>
      <c r="W230" s="2150"/>
      <c r="X230" s="2150"/>
      <c r="Y230" s="2150"/>
      <c r="Z230" s="2150"/>
      <c r="AA230" s="2150"/>
      <c r="AB230" s="2150"/>
      <c r="AC230" s="2150"/>
    </row>
    <row r="231" spans="1:30" s="1467" customFormat="1" ht="58.6" customHeight="1">
      <c r="A231" s="1542"/>
      <c r="B231" s="3024" t="str">
        <f t="shared" si="3"/>
        <v>2200002200</v>
      </c>
      <c r="C231" s="1493" t="s">
        <v>5480</v>
      </c>
      <c r="D231" s="1494"/>
      <c r="E231" s="1921"/>
      <c r="F231" s="1493" t="s">
        <v>14</v>
      </c>
      <c r="G231" s="1773"/>
      <c r="H231" s="1495"/>
      <c r="I231" s="1493" t="s">
        <v>7249</v>
      </c>
      <c r="J231" s="1626" t="s">
        <v>65</v>
      </c>
      <c r="K231" s="1495" t="s">
        <v>1000</v>
      </c>
      <c r="L231" s="2878" t="s">
        <v>8813</v>
      </c>
      <c r="M231" s="3040">
        <v>226</v>
      </c>
      <c r="N231" s="2907" t="s">
        <v>8814</v>
      </c>
      <c r="O231" s="1493"/>
      <c r="P231" s="1493"/>
      <c r="Q231" s="2590"/>
      <c r="R231" s="1748">
        <v>3</v>
      </c>
      <c r="S231" s="1548"/>
      <c r="T231" s="1548"/>
      <c r="U231" s="1548"/>
      <c r="V231" s="1548"/>
      <c r="W231" s="1548"/>
      <c r="X231" s="1548"/>
      <c r="Y231" s="1548"/>
      <c r="Z231" s="1548"/>
      <c r="AA231" s="1548"/>
      <c r="AB231" s="1548"/>
      <c r="AC231" s="1548"/>
    </row>
    <row r="232" spans="1:30" s="1467" customFormat="1" ht="66.099999999999994" customHeight="1">
      <c r="A232" s="3147"/>
      <c r="B232" s="3024" t="str">
        <f t="shared" si="3"/>
        <v>2200002194</v>
      </c>
      <c r="C232" s="1493" t="s">
        <v>5480</v>
      </c>
      <c r="D232" s="3006"/>
      <c r="E232" s="3021"/>
      <c r="F232" s="1493" t="s">
        <v>14</v>
      </c>
      <c r="G232" s="3007"/>
      <c r="H232" s="3154"/>
      <c r="I232" s="1493" t="s">
        <v>7249</v>
      </c>
      <c r="J232" s="1626" t="s">
        <v>65</v>
      </c>
      <c r="K232" s="1495" t="s">
        <v>1000</v>
      </c>
      <c r="L232" s="2878" t="s">
        <v>8815</v>
      </c>
      <c r="M232" s="3040">
        <v>2215</v>
      </c>
      <c r="N232" s="3205" t="s">
        <v>8816</v>
      </c>
      <c r="O232" s="3009"/>
      <c r="P232" s="3009"/>
      <c r="Q232" s="3215"/>
      <c r="R232" s="3045">
        <v>3</v>
      </c>
    </row>
    <row r="233" spans="1:30" s="1467" customFormat="1" ht="61.5" customHeight="1">
      <c r="A233" s="3147"/>
      <c r="B233" s="3024" t="str">
        <f t="shared" si="3"/>
        <v>2200002201</v>
      </c>
      <c r="C233" s="1493" t="s">
        <v>5480</v>
      </c>
      <c r="D233" s="3006"/>
      <c r="E233" s="3021"/>
      <c r="F233" s="1493" t="s">
        <v>14</v>
      </c>
      <c r="G233" s="3007"/>
      <c r="H233" s="3154"/>
      <c r="I233" s="1493" t="s">
        <v>7249</v>
      </c>
      <c r="J233" s="1493" t="s">
        <v>65</v>
      </c>
      <c r="K233" s="1495" t="s">
        <v>1000</v>
      </c>
      <c r="L233" s="2878" t="s">
        <v>8817</v>
      </c>
      <c r="M233" s="3040">
        <v>181</v>
      </c>
      <c r="N233" s="3205" t="s">
        <v>8775</v>
      </c>
      <c r="O233" s="3009"/>
      <c r="P233" s="3009"/>
      <c r="Q233" s="3010"/>
      <c r="R233" s="3045">
        <v>3</v>
      </c>
    </row>
    <row r="234" spans="1:30" s="1467" customFormat="1" ht="58.6" customHeight="1">
      <c r="A234" s="3147"/>
      <c r="B234" s="3024" t="str">
        <f>TEXT(LEFT(L234,10),"0000000000")</f>
        <v>2200002192</v>
      </c>
      <c r="C234" s="1493" t="s">
        <v>5480</v>
      </c>
      <c r="D234" s="3006"/>
      <c r="E234" s="3021"/>
      <c r="F234" s="1493" t="s">
        <v>14</v>
      </c>
      <c r="G234" s="3007"/>
      <c r="H234" s="3154"/>
      <c r="I234" s="1493" t="s">
        <v>7249</v>
      </c>
      <c r="J234" s="1626" t="s">
        <v>65</v>
      </c>
      <c r="K234" s="1495" t="s">
        <v>1000</v>
      </c>
      <c r="L234" s="3213" t="s">
        <v>8818</v>
      </c>
      <c r="M234" s="3040">
        <v>311</v>
      </c>
      <c r="N234" s="2196" t="s">
        <v>8792</v>
      </c>
      <c r="O234" s="3009"/>
      <c r="P234" s="3009"/>
      <c r="Q234" s="3010"/>
      <c r="R234" s="3045">
        <v>3</v>
      </c>
    </row>
    <row r="235" spans="1:30" s="1467" customFormat="1" ht="61.5" customHeight="1">
      <c r="A235" s="3147"/>
      <c r="B235" s="3024" t="str">
        <f t="shared" si="3"/>
        <v>2200002167</v>
      </c>
      <c r="C235" s="1493" t="s">
        <v>5480</v>
      </c>
      <c r="D235" s="3006"/>
      <c r="E235" s="3021"/>
      <c r="F235" s="1493" t="s">
        <v>14</v>
      </c>
      <c r="G235" s="3007"/>
      <c r="H235" s="3154"/>
      <c r="I235" s="1493" t="s">
        <v>7249</v>
      </c>
      <c r="J235" s="1626" t="s">
        <v>65</v>
      </c>
      <c r="K235" s="1495" t="s">
        <v>1000</v>
      </c>
      <c r="L235" s="3213" t="s">
        <v>8819</v>
      </c>
      <c r="M235" s="3040">
        <v>4366</v>
      </c>
      <c r="N235" s="2907" t="s">
        <v>7407</v>
      </c>
      <c r="O235" s="3009"/>
      <c r="P235" s="3009"/>
      <c r="Q235" s="3010"/>
      <c r="R235" s="3045">
        <v>3</v>
      </c>
    </row>
    <row r="236" spans="1:30" s="1467" customFormat="1" ht="64.55" customHeight="1">
      <c r="A236" s="3147"/>
      <c r="B236" s="3024" t="str">
        <f t="shared" si="3"/>
        <v>2200002202</v>
      </c>
      <c r="C236" s="1493" t="s">
        <v>5480</v>
      </c>
      <c r="D236" s="3006"/>
      <c r="E236" s="3021"/>
      <c r="F236" s="1493" t="s">
        <v>14</v>
      </c>
      <c r="G236" s="3007"/>
      <c r="H236" s="3154"/>
      <c r="I236" s="1493" t="s">
        <v>7249</v>
      </c>
      <c r="J236" s="1626" t="s">
        <v>65</v>
      </c>
      <c r="K236" s="1495" t="s">
        <v>1000</v>
      </c>
      <c r="L236" s="3213" t="s">
        <v>8820</v>
      </c>
      <c r="M236" s="3040">
        <v>5226</v>
      </c>
      <c r="N236" s="3205" t="s">
        <v>8775</v>
      </c>
      <c r="O236" s="3009"/>
      <c r="P236" s="3009"/>
      <c r="Q236" s="3010"/>
      <c r="R236" s="3045">
        <v>3</v>
      </c>
    </row>
    <row r="237" spans="1:30" s="1467" customFormat="1" ht="58.6" customHeight="1">
      <c r="A237" s="3147"/>
      <c r="B237" s="3024" t="str">
        <f t="shared" si="3"/>
        <v>2200002204</v>
      </c>
      <c r="C237" s="1493" t="s">
        <v>5480</v>
      </c>
      <c r="D237" s="3006"/>
      <c r="E237" s="3021"/>
      <c r="F237" s="1493" t="s">
        <v>14</v>
      </c>
      <c r="G237" s="3007"/>
      <c r="H237" s="3154"/>
      <c r="I237" s="1493" t="s">
        <v>7249</v>
      </c>
      <c r="J237" s="1626" t="s">
        <v>65</v>
      </c>
      <c r="K237" s="1495" t="s">
        <v>1000</v>
      </c>
      <c r="L237" s="3213" t="s">
        <v>8821</v>
      </c>
      <c r="M237" s="3040">
        <v>1597</v>
      </c>
      <c r="N237" s="3205" t="s">
        <v>8775</v>
      </c>
      <c r="O237" s="3009"/>
      <c r="P237" s="3009"/>
      <c r="Q237" s="3010"/>
      <c r="R237" s="3045">
        <v>3</v>
      </c>
    </row>
    <row r="238" spans="1:30" s="1467" customFormat="1" ht="60.8" customHeight="1">
      <c r="A238" s="3147"/>
      <c r="B238" s="3024" t="str">
        <f t="shared" si="3"/>
        <v>2200002205</v>
      </c>
      <c r="C238" s="1493" t="s">
        <v>5480</v>
      </c>
      <c r="D238" s="3006"/>
      <c r="E238" s="3021"/>
      <c r="F238" s="1493" t="s">
        <v>14</v>
      </c>
      <c r="G238" s="3007"/>
      <c r="H238" s="3154"/>
      <c r="I238" s="1493" t="s">
        <v>7249</v>
      </c>
      <c r="J238" s="1626" t="s">
        <v>65</v>
      </c>
      <c r="K238" s="1495" t="s">
        <v>1000</v>
      </c>
      <c r="L238" s="3213" t="s">
        <v>8822</v>
      </c>
      <c r="M238" s="3040">
        <v>426</v>
      </c>
      <c r="N238" s="3205" t="s">
        <v>8775</v>
      </c>
      <c r="O238" s="3009"/>
      <c r="P238" s="3009"/>
      <c r="Q238" s="3010"/>
      <c r="R238" s="3045">
        <v>3</v>
      </c>
    </row>
    <row r="239" spans="1:30" s="1467" customFormat="1" ht="53.35" customHeight="1">
      <c r="A239" s="3147"/>
      <c r="B239" s="3024" t="str">
        <f t="shared" si="3"/>
        <v>2200002209</v>
      </c>
      <c r="C239" s="1493" t="s">
        <v>5480</v>
      </c>
      <c r="D239" s="3006"/>
      <c r="E239" s="3021"/>
      <c r="F239" s="1493" t="s">
        <v>14</v>
      </c>
      <c r="G239" s="3007"/>
      <c r="H239" s="3154"/>
      <c r="I239" s="1493" t="s">
        <v>7249</v>
      </c>
      <c r="J239" s="1626" t="s">
        <v>65</v>
      </c>
      <c r="K239" s="1495" t="s">
        <v>1000</v>
      </c>
      <c r="L239" s="3213" t="s">
        <v>8823</v>
      </c>
      <c r="M239" s="3040">
        <v>1691</v>
      </c>
      <c r="N239" s="3205" t="s">
        <v>8775</v>
      </c>
      <c r="O239" s="3009"/>
      <c r="P239" s="3009"/>
      <c r="Q239" s="3010"/>
      <c r="R239" s="3045">
        <v>3</v>
      </c>
    </row>
    <row r="240" spans="1:30" s="1467" customFormat="1" ht="86.3" customHeight="1">
      <c r="A240" s="3147"/>
      <c r="B240" s="3024" t="str">
        <f t="shared" si="3"/>
        <v>2200002210</v>
      </c>
      <c r="C240" s="1493" t="s">
        <v>5480</v>
      </c>
      <c r="D240" s="3006"/>
      <c r="E240" s="3021"/>
      <c r="F240" s="1493" t="s">
        <v>14</v>
      </c>
      <c r="G240" s="3007"/>
      <c r="H240" s="3154"/>
      <c r="I240" s="1493" t="s">
        <v>7249</v>
      </c>
      <c r="J240" s="1626" t="s">
        <v>65</v>
      </c>
      <c r="K240" s="1495" t="s">
        <v>1000</v>
      </c>
      <c r="L240" s="3213" t="s">
        <v>8824</v>
      </c>
      <c r="M240" s="3040">
        <v>296</v>
      </c>
      <c r="N240" s="2907" t="s">
        <v>8825</v>
      </c>
      <c r="O240" s="3009"/>
      <c r="P240" s="3009"/>
      <c r="Q240" s="3010"/>
      <c r="R240" s="3045">
        <v>3</v>
      </c>
    </row>
    <row r="241" spans="1:35" s="1467" customFormat="1" ht="57.1" customHeight="1">
      <c r="A241" s="3147"/>
      <c r="B241" s="3024" t="str">
        <f t="shared" si="3"/>
        <v>2200002193</v>
      </c>
      <c r="C241" s="1493" t="s">
        <v>5480</v>
      </c>
      <c r="D241" s="3006"/>
      <c r="E241" s="3021"/>
      <c r="F241" s="1493" t="s">
        <v>14</v>
      </c>
      <c r="G241" s="3007"/>
      <c r="H241" s="3154"/>
      <c r="I241" s="1493" t="s">
        <v>7249</v>
      </c>
      <c r="J241" s="1626" t="s">
        <v>65</v>
      </c>
      <c r="K241" s="1495" t="s">
        <v>1000</v>
      </c>
      <c r="L241" s="3214" t="s">
        <v>8826</v>
      </c>
      <c r="M241" s="3040">
        <v>4000</v>
      </c>
      <c r="N241" s="2907" t="s">
        <v>7499</v>
      </c>
      <c r="O241" s="3009"/>
      <c r="P241" s="3009"/>
      <c r="Q241" s="3010"/>
      <c r="R241" s="3045">
        <v>3</v>
      </c>
    </row>
    <row r="242" spans="1:35" s="2643" customFormat="1" ht="58.6" customHeight="1">
      <c r="A242" s="3185"/>
      <c r="B242" s="3021" t="str">
        <f t="shared" si="3"/>
        <v>2200002150</v>
      </c>
      <c r="C242" s="3124" t="s">
        <v>5832</v>
      </c>
      <c r="D242" s="3020">
        <v>4350</v>
      </c>
      <c r="E242" s="3021" t="s">
        <v>8827</v>
      </c>
      <c r="F242" s="1902" t="s">
        <v>20</v>
      </c>
      <c r="G242" s="3021"/>
      <c r="H242" s="3149"/>
      <c r="I242" s="3149" t="s">
        <v>7249</v>
      </c>
      <c r="J242" s="2563" t="s">
        <v>8828</v>
      </c>
      <c r="K242" s="1921" t="s">
        <v>1179</v>
      </c>
      <c r="L242" s="3186" t="s">
        <v>8829</v>
      </c>
      <c r="M242" s="3036">
        <v>4350</v>
      </c>
      <c r="N242" s="2907" t="s">
        <v>8812</v>
      </c>
      <c r="O242" s="3019"/>
      <c r="P242" s="3019"/>
      <c r="Q242" s="3023"/>
      <c r="R242" s="3045">
        <v>3</v>
      </c>
    </row>
    <row r="243" spans="1:35" s="2150" customFormat="1" ht="75.75" customHeight="1">
      <c r="A243" s="3185"/>
      <c r="B243" s="3021" t="str">
        <f t="shared" si="3"/>
        <v>2200002150</v>
      </c>
      <c r="C243" s="3124" t="s">
        <v>8830</v>
      </c>
      <c r="D243" s="3020">
        <v>24200</v>
      </c>
      <c r="E243" s="3021" t="s">
        <v>8831</v>
      </c>
      <c r="F243" s="1902" t="s">
        <v>14</v>
      </c>
      <c r="G243" s="3021" t="s">
        <v>8832</v>
      </c>
      <c r="H243" s="3149" t="s">
        <v>8833</v>
      </c>
      <c r="I243" s="3149" t="s">
        <v>7249</v>
      </c>
      <c r="J243" s="2563" t="s">
        <v>65</v>
      </c>
      <c r="K243" s="1921" t="s">
        <v>1000</v>
      </c>
      <c r="L243" s="3214" t="s">
        <v>8834</v>
      </c>
      <c r="M243" s="3036">
        <v>6900</v>
      </c>
      <c r="N243" s="2907" t="s">
        <v>8835</v>
      </c>
      <c r="O243" s="3019"/>
      <c r="P243" s="3019"/>
      <c r="Q243" s="3023" t="s">
        <v>8836</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6" customHeight="1">
      <c r="A244" s="3185"/>
      <c r="B244" s="3021" t="str">
        <f t="shared" si="3"/>
        <v>2000003347</v>
      </c>
      <c r="C244" s="3122" t="s">
        <v>4455</v>
      </c>
      <c r="D244" s="3020"/>
      <c r="E244" s="3021" t="s">
        <v>8831</v>
      </c>
      <c r="F244" s="1493" t="s">
        <v>14</v>
      </c>
      <c r="G244" s="3021" t="s">
        <v>8832</v>
      </c>
      <c r="H244" s="3149"/>
      <c r="I244" s="1495" t="s">
        <v>7249</v>
      </c>
      <c r="J244" s="1626" t="s">
        <v>7477</v>
      </c>
      <c r="K244" s="1495" t="s">
        <v>1000</v>
      </c>
      <c r="L244" s="3213" t="s">
        <v>8837</v>
      </c>
      <c r="M244" s="3040">
        <v>10000</v>
      </c>
      <c r="N244" s="2907" t="s">
        <v>7407</v>
      </c>
      <c r="O244" s="3019"/>
      <c r="P244" s="3019"/>
      <c r="Q244" s="3023"/>
      <c r="R244" s="3045">
        <v>3</v>
      </c>
    </row>
    <row r="245" spans="1:35" s="1467" customFormat="1" ht="58.6" customHeight="1">
      <c r="A245" s="3185"/>
      <c r="B245" s="3021" t="str">
        <f t="shared" si="3"/>
        <v>2000003356</v>
      </c>
      <c r="C245" s="3122" t="s">
        <v>4455</v>
      </c>
      <c r="D245" s="3006"/>
      <c r="E245" s="3021" t="s">
        <v>8831</v>
      </c>
      <c r="F245" s="1493" t="s">
        <v>14</v>
      </c>
      <c r="G245" s="3021" t="s">
        <v>8832</v>
      </c>
      <c r="H245" s="3154"/>
      <c r="I245" s="3149" t="s">
        <v>7249</v>
      </c>
      <c r="J245" s="1626" t="s">
        <v>7477</v>
      </c>
      <c r="K245" s="1495" t="s">
        <v>1000</v>
      </c>
      <c r="L245" s="3213" t="s">
        <v>8838</v>
      </c>
      <c r="M245" s="3040">
        <v>1000</v>
      </c>
      <c r="N245" s="2907" t="s">
        <v>7499</v>
      </c>
      <c r="O245" s="3009"/>
      <c r="P245" s="3009"/>
      <c r="Q245" s="3010"/>
      <c r="R245" s="3045">
        <v>3</v>
      </c>
    </row>
    <row r="246" spans="1:35" s="1467" customFormat="1" ht="58.6" customHeight="1">
      <c r="A246" s="3185"/>
      <c r="B246" s="3189" t="str">
        <f t="shared" si="3"/>
        <v>2000003355</v>
      </c>
      <c r="C246" s="3122" t="s">
        <v>4455</v>
      </c>
      <c r="D246" s="3006"/>
      <c r="E246" s="3021" t="s">
        <v>8831</v>
      </c>
      <c r="F246" s="1493" t="s">
        <v>14</v>
      </c>
      <c r="G246" s="3021" t="s">
        <v>8832</v>
      </c>
      <c r="H246" s="3154"/>
      <c r="I246" s="3149" t="s">
        <v>7249</v>
      </c>
      <c r="J246" s="1626" t="s">
        <v>7477</v>
      </c>
      <c r="K246" s="1495" t="s">
        <v>1000</v>
      </c>
      <c r="L246" s="3213" t="s">
        <v>8839</v>
      </c>
      <c r="M246" s="3040">
        <v>5000</v>
      </c>
      <c r="N246" s="2907" t="s">
        <v>8840</v>
      </c>
      <c r="O246" s="3009"/>
      <c r="P246" s="3009"/>
      <c r="Q246" s="3010"/>
      <c r="R246" s="3045">
        <v>3</v>
      </c>
    </row>
    <row r="247" spans="1:35" s="1467" customFormat="1" ht="58.6" customHeight="1">
      <c r="A247" s="3185"/>
      <c r="B247" s="3021" t="str">
        <f t="shared" si="3"/>
        <v>2000003346</v>
      </c>
      <c r="C247" s="3122" t="s">
        <v>4455</v>
      </c>
      <c r="D247" s="3006"/>
      <c r="E247" s="3021" t="s">
        <v>8831</v>
      </c>
      <c r="F247" s="1493" t="s">
        <v>14</v>
      </c>
      <c r="G247" s="3021" t="s">
        <v>8832</v>
      </c>
      <c r="H247" s="3154"/>
      <c r="I247" s="1495" t="s">
        <v>7249</v>
      </c>
      <c r="J247" s="1626" t="s">
        <v>7477</v>
      </c>
      <c r="K247" s="1495" t="s">
        <v>1000</v>
      </c>
      <c r="L247" s="3213" t="s">
        <v>8841</v>
      </c>
      <c r="M247" s="3040">
        <v>1300</v>
      </c>
      <c r="N247" s="2907" t="s">
        <v>7499</v>
      </c>
      <c r="O247" s="3009"/>
      <c r="P247" s="3009"/>
      <c r="Q247" s="3010"/>
      <c r="R247" s="3045">
        <v>3</v>
      </c>
    </row>
    <row r="248" spans="1:35" s="2643" customFormat="1" ht="58.6" customHeight="1">
      <c r="A248" s="3850"/>
      <c r="B248" s="3243" t="str">
        <f t="shared" si="3"/>
        <v>2400001306</v>
      </c>
      <c r="C248" s="3019" t="s">
        <v>8842</v>
      </c>
      <c r="D248" s="3020">
        <v>35000</v>
      </c>
      <c r="E248" s="3021" t="s">
        <v>8843</v>
      </c>
      <c r="F248" s="3019" t="s">
        <v>3460</v>
      </c>
      <c r="G248" s="3021" t="s">
        <v>8844</v>
      </c>
      <c r="H248" s="3021" t="s">
        <v>7971</v>
      </c>
      <c r="I248" s="3021" t="s">
        <v>8845</v>
      </c>
      <c r="J248" s="3019" t="s">
        <v>65</v>
      </c>
      <c r="K248" s="3021" t="s">
        <v>8404</v>
      </c>
      <c r="L248" s="2904" t="s">
        <v>8846</v>
      </c>
      <c r="M248" s="3036">
        <v>6200</v>
      </c>
      <c r="N248" s="3021" t="s">
        <v>8847</v>
      </c>
      <c r="O248" s="3019"/>
      <c r="P248" s="3019"/>
      <c r="Q248" s="3060" t="s">
        <v>8848</v>
      </c>
      <c r="R248" s="3026">
        <v>3</v>
      </c>
      <c r="S248" s="2150"/>
      <c r="T248" s="2150"/>
      <c r="U248" s="2150"/>
      <c r="V248" s="2150"/>
      <c r="W248" s="2150"/>
      <c r="X248" s="2150"/>
      <c r="Y248" s="2150"/>
      <c r="Z248" s="2150"/>
      <c r="AA248" s="2150"/>
      <c r="AB248" s="2150"/>
      <c r="AC248" s="2150"/>
      <c r="AD248" s="2150"/>
    </row>
    <row r="249" spans="1:35" s="1467" customFormat="1" ht="58.6" customHeight="1">
      <c r="A249" s="3851"/>
      <c r="B249" s="3024" t="str">
        <f t="shared" si="3"/>
        <v>2400001305</v>
      </c>
      <c r="C249" s="3009" t="s">
        <v>8842</v>
      </c>
      <c r="D249" s="3006"/>
      <c r="E249" s="3021"/>
      <c r="F249" s="3009" t="s">
        <v>3460</v>
      </c>
      <c r="G249" s="3007"/>
      <c r="H249" s="3007"/>
      <c r="I249" s="3007" t="s">
        <v>8845</v>
      </c>
      <c r="J249" s="3009" t="s">
        <v>65</v>
      </c>
      <c r="K249" s="3007" t="s">
        <v>8404</v>
      </c>
      <c r="L249" s="2878" t="s">
        <v>8849</v>
      </c>
      <c r="M249" s="3040">
        <f>35000-M248-M250</f>
        <v>26200</v>
      </c>
      <c r="N249" s="3007" t="s">
        <v>8850</v>
      </c>
      <c r="O249" s="3009"/>
      <c r="P249" s="3009"/>
      <c r="Q249" s="3120" t="s">
        <v>8851</v>
      </c>
      <c r="R249" s="3045">
        <v>3</v>
      </c>
      <c r="S249" s="1548"/>
      <c r="T249" s="1548"/>
      <c r="U249" s="1548"/>
      <c r="V249" s="1548"/>
      <c r="W249" s="1548"/>
      <c r="X249" s="1548"/>
      <c r="Y249" s="1548"/>
      <c r="Z249" s="1548"/>
      <c r="AA249" s="1548"/>
      <c r="AB249" s="1548"/>
      <c r="AC249" s="1548"/>
      <c r="AD249" s="1548"/>
    </row>
    <row r="250" spans="1:35" s="1467" customFormat="1" ht="58.6" customHeight="1">
      <c r="A250" s="3852"/>
      <c r="B250" s="3024" t="str">
        <f t="shared" si="3"/>
        <v>2400001309</v>
      </c>
      <c r="C250" s="3009" t="s">
        <v>8842</v>
      </c>
      <c r="D250" s="3006"/>
      <c r="E250" s="3021"/>
      <c r="F250" s="3009" t="s">
        <v>3460</v>
      </c>
      <c r="G250" s="3007"/>
      <c r="H250" s="3007"/>
      <c r="I250" s="3007" t="s">
        <v>8845</v>
      </c>
      <c r="J250" s="3009" t="s">
        <v>65</v>
      </c>
      <c r="K250" s="3007" t="s">
        <v>8404</v>
      </c>
      <c r="L250" s="2878" t="s">
        <v>8852</v>
      </c>
      <c r="M250" s="3040">
        <v>2600</v>
      </c>
      <c r="N250" s="2196" t="s">
        <v>8853</v>
      </c>
      <c r="O250" s="3009"/>
      <c r="P250" s="3009"/>
      <c r="Q250" s="3120" t="s">
        <v>8851</v>
      </c>
      <c r="R250" s="3045">
        <v>3</v>
      </c>
      <c r="S250" s="1548"/>
      <c r="T250" s="1548"/>
      <c r="U250" s="1548"/>
      <c r="V250" s="1548"/>
      <c r="W250" s="1548"/>
      <c r="X250" s="1548"/>
      <c r="Y250" s="1548"/>
      <c r="Z250" s="1548"/>
      <c r="AA250" s="1548"/>
      <c r="AB250" s="1548"/>
      <c r="AC250" s="1548"/>
      <c r="AD250" s="1548"/>
    </row>
    <row r="251" spans="1:35" s="2643" customFormat="1" ht="58.6" customHeight="1">
      <c r="A251" s="3850"/>
      <c r="B251" s="3024" t="str">
        <f t="shared" si="3"/>
        <v>2000003323</v>
      </c>
      <c r="C251" s="1902" t="s">
        <v>3150</v>
      </c>
      <c r="D251" s="3148">
        <v>18500</v>
      </c>
      <c r="E251" s="3149" t="s">
        <v>8712</v>
      </c>
      <c r="F251" s="3124" t="s">
        <v>16</v>
      </c>
      <c r="G251" s="3021" t="s">
        <v>8854</v>
      </c>
      <c r="H251" s="3021" t="s">
        <v>8855</v>
      </c>
      <c r="I251" s="1495" t="s">
        <v>7249</v>
      </c>
      <c r="J251" s="3019" t="s">
        <v>1653</v>
      </c>
      <c r="K251" s="3021" t="s">
        <v>164</v>
      </c>
      <c r="L251" s="2904" t="s">
        <v>8856</v>
      </c>
      <c r="M251" s="3036">
        <v>3000</v>
      </c>
      <c r="N251" s="2907" t="s">
        <v>7407</v>
      </c>
      <c r="O251" s="3019">
        <v>3103</v>
      </c>
      <c r="P251" s="3019"/>
      <c r="Q251" s="3023"/>
      <c r="R251" s="1748" t="s">
        <v>8807</v>
      </c>
    </row>
    <row r="252" spans="1:35" s="1467" customFormat="1" ht="58.6" customHeight="1">
      <c r="A252" s="3851"/>
      <c r="B252" s="3024" t="str">
        <f t="shared" si="3"/>
        <v>2000003310</v>
      </c>
      <c r="C252" s="1493" t="s">
        <v>3150</v>
      </c>
      <c r="D252" s="3006"/>
      <c r="E252" s="3021"/>
      <c r="F252" s="1493" t="s">
        <v>16</v>
      </c>
      <c r="G252" s="3007"/>
      <c r="H252" s="3007"/>
      <c r="I252" s="1493" t="s">
        <v>7249</v>
      </c>
      <c r="J252" s="3019" t="s">
        <v>1653</v>
      </c>
      <c r="K252" s="3007" t="s">
        <v>164</v>
      </c>
      <c r="L252" s="2878" t="s">
        <v>8857</v>
      </c>
      <c r="M252" s="3040">
        <v>2000</v>
      </c>
      <c r="N252" s="2907" t="s">
        <v>8858</v>
      </c>
      <c r="O252" s="3009">
        <v>1955</v>
      </c>
      <c r="P252" s="3009"/>
      <c r="Q252" s="3120" t="s">
        <v>8859</v>
      </c>
      <c r="R252" s="1748" t="s">
        <v>8807</v>
      </c>
    </row>
    <row r="253" spans="1:35" s="1467" customFormat="1" ht="58.6" customHeight="1">
      <c r="A253" s="3851"/>
      <c r="B253" s="3024" t="str">
        <f t="shared" si="3"/>
        <v>2000003365</v>
      </c>
      <c r="C253" s="1545" t="s">
        <v>3150</v>
      </c>
      <c r="D253" s="2613"/>
      <c r="E253" s="1921"/>
      <c r="F253" s="3122" t="s">
        <v>16</v>
      </c>
      <c r="G253" s="1495"/>
      <c r="H253" s="1495"/>
      <c r="I253" s="1495" t="s">
        <v>7249</v>
      </c>
      <c r="J253" s="3019" t="s">
        <v>1653</v>
      </c>
      <c r="K253" s="1495" t="s">
        <v>164</v>
      </c>
      <c r="L253" s="1496" t="s">
        <v>8860</v>
      </c>
      <c r="M253" s="3037">
        <v>2000</v>
      </c>
      <c r="N253" s="2907" t="s">
        <v>7407</v>
      </c>
      <c r="O253" s="1493">
        <v>2098</v>
      </c>
      <c r="P253" s="1548"/>
      <c r="Q253" s="2590"/>
      <c r="R253" s="1748" t="s">
        <v>8807</v>
      </c>
    </row>
    <row r="254" spans="1:35" s="1548" customFormat="1" ht="58.6" customHeight="1">
      <c r="A254" s="3851"/>
      <c r="B254" s="3024" t="str">
        <f t="shared" si="3"/>
        <v>2200002207</v>
      </c>
      <c r="C254" s="1493" t="s">
        <v>3150</v>
      </c>
      <c r="E254" s="1807"/>
      <c r="F254" s="3122" t="s">
        <v>16</v>
      </c>
      <c r="I254" s="1493" t="s">
        <v>7249</v>
      </c>
      <c r="J254" s="3019" t="s">
        <v>1653</v>
      </c>
      <c r="K254" s="3155" t="s">
        <v>106</v>
      </c>
      <c r="L254" s="1843" t="s">
        <v>7958</v>
      </c>
      <c r="M254" s="3212">
        <v>3200</v>
      </c>
      <c r="N254" s="2196" t="s">
        <v>7959</v>
      </c>
      <c r="O254" s="1493"/>
      <c r="R254" s="1748" t="s">
        <v>8807</v>
      </c>
    </row>
    <row r="255" spans="1:35" s="1467" customFormat="1" ht="58.6" customHeight="1">
      <c r="A255" s="3851"/>
      <c r="B255" s="3024" t="str">
        <f t="shared" si="3"/>
        <v>2000003374</v>
      </c>
      <c r="C255" s="1493" t="s">
        <v>3150</v>
      </c>
      <c r="D255" s="3006"/>
      <c r="E255" s="3189"/>
      <c r="F255" s="3122" t="s">
        <v>16</v>
      </c>
      <c r="G255" s="3007"/>
      <c r="H255" s="3007"/>
      <c r="I255" s="1493" t="s">
        <v>7249</v>
      </c>
      <c r="J255" s="3019" t="s">
        <v>1653</v>
      </c>
      <c r="K255" s="3155" t="s">
        <v>106</v>
      </c>
      <c r="L255" s="3213" t="s">
        <v>8861</v>
      </c>
      <c r="M255" s="3040">
        <v>4000</v>
      </c>
      <c r="N255" s="2907" t="s">
        <v>7407</v>
      </c>
      <c r="O255" s="3009">
        <v>3985</v>
      </c>
      <c r="P255" s="3009"/>
      <c r="Q255" s="3120" t="s">
        <v>8862</v>
      </c>
      <c r="R255" s="1748" t="s">
        <v>8807</v>
      </c>
    </row>
    <row r="256" spans="1:35" s="1467" customFormat="1" ht="58.6" customHeight="1">
      <c r="A256" s="3852"/>
      <c r="B256" s="3024" t="str">
        <f t="shared" si="3"/>
        <v>2000003376</v>
      </c>
      <c r="C256" s="1493" t="s">
        <v>3150</v>
      </c>
      <c r="D256" s="3006"/>
      <c r="E256" s="3189"/>
      <c r="F256" s="3122" t="s">
        <v>16</v>
      </c>
      <c r="G256" s="3007"/>
      <c r="H256" s="3007"/>
      <c r="I256" s="1493" t="s">
        <v>7249</v>
      </c>
      <c r="J256" s="3019" t="s">
        <v>1653</v>
      </c>
      <c r="K256" s="3155" t="s">
        <v>106</v>
      </c>
      <c r="L256" s="3213" t="s">
        <v>8863</v>
      </c>
      <c r="M256" s="3040">
        <v>4221</v>
      </c>
      <c r="N256" s="2907" t="s">
        <v>8858</v>
      </c>
      <c r="O256" s="3009">
        <v>4221</v>
      </c>
      <c r="P256" s="3009"/>
      <c r="Q256" s="3120" t="s">
        <v>8862</v>
      </c>
      <c r="R256" s="1748" t="s">
        <v>8807</v>
      </c>
    </row>
    <row r="257" spans="1:36" s="1467" customFormat="1" ht="58.6" customHeight="1">
      <c r="A257" s="3771"/>
      <c r="B257" s="3024" t="str">
        <f t="shared" si="3"/>
        <v>2000003311</v>
      </c>
      <c r="C257" s="1493" t="s">
        <v>114</v>
      </c>
      <c r="D257" s="2325"/>
      <c r="E257" s="1921"/>
      <c r="F257" s="1493" t="s">
        <v>24</v>
      </c>
      <c r="G257" s="1495"/>
      <c r="H257" s="1495"/>
      <c r="I257" s="1921" t="s">
        <v>7249</v>
      </c>
      <c r="J257" s="1902" t="s">
        <v>65</v>
      </c>
      <c r="K257" s="1921" t="s">
        <v>117</v>
      </c>
      <c r="L257" s="2900" t="s">
        <v>8864</v>
      </c>
      <c r="M257" s="3041">
        <v>1200</v>
      </c>
      <c r="N257" s="2506" t="s">
        <v>8858</v>
      </c>
      <c r="O257" s="1545"/>
      <c r="P257" s="1545"/>
      <c r="Q257" s="2591"/>
      <c r="R257" s="3163">
        <v>3</v>
      </c>
      <c r="S257" s="1790"/>
      <c r="T257" s="1790"/>
      <c r="U257" s="1548"/>
      <c r="V257" s="1548"/>
      <c r="W257" s="1548"/>
      <c r="X257" s="1548"/>
      <c r="Y257" s="1548"/>
      <c r="Z257" s="1548"/>
      <c r="AA257" s="1548"/>
      <c r="AB257" s="1548"/>
      <c r="AC257" s="1548"/>
      <c r="AD257" s="1548"/>
    </row>
    <row r="258" spans="1:36" s="1467" customFormat="1" ht="58.6" customHeight="1">
      <c r="A258" s="3772"/>
      <c r="B258" s="3024" t="str">
        <f t="shared" si="3"/>
        <v>2000003338</v>
      </c>
      <c r="C258" s="1493" t="s">
        <v>114</v>
      </c>
      <c r="D258" s="2566"/>
      <c r="E258" s="2187"/>
      <c r="F258" s="1493" t="s">
        <v>24</v>
      </c>
      <c r="G258" s="1543"/>
      <c r="H258" s="1543"/>
      <c r="I258" s="1568" t="s">
        <v>7249</v>
      </c>
      <c r="J258" s="1495" t="s">
        <v>65</v>
      </c>
      <c r="K258" s="3008" t="s">
        <v>117</v>
      </c>
      <c r="L258" s="3164" t="s">
        <v>8865</v>
      </c>
      <c r="M258" s="3057">
        <v>400</v>
      </c>
      <c r="N258" s="2907" t="s">
        <v>7407</v>
      </c>
      <c r="O258" s="1545"/>
      <c r="P258" s="1545"/>
      <c r="Q258" s="2591"/>
      <c r="R258" s="3163">
        <v>3</v>
      </c>
      <c r="S258" s="3053"/>
      <c r="T258" s="3053"/>
    </row>
    <row r="259" spans="1:36" s="1467" customFormat="1" ht="58.6" customHeight="1">
      <c r="A259" s="3772"/>
      <c r="B259" s="3024" t="str">
        <f t="shared" si="3"/>
        <v>2000003339</v>
      </c>
      <c r="C259" s="2391" t="s">
        <v>114</v>
      </c>
      <c r="D259" s="2585">
        <v>3720</v>
      </c>
      <c r="E259" s="1921" t="s">
        <v>8866</v>
      </c>
      <c r="F259" s="1493" t="s">
        <v>24</v>
      </c>
      <c r="G259" s="3007" t="s">
        <v>8867</v>
      </c>
      <c r="H259" s="1921"/>
      <c r="I259" s="1568" t="s">
        <v>7249</v>
      </c>
      <c r="J259" s="1495" t="s">
        <v>65</v>
      </c>
      <c r="K259" s="3008" t="s">
        <v>117</v>
      </c>
      <c r="L259" s="3056" t="s">
        <v>8868</v>
      </c>
      <c r="M259" s="3057">
        <v>1148</v>
      </c>
      <c r="N259" s="2506" t="s">
        <v>8869</v>
      </c>
      <c r="O259" s="1807"/>
      <c r="P259" s="1807"/>
      <c r="Q259" s="2590"/>
      <c r="R259" s="1748">
        <v>3</v>
      </c>
    </row>
    <row r="260" spans="1:36" s="1467" customFormat="1" ht="58.6" customHeight="1">
      <c r="A260" s="3773"/>
      <c r="B260" s="3024" t="str">
        <f t="shared" ref="B260:B274" si="4">TEXT(LEFT(L260,10),"0000000000")</f>
        <v>2000003218</v>
      </c>
      <c r="C260" s="1493" t="s">
        <v>114</v>
      </c>
      <c r="D260" s="3128"/>
      <c r="E260" s="3027"/>
      <c r="F260" s="1493" t="s">
        <v>24</v>
      </c>
      <c r="G260" s="3008"/>
      <c r="H260" s="3008"/>
      <c r="I260" s="1568" t="s">
        <v>7249</v>
      </c>
      <c r="J260" s="1493" t="s">
        <v>65</v>
      </c>
      <c r="K260" s="1495" t="s">
        <v>117</v>
      </c>
      <c r="L260" s="2878" t="s">
        <v>8870</v>
      </c>
      <c r="M260" s="3037">
        <v>1000</v>
      </c>
      <c r="N260" s="2506" t="s">
        <v>8858</v>
      </c>
      <c r="O260" s="3160"/>
      <c r="P260" s="3160"/>
      <c r="Q260" s="3166"/>
      <c r="R260" s="3045">
        <v>3</v>
      </c>
    </row>
    <row r="261" spans="1:36" s="2643" customFormat="1" ht="58.6" customHeight="1">
      <c r="A261" s="3165"/>
      <c r="B261" s="3024" t="str">
        <f t="shared" si="4"/>
        <v>2000003324</v>
      </c>
      <c r="C261" s="3101" t="s">
        <v>8871</v>
      </c>
      <c r="D261" s="3020">
        <v>4200</v>
      </c>
      <c r="E261" s="3021" t="s">
        <v>8827</v>
      </c>
      <c r="F261" s="3019" t="s">
        <v>20</v>
      </c>
      <c r="G261" s="3021" t="s">
        <v>8872</v>
      </c>
      <c r="H261" s="3021" t="s">
        <v>8780</v>
      </c>
      <c r="I261" s="1921" t="s">
        <v>7249</v>
      </c>
      <c r="J261" s="1921" t="s">
        <v>65</v>
      </c>
      <c r="K261" s="3021" t="s">
        <v>117</v>
      </c>
      <c r="L261" s="2904" t="s">
        <v>8873</v>
      </c>
      <c r="M261" s="3036">
        <v>4200</v>
      </c>
      <c r="N261" s="2907" t="s">
        <v>7499</v>
      </c>
      <c r="O261" s="3019"/>
      <c r="P261" s="3019"/>
      <c r="Q261" s="3060"/>
      <c r="R261" s="3026">
        <v>3</v>
      </c>
    </row>
    <row r="262" spans="1:36" s="2643" customFormat="1" ht="58.6" customHeight="1">
      <c r="A262" s="2436"/>
      <c r="B262" s="3024" t="str">
        <f t="shared" si="4"/>
        <v>2000003342</v>
      </c>
      <c r="C262" s="3019" t="s">
        <v>5278</v>
      </c>
      <c r="D262" s="2488">
        <v>4350</v>
      </c>
      <c r="E262" s="1921" t="s">
        <v>8874</v>
      </c>
      <c r="F262" s="1902" t="s">
        <v>18</v>
      </c>
      <c r="G262" s="3021" t="s">
        <v>8875</v>
      </c>
      <c r="H262" s="3021" t="s">
        <v>8876</v>
      </c>
      <c r="I262" s="1921" t="s">
        <v>7249</v>
      </c>
      <c r="J262" s="1921" t="s">
        <v>65</v>
      </c>
      <c r="K262" s="1921" t="s">
        <v>117</v>
      </c>
      <c r="L262" s="1845" t="s">
        <v>8877</v>
      </c>
      <c r="M262" s="3041">
        <v>4255</v>
      </c>
      <c r="N262" s="2907" t="s">
        <v>8878</v>
      </c>
      <c r="O262" s="2263"/>
      <c r="P262" s="2263"/>
      <c r="Q262" s="2593"/>
      <c r="R262" s="3187">
        <v>3</v>
      </c>
      <c r="S262" s="2429"/>
      <c r="T262" s="2429"/>
      <c r="U262" s="2150"/>
      <c r="V262" s="2150"/>
      <c r="W262" s="2150"/>
      <c r="X262" s="2150"/>
      <c r="Y262" s="2150"/>
      <c r="Z262" s="2150"/>
      <c r="AA262" s="2150"/>
      <c r="AB262" s="2150"/>
      <c r="AC262" s="2150"/>
      <c r="AD262" s="2150"/>
    </row>
    <row r="263" spans="1:36" s="2643" customFormat="1" ht="58.6" customHeight="1">
      <c r="A263" s="3768"/>
      <c r="B263" s="3024" t="str">
        <f t="shared" si="4"/>
        <v>2000003343</v>
      </c>
      <c r="C263" s="3019" t="s">
        <v>8879</v>
      </c>
      <c r="D263" s="2488">
        <v>4340</v>
      </c>
      <c r="E263" s="3021" t="s">
        <v>8770</v>
      </c>
      <c r="F263" s="1902" t="s">
        <v>22</v>
      </c>
      <c r="G263" s="1921"/>
      <c r="H263" s="1921"/>
      <c r="I263" s="1921" t="s">
        <v>7249</v>
      </c>
      <c r="J263" s="1921" t="s">
        <v>1653</v>
      </c>
      <c r="K263" s="1921" t="s">
        <v>117</v>
      </c>
      <c r="L263" s="1845" t="s">
        <v>8880</v>
      </c>
      <c r="M263" s="3041">
        <v>1020</v>
      </c>
      <c r="N263" s="2907" t="s">
        <v>7499</v>
      </c>
      <c r="O263" s="2263"/>
      <c r="P263" s="2263"/>
      <c r="Q263" s="2593"/>
      <c r="R263" s="3187">
        <v>3</v>
      </c>
      <c r="S263" s="2429"/>
      <c r="T263" s="2429"/>
      <c r="U263" s="2150"/>
      <c r="V263" s="2150"/>
      <c r="W263" s="2150"/>
      <c r="X263" s="2150"/>
      <c r="Y263" s="2150"/>
      <c r="Z263" s="2150"/>
      <c r="AA263" s="2150"/>
      <c r="AB263" s="2150"/>
      <c r="AC263" s="2150"/>
      <c r="AD263" s="2150"/>
    </row>
    <row r="264" spans="1:36" s="1467" customFormat="1" ht="58.6" customHeight="1">
      <c r="A264" s="3770"/>
      <c r="B264" s="3024" t="str">
        <f t="shared" si="4"/>
        <v>2000003324</v>
      </c>
      <c r="C264" s="3009" t="s">
        <v>8879</v>
      </c>
      <c r="D264" s="3006"/>
      <c r="E264" s="3021"/>
      <c r="F264" s="1493" t="s">
        <v>22</v>
      </c>
      <c r="G264" s="3007"/>
      <c r="H264" s="3007" t="s">
        <v>8780</v>
      </c>
      <c r="I264" s="1568" t="s">
        <v>7249</v>
      </c>
      <c r="J264" s="1495" t="s">
        <v>1653</v>
      </c>
      <c r="K264" s="3007" t="s">
        <v>117</v>
      </c>
      <c r="L264" s="2878" t="s">
        <v>8781</v>
      </c>
      <c r="M264" s="3040">
        <v>1578</v>
      </c>
      <c r="N264" s="3188" t="s">
        <v>5392</v>
      </c>
      <c r="O264" s="3009"/>
      <c r="P264" s="3009"/>
      <c r="Q264" s="3120"/>
      <c r="R264" s="3045">
        <v>3</v>
      </c>
    </row>
    <row r="265" spans="1:36" s="1467" customFormat="1" ht="58.6" customHeight="1">
      <c r="A265" s="3770"/>
      <c r="B265" s="3024" t="str">
        <f t="shared" si="4"/>
        <v>2200002206</v>
      </c>
      <c r="C265" s="3009" t="s">
        <v>8879</v>
      </c>
      <c r="D265" s="3006"/>
      <c r="E265" s="3021"/>
      <c r="F265" s="1493" t="s">
        <v>22</v>
      </c>
      <c r="G265" s="3007"/>
      <c r="H265" s="3007"/>
      <c r="I265" s="1568" t="s">
        <v>8773</v>
      </c>
      <c r="J265" s="1495" t="s">
        <v>1653</v>
      </c>
      <c r="K265" s="1495" t="s">
        <v>117</v>
      </c>
      <c r="L265" s="1496" t="s">
        <v>8881</v>
      </c>
      <c r="M265" s="3037">
        <v>452</v>
      </c>
      <c r="N265" s="2196" t="s">
        <v>7959</v>
      </c>
      <c r="O265" s="3009"/>
      <c r="P265" s="3009"/>
      <c r="Q265" s="3120"/>
      <c r="R265" s="3045">
        <v>3</v>
      </c>
    </row>
    <row r="266" spans="1:36" s="1467" customFormat="1" ht="58.6" customHeight="1">
      <c r="A266" s="3770"/>
      <c r="B266" s="3024" t="str">
        <f t="shared" si="4"/>
        <v>2200002113</v>
      </c>
      <c r="C266" s="3009" t="s">
        <v>8879</v>
      </c>
      <c r="D266" s="3020"/>
      <c r="E266" s="3046"/>
      <c r="F266" s="1493" t="s">
        <v>22</v>
      </c>
      <c r="G266" s="3021"/>
      <c r="H266" s="3021"/>
      <c r="I266" s="1495" t="s">
        <v>7249</v>
      </c>
      <c r="J266" s="1495" t="s">
        <v>1653</v>
      </c>
      <c r="K266" s="1921" t="s">
        <v>142</v>
      </c>
      <c r="L266" s="1600" t="s">
        <v>8541</v>
      </c>
      <c r="M266" s="1826">
        <v>70</v>
      </c>
      <c r="N266" s="2749" t="s">
        <v>8542</v>
      </c>
      <c r="O266" s="1493"/>
      <c r="P266" s="1493"/>
      <c r="Q266" s="1843"/>
      <c r="R266" s="1748">
        <v>3</v>
      </c>
      <c r="S266" s="1790"/>
      <c r="T266" s="3053"/>
      <c r="AD266" s="2643"/>
      <c r="AE266" s="2643"/>
      <c r="AF266" s="2643"/>
      <c r="AG266" s="2643"/>
      <c r="AH266" s="2643"/>
      <c r="AI266" s="2643"/>
    </row>
    <row r="267" spans="1:36" s="1467" customFormat="1" ht="58.6" customHeight="1">
      <c r="A267" s="3769"/>
      <c r="B267" s="3189" t="str">
        <f t="shared" si="4"/>
        <v>2200002207</v>
      </c>
      <c r="C267" s="3122" t="s">
        <v>8879</v>
      </c>
      <c r="D267" s="3006"/>
      <c r="E267" s="3021"/>
      <c r="F267" s="1493" t="s">
        <v>22</v>
      </c>
      <c r="G267" s="3007"/>
      <c r="H267" s="3007"/>
      <c r="I267" s="1568" t="s">
        <v>8773</v>
      </c>
      <c r="J267" s="1495" t="s">
        <v>1653</v>
      </c>
      <c r="K267" s="1495" t="s">
        <v>142</v>
      </c>
      <c r="L267" s="1843" t="s">
        <v>7958</v>
      </c>
      <c r="M267" s="3037">
        <v>1200</v>
      </c>
      <c r="N267" s="2196" t="s">
        <v>7959</v>
      </c>
      <c r="O267" s="3009"/>
      <c r="P267" s="3009"/>
      <c r="Q267" s="3120"/>
      <c r="R267" s="3045">
        <v>3</v>
      </c>
    </row>
    <row r="268" spans="1:36" s="2643" customFormat="1" ht="58.6" customHeight="1">
      <c r="A268" s="3147"/>
      <c r="B268" s="3259" t="str">
        <f t="shared" si="4"/>
        <v>2000003314</v>
      </c>
      <c r="C268" s="2401" t="s">
        <v>7399</v>
      </c>
      <c r="D268" s="2179">
        <v>12270</v>
      </c>
      <c r="E268" s="2150" t="s">
        <v>8882</v>
      </c>
      <c r="F268" s="3260" t="s">
        <v>16</v>
      </c>
      <c r="G268" s="3151" t="s">
        <v>8883</v>
      </c>
      <c r="H268" s="3149"/>
      <c r="I268" s="3149" t="s">
        <v>7249</v>
      </c>
      <c r="J268" s="3261" t="s">
        <v>65</v>
      </c>
      <c r="K268" s="3149" t="s">
        <v>106</v>
      </c>
      <c r="L268" s="2921" t="s">
        <v>8884</v>
      </c>
      <c r="M268" s="3262">
        <v>1100</v>
      </c>
      <c r="N268" s="2907" t="s">
        <v>7499</v>
      </c>
      <c r="O268" s="3025"/>
      <c r="P268" s="3025"/>
      <c r="Q268" s="3263"/>
      <c r="R268" s="3264" t="s">
        <v>8807</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35" customHeight="1">
      <c r="A269" s="1917"/>
      <c r="B269" s="3004" t="str">
        <f t="shared" si="4"/>
        <v>2000003367</v>
      </c>
      <c r="C269" s="1630" t="s">
        <v>7399</v>
      </c>
      <c r="D269" s="2743"/>
      <c r="E269" s="2150" t="s">
        <v>8882</v>
      </c>
      <c r="F269" s="3260" t="s">
        <v>16</v>
      </c>
      <c r="G269" s="1543"/>
      <c r="H269" s="1543"/>
      <c r="I269" s="3058" t="s">
        <v>7249</v>
      </c>
      <c r="J269" s="1545" t="s">
        <v>65</v>
      </c>
      <c r="K269" s="3265" t="s">
        <v>8109</v>
      </c>
      <c r="L269" s="3164" t="s">
        <v>8885</v>
      </c>
      <c r="M269" s="3057">
        <v>800</v>
      </c>
      <c r="N269" s="3188" t="s">
        <v>8886</v>
      </c>
      <c r="O269" s="1559"/>
      <c r="P269" s="1559"/>
      <c r="Q269" s="2591"/>
      <c r="R269" s="3264" t="s">
        <v>8807</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 customHeight="1">
      <c r="A270" s="3147"/>
      <c r="B270" s="3004" t="str">
        <f t="shared" si="4"/>
        <v>2000003325</v>
      </c>
      <c r="C270" s="1630" t="s">
        <v>7399</v>
      </c>
      <c r="D270" s="3006"/>
      <c r="E270" s="3021"/>
      <c r="F270" s="3266" t="s">
        <v>16</v>
      </c>
      <c r="G270" s="3007"/>
      <c r="H270" s="3007"/>
      <c r="I270" s="1495" t="s">
        <v>7249</v>
      </c>
      <c r="J270" s="1493" t="s">
        <v>65</v>
      </c>
      <c r="K270" s="3007" t="s">
        <v>164</v>
      </c>
      <c r="L270" s="2878" t="s">
        <v>8887</v>
      </c>
      <c r="M270" s="3040">
        <v>1530</v>
      </c>
      <c r="N270" s="2907" t="s">
        <v>7499</v>
      </c>
      <c r="O270" s="3009"/>
      <c r="P270" s="3009"/>
      <c r="Q270" s="3010"/>
      <c r="R270" s="3264" t="s">
        <v>8807</v>
      </c>
      <c r="S270" s="1467"/>
      <c r="T270" s="1467"/>
      <c r="U270" s="1467"/>
      <c r="V270" s="1467"/>
      <c r="W270" s="1467"/>
      <c r="X270" s="1467"/>
      <c r="Y270" s="1467"/>
      <c r="Z270" s="1467"/>
      <c r="AA270" s="1467"/>
      <c r="AB270" s="1467"/>
      <c r="AC270" s="1467"/>
      <c r="AD270" s="1467"/>
    </row>
    <row r="271" spans="1:36" s="1548" customFormat="1" ht="63.7" customHeight="1">
      <c r="A271" s="3147"/>
      <c r="B271" s="3004" t="str">
        <f t="shared" si="4"/>
        <v>2000003329</v>
      </c>
      <c r="C271" s="1630" t="s">
        <v>7399</v>
      </c>
      <c r="D271" s="3006"/>
      <c r="E271" s="3021"/>
      <c r="F271" s="3266" t="s">
        <v>16</v>
      </c>
      <c r="G271" s="3007"/>
      <c r="H271" s="3007"/>
      <c r="I271" s="1495" t="s">
        <v>7249</v>
      </c>
      <c r="J271" s="1493" t="s">
        <v>65</v>
      </c>
      <c r="K271" s="3007" t="s">
        <v>164</v>
      </c>
      <c r="L271" s="2878" t="s">
        <v>8888</v>
      </c>
      <c r="M271" s="3040">
        <v>2547</v>
      </c>
      <c r="N271" s="2196" t="s">
        <v>8737</v>
      </c>
      <c r="O271" s="3009"/>
      <c r="P271" s="3009"/>
      <c r="Q271" s="3010"/>
      <c r="R271" s="3264" t="s">
        <v>8807</v>
      </c>
      <c r="S271" s="1467"/>
      <c r="T271" s="1467"/>
      <c r="U271" s="1467"/>
      <c r="V271" s="1467"/>
      <c r="W271" s="1467"/>
      <c r="X271" s="1467"/>
      <c r="Y271" s="1467"/>
      <c r="Z271" s="1467"/>
      <c r="AA271" s="1467"/>
      <c r="AB271" s="1467"/>
      <c r="AC271" s="1467"/>
      <c r="AD271" s="1467"/>
    </row>
    <row r="272" spans="1:36" s="1548" customFormat="1" ht="58.6" customHeight="1">
      <c r="A272" s="3147"/>
      <c r="B272" s="3004" t="str">
        <f t="shared" si="4"/>
        <v>2000003326</v>
      </c>
      <c r="C272" s="1630" t="s">
        <v>7399</v>
      </c>
      <c r="D272" s="3006"/>
      <c r="E272" s="3021"/>
      <c r="F272" s="3266" t="s">
        <v>16</v>
      </c>
      <c r="G272" s="3007"/>
      <c r="H272" s="3007"/>
      <c r="I272" s="1495" t="s">
        <v>7249</v>
      </c>
      <c r="J272" s="1493" t="s">
        <v>65</v>
      </c>
      <c r="K272" s="3007" t="s">
        <v>164</v>
      </c>
      <c r="L272" s="2878" t="s">
        <v>8889</v>
      </c>
      <c r="M272" s="3040">
        <v>1374</v>
      </c>
      <c r="N272" s="2907" t="s">
        <v>7499</v>
      </c>
      <c r="O272" s="3009"/>
      <c r="P272" s="3009"/>
      <c r="Q272" s="3010"/>
      <c r="R272" s="3264" t="s">
        <v>8807</v>
      </c>
      <c r="S272" s="1467"/>
      <c r="T272" s="1467"/>
      <c r="U272" s="1467"/>
      <c r="V272" s="1467"/>
      <c r="W272" s="1467"/>
      <c r="X272" s="1467"/>
      <c r="Y272" s="1467"/>
      <c r="Z272" s="1467"/>
      <c r="AA272" s="1467"/>
      <c r="AB272" s="1467"/>
      <c r="AC272" s="1467"/>
      <c r="AD272" s="1467"/>
    </row>
    <row r="273" spans="1:30" s="1548" customFormat="1" ht="58.6" customHeight="1">
      <c r="A273" s="3165"/>
      <c r="B273" s="3004" t="str">
        <f t="shared" si="4"/>
        <v>2000003327</v>
      </c>
      <c r="C273" s="1869" t="s">
        <v>7399</v>
      </c>
      <c r="D273" s="3128"/>
      <c r="E273" s="3027"/>
      <c r="F273" s="3267" t="s">
        <v>16</v>
      </c>
      <c r="G273" s="3008"/>
      <c r="H273" s="3008"/>
      <c r="I273" s="1495" t="s">
        <v>7249</v>
      </c>
      <c r="J273" s="3160" t="s">
        <v>65</v>
      </c>
      <c r="K273" s="3008" t="s">
        <v>164</v>
      </c>
      <c r="L273" s="3056" t="s">
        <v>8890</v>
      </c>
      <c r="M273" s="3057">
        <v>3000</v>
      </c>
      <c r="N273" s="2907" t="s">
        <v>7499</v>
      </c>
      <c r="O273" s="3160"/>
      <c r="P273" s="3160"/>
      <c r="Q273" s="3268"/>
      <c r="R273" s="3264" t="s">
        <v>8807</v>
      </c>
      <c r="S273" s="1467"/>
      <c r="T273" s="1467"/>
      <c r="U273" s="1467"/>
      <c r="V273" s="1467"/>
      <c r="W273" s="1467"/>
      <c r="X273" s="1467"/>
      <c r="Y273" s="1467"/>
      <c r="Z273" s="1467"/>
      <c r="AA273" s="1467"/>
      <c r="AB273" s="1467"/>
      <c r="AC273" s="1467"/>
      <c r="AD273" s="1467"/>
    </row>
    <row r="274" spans="1:30" s="1467" customFormat="1" ht="58.6" customHeight="1">
      <c r="A274" s="3048"/>
      <c r="B274" s="3021" t="str">
        <f t="shared" si="4"/>
        <v>2000003366</v>
      </c>
      <c r="C274" s="1493" t="s">
        <v>7399</v>
      </c>
      <c r="D274" s="1494"/>
      <c r="E274" s="1921"/>
      <c r="F274" s="3009" t="s">
        <v>16</v>
      </c>
      <c r="G274" s="1495"/>
      <c r="H274" s="1495"/>
      <c r="I274" s="1495" t="s">
        <v>7249</v>
      </c>
      <c r="J274" s="3009" t="s">
        <v>65</v>
      </c>
      <c r="K274" s="1495" t="s">
        <v>164</v>
      </c>
      <c r="L274" s="1496" t="s">
        <v>8891</v>
      </c>
      <c r="M274" s="3037">
        <v>2000</v>
      </c>
      <c r="N274" s="2196" t="s">
        <v>8737</v>
      </c>
      <c r="O274" s="1548"/>
      <c r="P274" s="1548"/>
      <c r="Q274" s="2590"/>
      <c r="R274" s="3264" t="s">
        <v>8807</v>
      </c>
    </row>
    <row r="276" spans="1:30" ht="58.6" customHeight="1">
      <c r="B276" s="2902" t="str">
        <f t="shared" ref="B276:B290" si="5">TEXT(LEFT(L276,10),"0000000000")</f>
        <v/>
      </c>
      <c r="I276" s="3"/>
      <c r="J276" s="3"/>
      <c r="K276" s="3"/>
      <c r="L276" s="7"/>
      <c r="M276" s="3"/>
      <c r="N276" s="3"/>
    </row>
    <row r="277" spans="1:30" ht="58.6" customHeight="1">
      <c r="B277" s="2902" t="str">
        <f t="shared" si="5"/>
        <v/>
      </c>
      <c r="I277" s="3"/>
      <c r="J277" s="3"/>
      <c r="K277" s="3"/>
      <c r="L277" s="7"/>
      <c r="M277" s="3"/>
      <c r="N277" s="3"/>
    </row>
    <row r="278" spans="1:30" ht="58.6" customHeight="1">
      <c r="B278" s="2902" t="str">
        <f t="shared" si="5"/>
        <v/>
      </c>
      <c r="I278" s="3"/>
      <c r="J278" s="3"/>
      <c r="K278" s="3"/>
      <c r="L278" s="7"/>
      <c r="M278" s="3"/>
      <c r="N278" s="3"/>
    </row>
    <row r="279" spans="1:30" ht="58.6" customHeight="1">
      <c r="B279" s="2902" t="str">
        <f t="shared" si="5"/>
        <v/>
      </c>
    </row>
    <row r="280" spans="1:30" ht="58.6" customHeight="1">
      <c r="B280" s="2902" t="str">
        <f t="shared" si="5"/>
        <v/>
      </c>
      <c r="I280" s="3"/>
      <c r="J280" s="3"/>
      <c r="K280" s="3"/>
      <c r="L280" s="7"/>
      <c r="M280" s="3"/>
      <c r="N280" s="3"/>
    </row>
    <row r="281" spans="1:30" ht="58.6" customHeight="1">
      <c r="B281" s="2902" t="str">
        <f t="shared" si="5"/>
        <v/>
      </c>
      <c r="I281" s="3"/>
      <c r="J281" s="3"/>
      <c r="K281" s="3"/>
      <c r="L281" s="7"/>
      <c r="M281" s="3"/>
      <c r="N281" s="3"/>
    </row>
    <row r="282" spans="1:30" ht="58.6" customHeight="1">
      <c r="B282" s="2902" t="str">
        <f t="shared" si="5"/>
        <v/>
      </c>
      <c r="I282" s="3"/>
      <c r="J282" s="3"/>
      <c r="K282" s="3"/>
      <c r="L282" s="7"/>
      <c r="M282" s="3"/>
      <c r="N282" s="3"/>
    </row>
    <row r="283" spans="1:30" ht="58.6" customHeight="1">
      <c r="B283" s="2902" t="str">
        <f t="shared" si="5"/>
        <v/>
      </c>
      <c r="I283" s="3"/>
      <c r="J283" s="3"/>
      <c r="K283" s="3"/>
      <c r="L283" s="7"/>
      <c r="M283" s="3"/>
      <c r="N283" s="3"/>
    </row>
    <row r="284" spans="1:30" ht="58.6" customHeight="1">
      <c r="B284" s="2902" t="str">
        <f t="shared" si="5"/>
        <v/>
      </c>
      <c r="I284" s="2884"/>
      <c r="J284" s="102"/>
      <c r="K284" s="109"/>
      <c r="L284" s="670"/>
      <c r="M284" s="1003"/>
      <c r="N284" s="2884"/>
    </row>
    <row r="285" spans="1:30" ht="58.6" customHeight="1">
      <c r="B285" s="2902" t="str">
        <f t="shared" si="5"/>
        <v/>
      </c>
    </row>
    <row r="286" spans="1:30" ht="58.6" customHeight="1">
      <c r="B286" s="2902" t="str">
        <f t="shared" si="5"/>
        <v/>
      </c>
    </row>
    <row r="287" spans="1:30" ht="58.6" customHeight="1">
      <c r="B287" s="2902" t="str">
        <f t="shared" si="5"/>
        <v/>
      </c>
    </row>
    <row r="288" spans="1:30" ht="58.6" customHeight="1">
      <c r="B288" s="2902" t="str">
        <f t="shared" si="5"/>
        <v/>
      </c>
    </row>
    <row r="289" spans="2:2" ht="58.6" customHeight="1">
      <c r="B289" s="2902" t="str">
        <f t="shared" si="5"/>
        <v/>
      </c>
    </row>
    <row r="290" spans="2:2" ht="58.6" customHeight="1">
      <c r="B290" s="2902" t="str">
        <f t="shared" si="5"/>
        <v/>
      </c>
    </row>
  </sheetData>
  <autoFilter ref="A3:N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topRight" activeCell="D1" sqref="D1"/>
      <selection pane="bottomLeft" activeCell="A4" sqref="A4"/>
      <selection pane="bottomRight" activeCell="D1" sqref="D1"/>
    </sheetView>
  </sheetViews>
  <sheetFormatPr defaultColWidth="32.125" defaultRowHeight="58.6"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37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375" style="3"/>
    <col min="24" max="26" width="32.125" style="1" bestFit="1" customWidth="1"/>
    <col min="27" max="16384" width="32.125" style="3"/>
  </cols>
  <sheetData>
    <row r="1" spans="1:26" ht="86.95" customHeight="1">
      <c r="A1" s="3777" t="s">
        <v>8892</v>
      </c>
      <c r="B1" s="3777"/>
      <c r="C1" s="3777"/>
      <c r="D1" s="3777"/>
      <c r="E1" s="3777"/>
      <c r="F1" s="3777"/>
      <c r="G1" s="3777"/>
      <c r="H1" s="3777"/>
      <c r="I1" s="3777"/>
      <c r="J1" s="3777"/>
      <c r="K1" s="3777"/>
      <c r="L1" s="3777"/>
      <c r="M1" s="3777"/>
      <c r="N1" s="3777"/>
      <c r="O1" s="3777"/>
      <c r="P1" s="3777"/>
      <c r="Q1" s="2670"/>
    </row>
    <row r="2" spans="1:26" ht="58.6" customHeight="1">
      <c r="A2" s="3778" t="s">
        <v>5208</v>
      </c>
      <c r="B2" s="3778"/>
      <c r="C2" s="3778"/>
      <c r="D2" s="2215">
        <f>SUBTOTAL(9,D3:D189)</f>
        <v>359966</v>
      </c>
      <c r="E2" s="1932"/>
      <c r="F2" s="2092"/>
      <c r="G2" s="2269" t="s">
        <v>5209</v>
      </c>
      <c r="H2" s="1932"/>
      <c r="I2" s="1932"/>
      <c r="J2" s="2765"/>
      <c r="K2" s="2762">
        <f ca="1">TODAY()</f>
        <v>45988</v>
      </c>
      <c r="L2" s="2272">
        <f>SUBTOTAL(9,L4:L190)</f>
        <v>361980.29599999997</v>
      </c>
      <c r="M2" s="2339" t="s">
        <v>7235</v>
      </c>
      <c r="N2" s="2722"/>
      <c r="O2" s="2099" t="s">
        <v>5211</v>
      </c>
      <c r="P2" s="2786" t="s">
        <v>0</v>
      </c>
      <c r="Q2" s="3774" t="s">
        <v>5212</v>
      </c>
      <c r="R2" s="3774"/>
      <c r="S2" s="3775"/>
      <c r="T2" s="3775"/>
    </row>
    <row r="3" spans="1:26" s="2709" customFormat="1" ht="58.6" customHeight="1">
      <c r="A3" s="2703" t="s">
        <v>48</v>
      </c>
      <c r="B3" s="2704" t="s">
        <v>5213</v>
      </c>
      <c r="C3" s="2707"/>
      <c r="D3" s="2706" t="s">
        <v>5215</v>
      </c>
      <c r="E3" s="2707" t="s">
        <v>3430</v>
      </c>
      <c r="F3" s="2705" t="s">
        <v>52</v>
      </c>
      <c r="G3" s="2707" t="s">
        <v>3431</v>
      </c>
      <c r="H3" s="2707" t="s">
        <v>5216</v>
      </c>
      <c r="I3" s="2707" t="s">
        <v>55</v>
      </c>
      <c r="J3" s="2707" t="s">
        <v>56</v>
      </c>
      <c r="K3" s="2707" t="s">
        <v>8893</v>
      </c>
      <c r="L3" s="2711" t="s">
        <v>5218</v>
      </c>
      <c r="M3" s="2710" t="s">
        <v>5219</v>
      </c>
      <c r="N3" s="2755" t="s">
        <v>5220</v>
      </c>
      <c r="O3" s="2704" t="s">
        <v>58</v>
      </c>
      <c r="P3" s="2794" t="s">
        <v>5221</v>
      </c>
      <c r="Q3" s="2707" t="s">
        <v>5223</v>
      </c>
      <c r="R3" s="2707" t="s">
        <v>5224</v>
      </c>
      <c r="S3" s="2715" t="s">
        <v>5225</v>
      </c>
      <c r="T3" s="2672" t="s">
        <v>5226</v>
      </c>
      <c r="U3" s="2708"/>
      <c r="X3" s="2708"/>
      <c r="Y3" s="2708"/>
      <c r="Z3" s="2708"/>
    </row>
    <row r="4" spans="1:26" s="2643" customFormat="1" ht="58.6" customHeight="1">
      <c r="A4" s="3768">
        <v>1</v>
      </c>
      <c r="B4" s="2187" t="str">
        <f>TEXT(LEFT(K4,10),"0000000000")</f>
        <v>2000002961</v>
      </c>
      <c r="C4" s="1902" t="s">
        <v>3546</v>
      </c>
      <c r="D4" s="2607">
        <v>4400</v>
      </c>
      <c r="E4" s="1921" t="s">
        <v>8894</v>
      </c>
      <c r="F4" s="1902" t="s">
        <v>20</v>
      </c>
      <c r="G4" s="1909" t="s">
        <v>8895</v>
      </c>
      <c r="H4" s="1921"/>
      <c r="I4" s="1921" t="s">
        <v>65</v>
      </c>
      <c r="J4" s="1921" t="s">
        <v>117</v>
      </c>
      <c r="K4" s="1845" t="s">
        <v>8896</v>
      </c>
      <c r="L4" s="2583">
        <v>4000</v>
      </c>
      <c r="M4" s="2506" t="s">
        <v>5230</v>
      </c>
      <c r="N4" s="1902" t="s">
        <v>5410</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6" customHeight="1">
      <c r="A5" s="3769"/>
      <c r="B5" s="1543" t="str">
        <f t="shared" ref="B5:B29" si="0">TEXT(LEFT(K5,10),"0000000000")</f>
        <v>2000003065</v>
      </c>
      <c r="C5" s="1493" t="s">
        <v>3546</v>
      </c>
      <c r="D5" s="1494"/>
      <c r="E5" s="1495"/>
      <c r="F5" s="1902" t="s">
        <v>20</v>
      </c>
      <c r="G5" s="1495"/>
      <c r="H5" s="1495"/>
      <c r="I5" s="1495" t="s">
        <v>65</v>
      </c>
      <c r="J5" s="1495" t="s">
        <v>117</v>
      </c>
      <c r="K5" s="1547" t="s">
        <v>8897</v>
      </c>
      <c r="L5" s="2357">
        <v>500</v>
      </c>
      <c r="M5" s="2196" t="s">
        <v>5230</v>
      </c>
      <c r="N5" s="1493"/>
      <c r="O5" s="1859"/>
      <c r="P5" s="1790">
        <v>1</v>
      </c>
      <c r="Q5" s="1495"/>
      <c r="R5" s="1495"/>
      <c r="S5" s="1495"/>
      <c r="T5" s="1909"/>
      <c r="U5" s="1548"/>
      <c r="V5" s="1548"/>
      <c r="W5" s="1548"/>
      <c r="X5" s="1493"/>
      <c r="Y5" s="1493"/>
      <c r="Z5" s="1493"/>
    </row>
    <row r="6" spans="1:26" s="2643" customFormat="1" ht="58.6" customHeight="1">
      <c r="A6" s="3768">
        <v>2</v>
      </c>
      <c r="B6" s="2187" t="str">
        <f t="shared" si="0"/>
        <v>2000003015</v>
      </c>
      <c r="C6" s="2601" t="s">
        <v>3494</v>
      </c>
      <c r="D6" s="2456">
        <v>8800</v>
      </c>
      <c r="E6" s="2187" t="s">
        <v>8898</v>
      </c>
      <c r="F6" s="2263" t="s">
        <v>16</v>
      </c>
      <c r="G6" s="2788" t="s">
        <v>8899</v>
      </c>
      <c r="H6" s="2187"/>
      <c r="I6" s="2187" t="s">
        <v>65</v>
      </c>
      <c r="J6" s="2187" t="s">
        <v>164</v>
      </c>
      <c r="K6" s="2617" t="s">
        <v>8900</v>
      </c>
      <c r="L6" s="2564">
        <v>500</v>
      </c>
      <c r="M6" s="2506" t="s">
        <v>8901</v>
      </c>
      <c r="N6" s="2263" t="s">
        <v>5320</v>
      </c>
      <c r="O6" s="2565"/>
      <c r="P6" s="1852">
        <v>1</v>
      </c>
      <c r="Q6" s="2187"/>
      <c r="R6" s="2187"/>
      <c r="S6" s="2187"/>
      <c r="T6" s="2261"/>
      <c r="U6" s="2127"/>
      <c r="V6" s="2127"/>
      <c r="W6" s="2127"/>
      <c r="X6" s="2263"/>
      <c r="Y6" s="2263"/>
      <c r="Z6" s="2263"/>
    </row>
    <row r="7" spans="1:26" s="1467" customFormat="1" ht="58.6" customHeight="1">
      <c r="A7" s="3770"/>
      <c r="B7" s="1543" t="str">
        <f t="shared" si="0"/>
        <v>2000003086</v>
      </c>
      <c r="C7" s="1601" t="s">
        <v>3494</v>
      </c>
      <c r="D7" s="1494"/>
      <c r="E7" s="1495"/>
      <c r="F7" s="1545" t="s">
        <v>16</v>
      </c>
      <c r="G7" s="1495"/>
      <c r="H7" s="1495"/>
      <c r="I7" s="1495" t="s">
        <v>65</v>
      </c>
      <c r="J7" s="1495" t="s">
        <v>164</v>
      </c>
      <c r="K7" s="1547" t="s">
        <v>8902</v>
      </c>
      <c r="L7" s="2357">
        <v>5000</v>
      </c>
      <c r="M7" s="1748" t="s">
        <v>5255</v>
      </c>
      <c r="N7" s="1493"/>
      <c r="O7" s="1859"/>
      <c r="P7" s="1790">
        <v>1</v>
      </c>
      <c r="Q7" s="1495"/>
      <c r="R7" s="1495"/>
      <c r="S7" s="1495"/>
      <c r="T7" s="1909"/>
      <c r="U7" s="1548"/>
      <c r="V7" s="1548"/>
      <c r="W7" s="1548"/>
      <c r="X7" s="1493"/>
      <c r="Y7" s="1493"/>
      <c r="Z7" s="1493"/>
    </row>
    <row r="8" spans="1:26" s="1467" customFormat="1" ht="58.6" customHeight="1">
      <c r="A8" s="3769"/>
      <c r="B8" s="1543" t="str">
        <f t="shared" si="0"/>
        <v>2000003051</v>
      </c>
      <c r="C8" s="1601" t="s">
        <v>3494</v>
      </c>
      <c r="D8" s="1494"/>
      <c r="E8" s="1495"/>
      <c r="F8" s="1545" t="s">
        <v>16</v>
      </c>
      <c r="G8" s="1495"/>
      <c r="H8" s="1495"/>
      <c r="I8" s="1495" t="s">
        <v>65</v>
      </c>
      <c r="J8" s="1495" t="s">
        <v>1271</v>
      </c>
      <c r="K8" s="1600" t="s">
        <v>8903</v>
      </c>
      <c r="L8" s="2357">
        <v>3300</v>
      </c>
      <c r="M8" s="2506" t="s">
        <v>5230</v>
      </c>
      <c r="N8" s="1493"/>
      <c r="O8" s="1859"/>
      <c r="P8" s="1790">
        <v>1</v>
      </c>
      <c r="Q8" s="1495"/>
      <c r="R8" s="1495"/>
      <c r="S8" s="1495"/>
      <c r="T8" s="1909"/>
      <c r="U8" s="1548"/>
      <c r="V8" s="1548"/>
      <c r="W8" s="1548"/>
      <c r="X8" s="1493"/>
      <c r="Y8" s="1493"/>
      <c r="Z8" s="1493"/>
    </row>
    <row r="9" spans="1:26" s="2643" customFormat="1" ht="58.6" customHeight="1">
      <c r="A9" s="3771">
        <v>3</v>
      </c>
      <c r="B9" s="2187" t="str">
        <f t="shared" si="0"/>
        <v>2000003085</v>
      </c>
      <c r="C9" s="1902" t="s">
        <v>5896</v>
      </c>
      <c r="D9" s="2607">
        <v>11900</v>
      </c>
      <c r="E9" s="2187" t="s">
        <v>8904</v>
      </c>
      <c r="F9" s="2263" t="s">
        <v>16</v>
      </c>
      <c r="G9" s="2789" t="s">
        <v>8905</v>
      </c>
      <c r="H9" s="1921"/>
      <c r="I9" s="1921" t="s">
        <v>65</v>
      </c>
      <c r="J9" s="1921" t="s">
        <v>66</v>
      </c>
      <c r="K9" s="1845" t="s">
        <v>8906</v>
      </c>
      <c r="L9" s="2746">
        <v>6300</v>
      </c>
      <c r="M9" s="1748" t="s">
        <v>5255</v>
      </c>
      <c r="N9" s="2601" t="s">
        <v>5303</v>
      </c>
      <c r="O9" s="1775"/>
      <c r="P9" s="1790">
        <v>1</v>
      </c>
      <c r="Q9" s="1921"/>
      <c r="R9" s="1921"/>
      <c r="S9" s="1921"/>
      <c r="T9" s="1909"/>
      <c r="U9" s="2150"/>
      <c r="V9" s="2150"/>
      <c r="W9" s="2150"/>
      <c r="X9" s="1902"/>
      <c r="Y9" s="1902"/>
      <c r="Z9" s="1902"/>
    </row>
    <row r="10" spans="1:26" s="1467" customFormat="1" ht="58.6" customHeight="1">
      <c r="A10" s="3772"/>
      <c r="B10" s="1543" t="str">
        <f t="shared" si="0"/>
        <v>2200002046</v>
      </c>
      <c r="C10" s="1493" t="s">
        <v>5896</v>
      </c>
      <c r="D10" s="1494"/>
      <c r="E10" s="1495"/>
      <c r="F10" s="1545" t="s">
        <v>16</v>
      </c>
      <c r="G10" s="1495"/>
      <c r="H10" s="1495"/>
      <c r="I10" s="1495" t="s">
        <v>65</v>
      </c>
      <c r="J10" s="1495" t="s">
        <v>1179</v>
      </c>
      <c r="K10" s="1551" t="s">
        <v>8907</v>
      </c>
      <c r="L10" s="2357">
        <v>569</v>
      </c>
      <c r="M10" s="2190" t="s">
        <v>5230</v>
      </c>
      <c r="N10" s="1493"/>
      <c r="O10" s="2712"/>
      <c r="P10" s="1790">
        <v>1</v>
      </c>
      <c r="Q10" s="1495"/>
      <c r="R10" s="1495"/>
      <c r="S10" s="1495"/>
      <c r="T10" s="1909"/>
      <c r="U10" s="1548"/>
      <c r="V10" s="1548"/>
      <c r="W10" s="1548"/>
      <c r="X10" s="1493"/>
      <c r="Y10" s="1493"/>
      <c r="Z10" s="1493"/>
    </row>
    <row r="11" spans="1:26" s="1467" customFormat="1" ht="81" customHeight="1">
      <c r="A11" s="3773"/>
      <c r="B11" s="1543" t="str">
        <f t="shared" si="0"/>
        <v>2000003025</v>
      </c>
      <c r="C11" s="1493" t="s">
        <v>5896</v>
      </c>
      <c r="D11" s="1494"/>
      <c r="E11" s="1495"/>
      <c r="F11" s="1545" t="s">
        <v>16</v>
      </c>
      <c r="G11" s="1495"/>
      <c r="H11" s="1495"/>
      <c r="I11" s="1495" t="s">
        <v>65</v>
      </c>
      <c r="J11" s="1495" t="s">
        <v>1179</v>
      </c>
      <c r="K11" s="1600" t="s">
        <v>8908</v>
      </c>
      <c r="L11" s="2361">
        <v>5000</v>
      </c>
      <c r="M11" s="1790" t="s">
        <v>8909</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3738</v>
      </c>
      <c r="D12" s="2607">
        <v>4250</v>
      </c>
      <c r="E12" s="1921" t="s">
        <v>8910</v>
      </c>
      <c r="F12" s="1902" t="s">
        <v>22</v>
      </c>
      <c r="G12" s="1921" t="s">
        <v>8911</v>
      </c>
      <c r="H12" s="1921"/>
      <c r="I12" s="1921" t="s">
        <v>65</v>
      </c>
      <c r="J12" s="1921" t="s">
        <v>66</v>
      </c>
      <c r="K12" s="1845" t="s">
        <v>8912</v>
      </c>
      <c r="L12" s="2583">
        <v>4250</v>
      </c>
      <c r="M12" s="2506" t="s">
        <v>5230</v>
      </c>
      <c r="N12" s="1902" t="s">
        <v>5324</v>
      </c>
      <c r="O12" s="1775"/>
      <c r="P12" s="1790">
        <v>1</v>
      </c>
      <c r="Q12" s="1921"/>
      <c r="R12" s="1921"/>
      <c r="S12" s="1921"/>
      <c r="T12" s="1909"/>
      <c r="U12" s="2150"/>
      <c r="V12" s="2150"/>
      <c r="W12" s="2150"/>
      <c r="X12" s="1902"/>
      <c r="Y12" s="1902"/>
      <c r="Z12" s="1902"/>
    </row>
    <row r="13" spans="1:26" s="1467" customFormat="1" ht="63.7" customHeight="1">
      <c r="A13" s="3768">
        <v>5</v>
      </c>
      <c r="B13" s="2187" t="str">
        <f t="shared" si="0"/>
        <v>2000003051</v>
      </c>
      <c r="C13" s="2601" t="s">
        <v>97</v>
      </c>
      <c r="D13" s="2607">
        <v>4600</v>
      </c>
      <c r="E13" s="1921" t="s">
        <v>8913</v>
      </c>
      <c r="F13" s="1902" t="s">
        <v>18</v>
      </c>
      <c r="G13" s="1921" t="s">
        <v>8914</v>
      </c>
      <c r="H13" s="1921"/>
      <c r="I13" s="1921" t="s">
        <v>65</v>
      </c>
      <c r="J13" s="1921" t="s">
        <v>1271</v>
      </c>
      <c r="K13" s="1845" t="s">
        <v>8915</v>
      </c>
      <c r="L13" s="2583">
        <v>1700</v>
      </c>
      <c r="M13" s="2506" t="s">
        <v>5230</v>
      </c>
      <c r="N13" s="1902" t="s">
        <v>5320</v>
      </c>
      <c r="O13" s="1775"/>
      <c r="P13" s="1790">
        <v>1</v>
      </c>
      <c r="Q13" s="1921"/>
      <c r="R13" s="1921"/>
      <c r="S13" s="1921"/>
      <c r="T13" s="1909"/>
      <c r="U13" s="2150"/>
      <c r="V13" s="2150"/>
      <c r="W13" s="2150"/>
      <c r="X13" s="1902"/>
      <c r="Y13" s="1902"/>
      <c r="Z13" s="1902"/>
    </row>
    <row r="14" spans="1:26" s="1467" customFormat="1" ht="63.7" customHeight="1">
      <c r="A14" s="3770"/>
      <c r="B14" s="1543" t="str">
        <f t="shared" si="0"/>
        <v>2000002993</v>
      </c>
      <c r="C14" s="1601" t="s">
        <v>97</v>
      </c>
      <c r="D14" s="1494"/>
      <c r="E14" s="1495"/>
      <c r="F14" s="1493" t="s">
        <v>18</v>
      </c>
      <c r="G14" s="1495"/>
      <c r="H14" s="1495"/>
      <c r="I14" s="1495" t="s">
        <v>65</v>
      </c>
      <c r="J14" s="1495" t="s">
        <v>164</v>
      </c>
      <c r="K14" s="1547" t="s">
        <v>8916</v>
      </c>
      <c r="L14" s="2357">
        <v>1000</v>
      </c>
      <c r="M14" s="1493" t="s">
        <v>5255</v>
      </c>
      <c r="N14" s="1493"/>
      <c r="O14" s="1859"/>
      <c r="P14" s="1790">
        <v>1</v>
      </c>
      <c r="Q14" s="1495"/>
      <c r="R14" s="1495"/>
      <c r="S14" s="1495"/>
      <c r="T14" s="1909"/>
      <c r="U14" s="1548"/>
      <c r="V14" s="1548"/>
      <c r="W14" s="1548"/>
      <c r="X14" s="1493"/>
      <c r="Y14" s="1493"/>
      <c r="Z14" s="1493"/>
    </row>
    <row r="15" spans="1:26" s="1467" customFormat="1" ht="54.7" customHeight="1">
      <c r="A15" s="3769"/>
      <c r="B15" s="1543" t="str">
        <f t="shared" si="0"/>
        <v>2000003052</v>
      </c>
      <c r="C15" s="1601" t="s">
        <v>97</v>
      </c>
      <c r="D15" s="1494"/>
      <c r="E15" s="1495"/>
      <c r="F15" s="1493" t="s">
        <v>18</v>
      </c>
      <c r="G15" s="1495"/>
      <c r="H15" s="1495"/>
      <c r="I15" s="1495" t="s">
        <v>65</v>
      </c>
      <c r="J15" s="1495" t="s">
        <v>240</v>
      </c>
      <c r="K15" s="1600" t="s">
        <v>8917</v>
      </c>
      <c r="L15" s="2357">
        <v>1900</v>
      </c>
      <c r="M15" s="2506" t="s">
        <v>5230</v>
      </c>
      <c r="N15" s="1493"/>
      <c r="O15" s="1859"/>
      <c r="P15" s="1790">
        <v>1</v>
      </c>
      <c r="Q15" s="1495"/>
      <c r="R15" s="1495"/>
      <c r="S15" s="1495"/>
      <c r="T15" s="1909"/>
      <c r="U15" s="1548"/>
      <c r="V15" s="1548"/>
      <c r="W15" s="1548"/>
      <c r="X15" s="1493"/>
      <c r="Y15" s="1493"/>
      <c r="Z15" s="1493"/>
    </row>
    <row r="16" spans="1:26" s="1467" customFormat="1" ht="54.7" customHeight="1">
      <c r="A16" s="3771">
        <v>6</v>
      </c>
      <c r="B16" s="2187" t="str">
        <f t="shared" si="0"/>
        <v>2000003052</v>
      </c>
      <c r="C16" s="1902" t="s">
        <v>3602</v>
      </c>
      <c r="D16" s="2607">
        <v>3490</v>
      </c>
      <c r="E16" s="1921" t="s">
        <v>8918</v>
      </c>
      <c r="F16" s="1902" t="s">
        <v>20</v>
      </c>
      <c r="G16" s="1921" t="s">
        <v>8919</v>
      </c>
      <c r="H16" s="1921"/>
      <c r="I16" s="1921" t="s">
        <v>65</v>
      </c>
      <c r="J16" s="1921" t="s">
        <v>240</v>
      </c>
      <c r="K16" s="1911" t="s">
        <v>8920</v>
      </c>
      <c r="L16" s="2583">
        <v>3100</v>
      </c>
      <c r="M16" s="2506" t="s">
        <v>5230</v>
      </c>
      <c r="N16" s="1902" t="s">
        <v>5324</v>
      </c>
      <c r="O16" s="1859"/>
      <c r="P16" s="1790">
        <v>1</v>
      </c>
      <c r="Q16" s="1495"/>
      <c r="R16" s="1495"/>
      <c r="S16" s="1495"/>
      <c r="T16" s="1909"/>
      <c r="U16" s="1548"/>
      <c r="V16" s="1548"/>
      <c r="W16" s="1548"/>
      <c r="X16" s="1493"/>
      <c r="Y16" s="1493"/>
      <c r="Z16" s="1493"/>
    </row>
    <row r="17" spans="1:26" s="1467" customFormat="1" ht="54.7" customHeight="1">
      <c r="A17" s="3772"/>
      <c r="B17" s="1543" t="str">
        <f t="shared" si="0"/>
        <v>2200002044</v>
      </c>
      <c r="C17" s="1493" t="s">
        <v>3602</v>
      </c>
      <c r="D17" s="1494"/>
      <c r="E17" s="1495"/>
      <c r="F17" s="1493" t="s">
        <v>20</v>
      </c>
      <c r="G17" s="1495"/>
      <c r="H17" s="1495"/>
      <c r="I17" s="1495" t="s">
        <v>65</v>
      </c>
      <c r="J17" s="1495" t="s">
        <v>142</v>
      </c>
      <c r="K17" s="1547" t="s">
        <v>5530</v>
      </c>
      <c r="L17" s="2357">
        <v>165</v>
      </c>
      <c r="M17" s="2791" t="s">
        <v>5255</v>
      </c>
      <c r="N17" s="1902"/>
      <c r="O17" s="1859"/>
      <c r="P17" s="1790">
        <v>1</v>
      </c>
      <c r="Q17" s="1495"/>
      <c r="R17" s="1495"/>
      <c r="S17" s="1495"/>
      <c r="T17" s="1909"/>
      <c r="U17" s="1548"/>
      <c r="V17" s="1548"/>
      <c r="W17" s="1548"/>
      <c r="X17" s="1493"/>
      <c r="Y17" s="1493"/>
      <c r="Z17" s="1493"/>
    </row>
    <row r="18" spans="1:26" s="1467" customFormat="1" ht="66.099999999999994" customHeight="1">
      <c r="A18" s="3773"/>
      <c r="B18" s="1543" t="str">
        <f t="shared" si="0"/>
        <v>2200002034</v>
      </c>
      <c r="C18" s="1493" t="s">
        <v>3602</v>
      </c>
      <c r="D18" s="1494"/>
      <c r="E18" s="1495"/>
      <c r="F18" s="1493" t="s">
        <v>20</v>
      </c>
      <c r="G18" s="1495"/>
      <c r="H18" s="1495"/>
      <c r="I18" s="1495" t="s">
        <v>65</v>
      </c>
      <c r="J18" s="1495" t="s">
        <v>142</v>
      </c>
      <c r="K18" s="1600" t="s">
        <v>8921</v>
      </c>
      <c r="L18" s="2357">
        <v>208</v>
      </c>
      <c r="M18" s="2791" t="s">
        <v>5255</v>
      </c>
      <c r="N18" s="1902"/>
      <c r="O18" s="1859"/>
      <c r="P18" s="1790">
        <v>1</v>
      </c>
      <c r="Q18" s="1495"/>
      <c r="R18" s="1495"/>
      <c r="S18" s="1495"/>
      <c r="T18" s="1909"/>
      <c r="U18" s="1548"/>
      <c r="V18" s="1548"/>
      <c r="W18" s="1548"/>
      <c r="X18" s="1493"/>
      <c r="Y18" s="1493"/>
      <c r="Z18" s="1493"/>
    </row>
    <row r="19" spans="1:26" s="2643" customFormat="1" ht="58.6" customHeight="1">
      <c r="A19" s="3768">
        <v>7</v>
      </c>
      <c r="B19" s="2187" t="str">
        <f t="shared" si="0"/>
        <v>2000003061</v>
      </c>
      <c r="C19" s="1902" t="s">
        <v>3996</v>
      </c>
      <c r="D19" s="2607">
        <v>12800</v>
      </c>
      <c r="E19" s="1921" t="s">
        <v>8922</v>
      </c>
      <c r="F19" s="1902" t="s">
        <v>14</v>
      </c>
      <c r="G19" s="1921" t="s">
        <v>8923</v>
      </c>
      <c r="H19" s="1921"/>
      <c r="I19" s="1921" t="s">
        <v>65</v>
      </c>
      <c r="J19" s="1921" t="s">
        <v>1179</v>
      </c>
      <c r="K19" s="1845" t="s">
        <v>8924</v>
      </c>
      <c r="L19" s="2583">
        <v>5000</v>
      </c>
      <c r="M19" s="1748" t="s">
        <v>5255</v>
      </c>
      <c r="N19" s="1902" t="s">
        <v>5410</v>
      </c>
      <c r="O19" s="1775"/>
      <c r="P19" s="1790">
        <v>1</v>
      </c>
      <c r="Q19" s="1921"/>
      <c r="R19" s="1921"/>
      <c r="S19" s="1921"/>
      <c r="T19" s="1909"/>
      <c r="U19" s="2150"/>
      <c r="V19" s="2150"/>
      <c r="W19" s="2150"/>
      <c r="X19" s="1902"/>
      <c r="Y19" s="1902"/>
      <c r="Z19" s="1902"/>
    </row>
    <row r="20" spans="1:26" s="1467" customFormat="1" ht="58.6" customHeight="1">
      <c r="A20" s="3770"/>
      <c r="B20" s="1543" t="str">
        <f t="shared" si="0"/>
        <v>2000003033</v>
      </c>
      <c r="C20" s="1493" t="s">
        <v>3996</v>
      </c>
      <c r="D20" s="1494"/>
      <c r="E20" s="1495"/>
      <c r="F20" s="1493" t="s">
        <v>14</v>
      </c>
      <c r="G20" s="1495"/>
      <c r="H20" s="1495"/>
      <c r="I20" s="1495" t="s">
        <v>65</v>
      </c>
      <c r="J20" s="1495" t="s">
        <v>1179</v>
      </c>
      <c r="K20" s="1600" t="s">
        <v>8925</v>
      </c>
      <c r="L20" s="2357">
        <v>5000</v>
      </c>
      <c r="M20" s="1748" t="s">
        <v>8926</v>
      </c>
      <c r="N20" s="1493"/>
      <c r="O20" s="1859"/>
      <c r="P20" s="1790">
        <v>1</v>
      </c>
      <c r="Q20" s="1495"/>
      <c r="R20" s="1495"/>
      <c r="S20" s="1495"/>
      <c r="T20" s="1909"/>
      <c r="U20" s="1548"/>
      <c r="V20" s="1548"/>
      <c r="W20" s="1548"/>
      <c r="X20" s="1493"/>
      <c r="Y20" s="1493"/>
      <c r="Z20" s="1493"/>
    </row>
    <row r="21" spans="1:26" s="1467" customFormat="1" ht="58.6" customHeight="1">
      <c r="A21" s="3770"/>
      <c r="B21" s="1543" t="str">
        <f t="shared" si="0"/>
        <v>2200002011</v>
      </c>
      <c r="C21" s="1493" t="s">
        <v>3996</v>
      </c>
      <c r="D21" s="1494"/>
      <c r="E21" s="1495"/>
      <c r="F21" s="1493" t="s">
        <v>14</v>
      </c>
      <c r="G21" s="1495"/>
      <c r="H21" s="1495"/>
      <c r="I21" s="1495" t="s">
        <v>65</v>
      </c>
      <c r="J21" s="1495" t="s">
        <v>1179</v>
      </c>
      <c r="K21" s="1600" t="s">
        <v>8927</v>
      </c>
      <c r="L21" s="2357">
        <v>575</v>
      </c>
      <c r="M21" s="2506" t="s">
        <v>5230</v>
      </c>
      <c r="N21" s="1493"/>
      <c r="O21" s="1859"/>
      <c r="P21" s="1790">
        <v>1</v>
      </c>
      <c r="Q21" s="1495"/>
      <c r="R21" s="1495"/>
      <c r="S21" s="1495"/>
      <c r="T21" s="1909"/>
      <c r="U21" s="1548"/>
      <c r="V21" s="1548"/>
      <c r="W21" s="1548"/>
      <c r="X21" s="1493"/>
      <c r="Y21" s="1493"/>
      <c r="Z21" s="1493"/>
    </row>
    <row r="22" spans="1:26" s="1467" customFormat="1" ht="58.6" customHeight="1">
      <c r="A22" s="3770"/>
      <c r="B22" s="1543" t="str">
        <f t="shared" si="0"/>
        <v>2200002047</v>
      </c>
      <c r="C22" s="1493" t="s">
        <v>3996</v>
      </c>
      <c r="D22" s="1494"/>
      <c r="E22" s="1495"/>
      <c r="F22" s="1493" t="s">
        <v>14</v>
      </c>
      <c r="G22" s="1495"/>
      <c r="H22" s="1495"/>
      <c r="I22" s="1495" t="s">
        <v>65</v>
      </c>
      <c r="J22" s="1495" t="s">
        <v>1179</v>
      </c>
      <c r="K22" s="1605" t="s">
        <v>8928</v>
      </c>
      <c r="L22" s="2543">
        <v>90</v>
      </c>
      <c r="M22" s="2506" t="s">
        <v>5230</v>
      </c>
      <c r="N22" s="1493"/>
      <c r="O22" s="1859"/>
      <c r="P22" s="1790">
        <v>1</v>
      </c>
      <c r="Q22" s="1495"/>
      <c r="R22" s="1495"/>
      <c r="S22" s="1495"/>
      <c r="T22" s="1909"/>
      <c r="U22" s="1548"/>
      <c r="V22" s="1548"/>
      <c r="W22" s="1548"/>
      <c r="X22" s="1493"/>
      <c r="Y22" s="1493"/>
      <c r="Z22" s="1493"/>
    </row>
    <row r="23" spans="1:26" s="1467" customFormat="1" ht="58.6" customHeight="1">
      <c r="A23" s="3770"/>
      <c r="B23" s="1543" t="str">
        <f t="shared" si="0"/>
        <v>2200002048</v>
      </c>
      <c r="C23" s="1493" t="s">
        <v>3996</v>
      </c>
      <c r="D23" s="1494"/>
      <c r="E23" s="1495"/>
      <c r="F23" s="1493" t="s">
        <v>14</v>
      </c>
      <c r="G23" s="1495"/>
      <c r="H23" s="1495"/>
      <c r="I23" s="1495" t="s">
        <v>65</v>
      </c>
      <c r="J23" s="1495" t="s">
        <v>1179</v>
      </c>
      <c r="K23" s="1605" t="s">
        <v>8929</v>
      </c>
      <c r="L23" s="2543">
        <v>1543</v>
      </c>
      <c r="M23" s="2506" t="s">
        <v>5230</v>
      </c>
      <c r="N23" s="1493"/>
      <c r="O23" s="1859"/>
      <c r="P23" s="1790">
        <v>1</v>
      </c>
      <c r="Q23" s="1495"/>
      <c r="R23" s="1495"/>
      <c r="S23" s="1495"/>
      <c r="T23" s="1909"/>
      <c r="U23" s="1548"/>
      <c r="V23" s="1548"/>
      <c r="W23" s="1548"/>
      <c r="X23" s="1493"/>
      <c r="Y23" s="1493"/>
      <c r="Z23" s="1493"/>
    </row>
    <row r="24" spans="1:26" s="2643" customFormat="1" ht="58.6" customHeight="1">
      <c r="A24" s="3776">
        <v>8</v>
      </c>
      <c r="B24" s="1900" t="str">
        <f t="shared" si="0"/>
        <v>2000003019</v>
      </c>
      <c r="C24" s="1902" t="s">
        <v>3454</v>
      </c>
      <c r="D24" s="2607">
        <v>24000</v>
      </c>
      <c r="E24" s="1921" t="s">
        <v>8898</v>
      </c>
      <c r="F24" s="1902" t="s">
        <v>14</v>
      </c>
      <c r="G24" s="1921" t="s">
        <v>8930</v>
      </c>
      <c r="H24" s="1921"/>
      <c r="I24" s="2187" t="s">
        <v>65</v>
      </c>
      <c r="J24" s="2370" t="s">
        <v>66</v>
      </c>
      <c r="K24" s="2696" t="s">
        <v>8931</v>
      </c>
      <c r="L24" s="2608">
        <v>11293</v>
      </c>
      <c r="M24" s="2196" t="s">
        <v>5230</v>
      </c>
      <c r="N24" s="2563" t="s">
        <v>5287</v>
      </c>
      <c r="O24" s="1775"/>
      <c r="P24" s="1790">
        <v>1</v>
      </c>
      <c r="Q24" s="1921"/>
      <c r="R24" s="1921"/>
      <c r="S24" s="1921"/>
      <c r="T24" s="1909"/>
      <c r="U24" s="2150"/>
      <c r="V24" s="2150"/>
      <c r="W24" s="2150"/>
      <c r="X24" s="1902"/>
      <c r="Y24" s="1902"/>
      <c r="Z24" s="1902"/>
    </row>
    <row r="25" spans="1:26" s="1467" customFormat="1" ht="58.6" customHeight="1">
      <c r="A25" s="3776"/>
      <c r="B25" s="1900" t="str">
        <f t="shared" si="0"/>
        <v>2000003040</v>
      </c>
      <c r="C25" s="1493" t="s">
        <v>3454</v>
      </c>
      <c r="D25" s="1494"/>
      <c r="E25" s="1495"/>
      <c r="F25" s="1493" t="s">
        <v>14</v>
      </c>
      <c r="G25" s="1495"/>
      <c r="H25" s="1495"/>
      <c r="I25" s="1495" t="s">
        <v>65</v>
      </c>
      <c r="J25" s="1495" t="s">
        <v>1000</v>
      </c>
      <c r="K25" s="1881" t="s">
        <v>8932</v>
      </c>
      <c r="L25" s="2361">
        <v>5000</v>
      </c>
      <c r="M25" s="2196" t="s">
        <v>5230</v>
      </c>
      <c r="N25" s="1495"/>
      <c r="O25" s="1859"/>
      <c r="P25" s="1790">
        <v>1</v>
      </c>
      <c r="Q25" s="1495" t="s">
        <v>5288</v>
      </c>
      <c r="R25" s="2720" t="e">
        <f>VLOOKUP(Q25,#REF!,2,0)</f>
        <v>#REF!</v>
      </c>
      <c r="S25" s="2720" t="e">
        <f>VLOOKUP(Q25,#REF!,3,0)</f>
        <v>#REF!</v>
      </c>
      <c r="T25" s="2721" t="e">
        <f>R25-S25</f>
        <v>#REF!</v>
      </c>
      <c r="U25" s="1548"/>
      <c r="V25" s="1548"/>
      <c r="W25" s="1548"/>
      <c r="X25" s="1493"/>
      <c r="Y25" s="1493"/>
      <c r="Z25" s="1493"/>
    </row>
    <row r="26" spans="1:26" s="1467" customFormat="1" ht="58.6" customHeight="1">
      <c r="A26" s="3776"/>
      <c r="B26" s="1900" t="str">
        <f t="shared" si="0"/>
        <v>2000003037</v>
      </c>
      <c r="C26" s="1493" t="s">
        <v>3454</v>
      </c>
      <c r="D26" s="1494"/>
      <c r="E26" s="1495"/>
      <c r="F26" s="1493" t="s">
        <v>14</v>
      </c>
      <c r="G26" s="1495"/>
      <c r="H26" s="1495"/>
      <c r="I26" s="1495" t="s">
        <v>65</v>
      </c>
      <c r="J26" s="1495" t="s">
        <v>1000</v>
      </c>
      <c r="K26" s="1547" t="s">
        <v>8933</v>
      </c>
      <c r="L26" s="2357">
        <v>4712</v>
      </c>
      <c r="M26" s="1748" t="s">
        <v>8934</v>
      </c>
      <c r="N26" s="1495"/>
      <c r="O26" s="1859"/>
      <c r="P26" s="1790">
        <v>1</v>
      </c>
      <c r="Q26" s="1495"/>
      <c r="R26" s="1495"/>
      <c r="S26" s="1495"/>
      <c r="T26" s="1909"/>
      <c r="U26" s="1548"/>
      <c r="V26" s="1548"/>
      <c r="W26" s="1548"/>
      <c r="X26" s="1493"/>
      <c r="Y26" s="1493"/>
      <c r="Z26" s="1493"/>
    </row>
    <row r="27" spans="1:26" s="1467" customFormat="1" ht="58.6" customHeight="1">
      <c r="A27" s="3768"/>
      <c r="B27" s="1900" t="str">
        <f t="shared" si="0"/>
        <v>2000003066</v>
      </c>
      <c r="C27" s="1493" t="s">
        <v>3454</v>
      </c>
      <c r="D27" s="1494"/>
      <c r="E27" s="1495"/>
      <c r="F27" s="1493" t="s">
        <v>14</v>
      </c>
      <c r="G27" s="1495"/>
      <c r="H27" s="1495"/>
      <c r="I27" s="1495" t="s">
        <v>65</v>
      </c>
      <c r="J27" s="1495" t="s">
        <v>1000</v>
      </c>
      <c r="K27" s="1547" t="s">
        <v>8935</v>
      </c>
      <c r="L27" s="2357">
        <v>3000</v>
      </c>
      <c r="M27" s="2196" t="s">
        <v>5230</v>
      </c>
      <c r="N27" s="1493"/>
      <c r="O27" s="1859"/>
      <c r="P27" s="1790">
        <v>1</v>
      </c>
      <c r="Q27" s="1495"/>
      <c r="R27" s="1495"/>
      <c r="S27" s="1495"/>
      <c r="T27" s="1909"/>
      <c r="U27" s="1548"/>
      <c r="V27" s="1548"/>
      <c r="W27" s="1548"/>
      <c r="X27" s="1493"/>
      <c r="Y27" s="1493"/>
      <c r="Z27" s="1493"/>
    </row>
    <row r="28" spans="1:26" s="2643" customFormat="1" ht="58.6" customHeight="1">
      <c r="A28" s="2436">
        <v>9</v>
      </c>
      <c r="B28" s="2419" t="str">
        <f t="shared" si="0"/>
        <v>2000003047</v>
      </c>
      <c r="C28" s="1902" t="s">
        <v>3503</v>
      </c>
      <c r="D28" s="2607">
        <v>3180</v>
      </c>
      <c r="E28" s="2187" t="s">
        <v>8936</v>
      </c>
      <c r="F28" s="1902" t="s">
        <v>24</v>
      </c>
      <c r="G28" s="1921" t="s">
        <v>8937</v>
      </c>
      <c r="H28" s="1921"/>
      <c r="I28" s="2187" t="s">
        <v>65</v>
      </c>
      <c r="J28" s="2370" t="s">
        <v>66</v>
      </c>
      <c r="K28" s="1845" t="s">
        <v>8938</v>
      </c>
      <c r="L28" s="2583">
        <v>3180</v>
      </c>
      <c r="M28" s="2196" t="s">
        <v>5230</v>
      </c>
      <c r="N28" s="1902" t="s">
        <v>5324</v>
      </c>
      <c r="O28" s="1775"/>
      <c r="P28" s="1790">
        <v>1</v>
      </c>
      <c r="Q28" s="1921"/>
      <c r="R28" s="1921"/>
      <c r="S28" s="1921"/>
      <c r="T28" s="1909"/>
      <c r="U28" s="2150"/>
      <c r="V28" s="2150"/>
      <c r="W28" s="2150"/>
      <c r="X28" s="1902"/>
      <c r="Y28" s="1902"/>
      <c r="Z28" s="1902"/>
    </row>
    <row r="29" spans="1:26" s="1467" customFormat="1" ht="58.6" customHeight="1">
      <c r="A29" s="3781">
        <v>10</v>
      </c>
      <c r="B29" s="2419" t="str">
        <f t="shared" si="0"/>
        <v>2000003066</v>
      </c>
      <c r="C29" s="1902" t="s">
        <v>2968</v>
      </c>
      <c r="D29" s="2792">
        <v>12000</v>
      </c>
      <c r="E29" s="1921" t="s">
        <v>8939</v>
      </c>
      <c r="F29" s="2563" t="s">
        <v>14</v>
      </c>
      <c r="G29" s="1921" t="s">
        <v>8940</v>
      </c>
      <c r="H29" s="1921"/>
      <c r="I29" s="1921" t="s">
        <v>65</v>
      </c>
      <c r="J29" s="1921" t="s">
        <v>1179</v>
      </c>
      <c r="K29" s="1911" t="s">
        <v>8941</v>
      </c>
      <c r="L29" s="2583">
        <v>2000</v>
      </c>
      <c r="M29" s="2196" t="s">
        <v>5230</v>
      </c>
      <c r="N29" s="1902" t="s">
        <v>5320</v>
      </c>
      <c r="O29" s="1775"/>
      <c r="P29" s="1790">
        <v>1</v>
      </c>
      <c r="Q29" s="1921"/>
      <c r="R29" s="1921"/>
      <c r="S29" s="1921"/>
      <c r="T29" s="1909"/>
      <c r="U29" s="2150"/>
      <c r="V29" s="2150"/>
      <c r="W29" s="2150"/>
      <c r="X29" s="1902"/>
      <c r="Y29" s="1902"/>
      <c r="Z29" s="1902"/>
    </row>
    <row r="30" spans="1:26" s="1467" customFormat="1" ht="58.6" customHeight="1">
      <c r="A30" s="3803"/>
      <c r="B30" s="2872">
        <v>2200002049</v>
      </c>
      <c r="C30" s="1626" t="s">
        <v>2968</v>
      </c>
      <c r="D30" s="2793"/>
      <c r="E30" s="1495"/>
      <c r="F30" s="1626" t="s">
        <v>14</v>
      </c>
      <c r="G30" s="1495"/>
      <c r="H30" s="1495"/>
      <c r="I30" s="1495" t="s">
        <v>65</v>
      </c>
      <c r="J30" s="1495" t="s">
        <v>1179</v>
      </c>
      <c r="K30" s="1547" t="s">
        <v>8942</v>
      </c>
      <c r="L30" s="2357">
        <v>2388</v>
      </c>
      <c r="M30" s="1748" t="s">
        <v>8943</v>
      </c>
      <c r="N30" s="1902"/>
      <c r="O30" s="1775"/>
      <c r="P30" s="1790">
        <v>1</v>
      </c>
      <c r="Q30" s="1921"/>
      <c r="R30" s="1921"/>
      <c r="S30" s="1921"/>
      <c r="T30" s="1909"/>
      <c r="U30" s="2150"/>
      <c r="V30" s="2150"/>
      <c r="W30" s="2150"/>
      <c r="X30" s="1902"/>
      <c r="Y30" s="1902"/>
      <c r="Z30" s="1902"/>
    </row>
    <row r="31" spans="1:26" s="1467" customFormat="1" ht="58.6" customHeight="1">
      <c r="A31" s="3782"/>
      <c r="B31" s="1946" t="str">
        <f t="shared" ref="B31:B62" si="1">TEXT(LEFT(K31,10),"0000000000")</f>
        <v>2200002051</v>
      </c>
      <c r="C31" s="1493" t="s">
        <v>2968</v>
      </c>
      <c r="D31" s="2793"/>
      <c r="E31" s="1495"/>
      <c r="F31" s="1626" t="s">
        <v>14</v>
      </c>
      <c r="G31" s="1495"/>
      <c r="H31" s="1495"/>
      <c r="I31" s="1495" t="s">
        <v>65</v>
      </c>
      <c r="J31" s="1495" t="s">
        <v>1179</v>
      </c>
      <c r="K31" s="1547" t="s">
        <v>8944</v>
      </c>
      <c r="L31" s="2357">
        <v>781</v>
      </c>
      <c r="M31" s="1748" t="s">
        <v>8945</v>
      </c>
      <c r="N31" s="1902"/>
      <c r="O31" s="1775"/>
      <c r="P31" s="1790">
        <v>1</v>
      </c>
      <c r="Q31" s="1921"/>
      <c r="R31" s="1921"/>
      <c r="S31" s="1921"/>
      <c r="T31" s="1909"/>
      <c r="U31" s="2150"/>
      <c r="V31" s="2150"/>
      <c r="W31" s="2150"/>
      <c r="X31" s="1902"/>
      <c r="Y31" s="1902"/>
      <c r="Z31" s="1902"/>
    </row>
    <row r="32" spans="1:26" s="1467" customFormat="1" ht="58.6" customHeight="1">
      <c r="A32" s="3782"/>
      <c r="B32" s="1900" t="str">
        <f t="shared" si="1"/>
        <v>2200002055</v>
      </c>
      <c r="C32" s="1493" t="s">
        <v>2968</v>
      </c>
      <c r="D32" s="2793"/>
      <c r="E32" s="1495"/>
      <c r="F32" s="1626" t="s">
        <v>14</v>
      </c>
      <c r="G32" s="1495"/>
      <c r="H32" s="1495"/>
      <c r="I32" s="1495" t="s">
        <v>65</v>
      </c>
      <c r="J32" s="1495" t="s">
        <v>1179</v>
      </c>
      <c r="K32" s="1600" t="s">
        <v>8946</v>
      </c>
      <c r="L32" s="2357">
        <v>4654</v>
      </c>
      <c r="M32" s="1748" t="s">
        <v>8947</v>
      </c>
      <c r="N32" s="1902"/>
      <c r="O32" s="1775"/>
      <c r="P32" s="1790">
        <v>1</v>
      </c>
      <c r="Q32" s="1921"/>
      <c r="R32" s="1921"/>
      <c r="S32" s="1921"/>
      <c r="T32" s="1909"/>
      <c r="U32" s="2150"/>
      <c r="V32" s="2150"/>
      <c r="W32" s="2150"/>
      <c r="X32" s="1902"/>
      <c r="Y32" s="1902"/>
      <c r="Z32" s="1902"/>
    </row>
    <row r="33" spans="1:26" s="1467" customFormat="1" ht="58.6" customHeight="1">
      <c r="A33" s="3782"/>
      <c r="B33" s="1900" t="str">
        <f t="shared" si="1"/>
        <v>2200002053</v>
      </c>
      <c r="C33" s="1493" t="s">
        <v>2968</v>
      </c>
      <c r="D33" s="2793"/>
      <c r="E33" s="1495"/>
      <c r="F33" s="1626" t="s">
        <v>14</v>
      </c>
      <c r="G33" s="1495"/>
      <c r="H33" s="1495"/>
      <c r="I33" s="1495" t="s">
        <v>65</v>
      </c>
      <c r="J33" s="1495" t="s">
        <v>1179</v>
      </c>
      <c r="K33" s="1547" t="s">
        <v>8948</v>
      </c>
      <c r="L33" s="2357">
        <v>1102</v>
      </c>
      <c r="M33" s="1748" t="s">
        <v>8949</v>
      </c>
      <c r="N33" s="1902"/>
      <c r="O33" s="1775"/>
      <c r="P33" s="1790">
        <v>1</v>
      </c>
      <c r="Q33" s="1921"/>
      <c r="R33" s="1921"/>
      <c r="S33" s="1921"/>
      <c r="T33" s="1909"/>
      <c r="U33" s="2150"/>
      <c r="V33" s="2150"/>
      <c r="W33" s="2150"/>
      <c r="X33" s="1902"/>
      <c r="Y33" s="1902"/>
      <c r="Z33" s="1902"/>
    </row>
    <row r="34" spans="1:26" s="1467" customFormat="1" ht="58.6" customHeight="1">
      <c r="A34" s="3782"/>
      <c r="B34" s="1900" t="str">
        <f t="shared" si="1"/>
        <v>2200002007</v>
      </c>
      <c r="C34" s="1493" t="s">
        <v>2968</v>
      </c>
      <c r="D34" s="2793"/>
      <c r="E34" s="1495"/>
      <c r="F34" s="1626" t="s">
        <v>14</v>
      </c>
      <c r="G34" s="1495"/>
      <c r="H34" s="1495"/>
      <c r="I34" s="1495" t="s">
        <v>65</v>
      </c>
      <c r="J34" s="1495" t="s">
        <v>1179</v>
      </c>
      <c r="K34" s="1600" t="s">
        <v>5344</v>
      </c>
      <c r="L34" s="2357">
        <v>236</v>
      </c>
      <c r="M34" s="2196" t="s">
        <v>5230</v>
      </c>
      <c r="N34" s="1495"/>
      <c r="O34" s="1859"/>
      <c r="P34" s="1790">
        <v>1</v>
      </c>
      <c r="Q34" s="1921"/>
      <c r="R34" s="1921"/>
      <c r="S34" s="1921"/>
      <c r="T34" s="1909"/>
      <c r="U34" s="2150"/>
      <c r="V34" s="2150"/>
      <c r="W34" s="2150"/>
      <c r="X34" s="1902"/>
      <c r="Y34" s="1902"/>
      <c r="Z34" s="1902"/>
    </row>
    <row r="35" spans="1:26" s="1467" customFormat="1" ht="58.6" customHeight="1">
      <c r="A35" s="3782"/>
      <c r="B35" s="1900" t="str">
        <f t="shared" si="1"/>
        <v>2200002020</v>
      </c>
      <c r="C35" s="1493" t="s">
        <v>2968</v>
      </c>
      <c r="D35" s="2793"/>
      <c r="E35" s="1548"/>
      <c r="F35" s="1626" t="s">
        <v>14</v>
      </c>
      <c r="G35" s="1495"/>
      <c r="H35" s="1495"/>
      <c r="I35" s="1495" t="s">
        <v>65</v>
      </c>
      <c r="J35" s="1495" t="s">
        <v>1179</v>
      </c>
      <c r="K35" s="1600" t="s">
        <v>8950</v>
      </c>
      <c r="L35" s="2357">
        <v>233</v>
      </c>
      <c r="M35" s="2196" t="s">
        <v>5230</v>
      </c>
      <c r="N35" s="1495"/>
      <c r="O35" s="1859"/>
      <c r="P35" s="1790">
        <v>1</v>
      </c>
      <c r="Q35" s="1495"/>
      <c r="R35" s="2720"/>
      <c r="S35" s="2720"/>
      <c r="T35" s="2721"/>
      <c r="U35" s="1548"/>
      <c r="V35" s="1548"/>
      <c r="W35" s="1548"/>
      <c r="X35" s="1493"/>
      <c r="Y35" s="1493"/>
      <c r="Z35" s="1493"/>
    </row>
    <row r="36" spans="1:26" s="1467" customFormat="1" ht="58.6" customHeight="1">
      <c r="A36" s="3783"/>
      <c r="B36" s="1900" t="str">
        <f t="shared" si="1"/>
        <v>2000003053</v>
      </c>
      <c r="C36" s="1493" t="s">
        <v>2968</v>
      </c>
      <c r="D36" s="2793"/>
      <c r="E36" s="1548"/>
      <c r="F36" s="1626" t="s">
        <v>14</v>
      </c>
      <c r="G36" s="1495"/>
      <c r="H36" s="1495"/>
      <c r="I36" s="1495" t="s">
        <v>65</v>
      </c>
      <c r="J36" s="1495" t="s">
        <v>1179</v>
      </c>
      <c r="K36" s="1547" t="s">
        <v>8951</v>
      </c>
      <c r="L36" s="2357">
        <v>1000</v>
      </c>
      <c r="M36" s="2196" t="s">
        <v>8952</v>
      </c>
      <c r="N36" s="1493"/>
      <c r="O36" s="1859"/>
      <c r="P36" s="1790">
        <v>1</v>
      </c>
      <c r="Q36" s="1495"/>
      <c r="R36" s="2720"/>
      <c r="S36" s="2720"/>
      <c r="T36" s="2721"/>
      <c r="U36" s="1548"/>
      <c r="V36" s="1548"/>
      <c r="W36" s="1548"/>
      <c r="X36" s="1493"/>
      <c r="Y36" s="1493"/>
      <c r="Z36" s="1493"/>
    </row>
    <row r="37" spans="1:26" s="1467" customFormat="1" ht="55.55" customHeight="1">
      <c r="A37" s="3771">
        <v>11</v>
      </c>
      <c r="B37" s="2187" t="str">
        <f t="shared" si="1"/>
        <v>2200002037</v>
      </c>
      <c r="C37" s="1921" t="s">
        <v>8953</v>
      </c>
      <c r="D37" s="2607">
        <v>4700</v>
      </c>
      <c r="E37" s="2187" t="s">
        <v>8954</v>
      </c>
      <c r="F37" s="1902" t="s">
        <v>16</v>
      </c>
      <c r="G37" s="1909" t="s">
        <v>8955</v>
      </c>
      <c r="H37" s="1921"/>
      <c r="I37" s="1921" t="s">
        <v>65</v>
      </c>
      <c r="J37" s="1921" t="s">
        <v>1179</v>
      </c>
      <c r="K37" s="1911" t="s">
        <v>8956</v>
      </c>
      <c r="L37" s="2583">
        <v>1971</v>
      </c>
      <c r="M37" s="1909" t="s">
        <v>8957</v>
      </c>
      <c r="N37" s="1902" t="s">
        <v>5320</v>
      </c>
      <c r="O37" s="1859"/>
      <c r="P37" s="1790">
        <v>1</v>
      </c>
      <c r="Q37" s="1921"/>
      <c r="R37" s="1921"/>
      <c r="S37" s="1921"/>
      <c r="T37" s="1909"/>
      <c r="U37" s="2150"/>
      <c r="V37" s="2150"/>
      <c r="W37" s="2150"/>
      <c r="X37" s="1902"/>
      <c r="Y37" s="1902"/>
      <c r="Z37" s="1902"/>
    </row>
    <row r="38" spans="1:26" s="1467" customFormat="1" ht="55.55" customHeight="1">
      <c r="A38" s="3772"/>
      <c r="B38" s="1543" t="str">
        <f t="shared" si="1"/>
        <v>2000003050</v>
      </c>
      <c r="C38" s="1495" t="s">
        <v>8958</v>
      </c>
      <c r="D38" s="2793"/>
      <c r="E38" s="1559"/>
      <c r="F38" s="1626" t="s">
        <v>16</v>
      </c>
      <c r="G38" s="1495"/>
      <c r="H38" s="1495"/>
      <c r="I38" s="1495" t="s">
        <v>65</v>
      </c>
      <c r="J38" s="1495" t="s">
        <v>1179</v>
      </c>
      <c r="K38" s="1600" t="s">
        <v>8959</v>
      </c>
      <c r="L38" s="2357">
        <v>310</v>
      </c>
      <c r="M38" s="1790" t="s">
        <v>5255</v>
      </c>
      <c r="N38" s="1493"/>
      <c r="O38" s="1859"/>
      <c r="P38" s="1790">
        <v>1</v>
      </c>
      <c r="Q38" s="1495"/>
      <c r="R38" s="1495"/>
      <c r="S38" s="1495"/>
      <c r="T38" s="1909"/>
      <c r="U38" s="1548"/>
      <c r="V38" s="1548"/>
      <c r="W38" s="1548"/>
      <c r="X38" s="1493"/>
      <c r="Y38" s="1493"/>
      <c r="Z38" s="1493"/>
    </row>
    <row r="39" spans="1:26" s="1467" customFormat="1" ht="61.5" customHeight="1">
      <c r="A39" s="3772"/>
      <c r="B39" s="1543" t="str">
        <f t="shared" si="1"/>
        <v>2000003041</v>
      </c>
      <c r="C39" s="1495" t="s">
        <v>8958</v>
      </c>
      <c r="D39" s="2793"/>
      <c r="E39" s="1548"/>
      <c r="F39" s="1626" t="s">
        <v>16</v>
      </c>
      <c r="G39" s="1495"/>
      <c r="H39" s="1495"/>
      <c r="I39" s="1495" t="s">
        <v>65</v>
      </c>
      <c r="J39" s="1495" t="s">
        <v>1179</v>
      </c>
      <c r="K39" s="1547" t="s">
        <v>8960</v>
      </c>
      <c r="L39" s="2543">
        <v>2000</v>
      </c>
      <c r="M39" s="2196" t="s">
        <v>5230</v>
      </c>
      <c r="N39" s="1495"/>
      <c r="O39" s="1859"/>
      <c r="P39" s="1790">
        <v>1</v>
      </c>
      <c r="Q39" s="1495" t="s">
        <v>5288</v>
      </c>
      <c r="R39" s="2720" t="e">
        <f>VLOOKUP(Q39,#REF!,2,0)</f>
        <v>#REF!</v>
      </c>
      <c r="S39" s="2720" t="e">
        <f>VLOOKUP(Q39,#REF!,3,0)</f>
        <v>#REF!</v>
      </c>
      <c r="T39" s="2721" t="e">
        <f>R39-S39</f>
        <v>#REF!</v>
      </c>
      <c r="U39" s="1548"/>
      <c r="V39" s="1548"/>
      <c r="W39" s="1548"/>
      <c r="X39" s="1493"/>
      <c r="Y39" s="1493"/>
      <c r="Z39" s="1493"/>
    </row>
    <row r="40" spans="1:26" s="1467" customFormat="1" ht="55.55" customHeight="1">
      <c r="A40" s="3772"/>
      <c r="B40" s="1543" t="str">
        <f t="shared" si="1"/>
        <v>2200002036</v>
      </c>
      <c r="C40" s="1495" t="s">
        <v>8958</v>
      </c>
      <c r="D40" s="2793"/>
      <c r="E40" s="1548"/>
      <c r="F40" s="1626" t="s">
        <v>16</v>
      </c>
      <c r="G40" s="1495"/>
      <c r="H40" s="1495"/>
      <c r="I40" s="1495" t="s">
        <v>65</v>
      </c>
      <c r="J40" s="1495" t="s">
        <v>1179</v>
      </c>
      <c r="K40" s="1995" t="s">
        <v>5458</v>
      </c>
      <c r="L40" s="2357">
        <v>150</v>
      </c>
      <c r="M40" s="2749" t="s">
        <v>5255</v>
      </c>
      <c r="N40" s="1495"/>
      <c r="O40" s="1859"/>
      <c r="P40" s="1790">
        <v>1</v>
      </c>
      <c r="Q40" s="1495"/>
      <c r="R40" s="2720"/>
      <c r="S40" s="2720"/>
      <c r="T40" s="2721"/>
      <c r="U40" s="1548"/>
      <c r="V40" s="1548"/>
      <c r="W40" s="1548"/>
      <c r="X40" s="1493"/>
      <c r="Y40" s="1493"/>
      <c r="Z40" s="1493"/>
    </row>
    <row r="41" spans="1:26" s="1467" customFormat="1" ht="55.55" customHeight="1">
      <c r="A41" s="3772"/>
      <c r="B41" s="1543" t="str">
        <f t="shared" si="1"/>
        <v>2200002016</v>
      </c>
      <c r="C41" s="1495" t="s">
        <v>8958</v>
      </c>
      <c r="D41" s="2793"/>
      <c r="E41" s="1548"/>
      <c r="F41" s="1626" t="s">
        <v>16</v>
      </c>
      <c r="G41" s="1495"/>
      <c r="H41" s="1495"/>
      <c r="I41" s="1495" t="s">
        <v>65</v>
      </c>
      <c r="J41" s="1495" t="s">
        <v>1179</v>
      </c>
      <c r="K41" s="1547" t="s">
        <v>8961</v>
      </c>
      <c r="L41" s="2361">
        <v>220</v>
      </c>
      <c r="M41" s="2749" t="s">
        <v>5255</v>
      </c>
      <c r="N41" s="1493"/>
      <c r="O41" s="1859"/>
      <c r="P41" s="1790">
        <v>1</v>
      </c>
      <c r="Q41" s="1495"/>
      <c r="R41" s="2720"/>
      <c r="S41" s="2720"/>
      <c r="T41" s="2721"/>
      <c r="U41" s="1548"/>
      <c r="V41" s="1548"/>
      <c r="W41" s="1548"/>
      <c r="X41" s="1493"/>
      <c r="Y41" s="1493"/>
      <c r="Z41" s="1493"/>
    </row>
    <row r="42" spans="1:26" s="1467" customFormat="1" ht="55.55" customHeight="1">
      <c r="A42" s="3773"/>
      <c r="B42" s="1543" t="str">
        <f t="shared" si="1"/>
        <v>2200002055</v>
      </c>
      <c r="C42" s="1495" t="s">
        <v>8958</v>
      </c>
      <c r="D42" s="2793"/>
      <c r="E42" s="1548"/>
      <c r="F42" s="1626" t="s">
        <v>16</v>
      </c>
      <c r="G42" s="1495"/>
      <c r="H42" s="1495"/>
      <c r="I42" s="1495" t="s">
        <v>65</v>
      </c>
      <c r="J42" s="1495" t="s">
        <v>1179</v>
      </c>
      <c r="K42" s="1600" t="s">
        <v>8962</v>
      </c>
      <c r="L42" s="2361">
        <v>100</v>
      </c>
      <c r="M42" s="1748" t="s">
        <v>8963</v>
      </c>
      <c r="N42" s="1626"/>
      <c r="O42" s="1859"/>
      <c r="P42" s="1790">
        <v>1</v>
      </c>
      <c r="Q42" s="1495"/>
      <c r="R42" s="2720"/>
      <c r="S42" s="2720"/>
      <c r="T42" s="2721"/>
      <c r="U42" s="1548"/>
      <c r="V42" s="1548"/>
      <c r="W42" s="1548"/>
      <c r="X42" s="1493"/>
      <c r="Y42" s="1493"/>
      <c r="Z42" s="1493"/>
    </row>
    <row r="43" spans="1:26" s="1467" customFormat="1" ht="58.6" customHeight="1">
      <c r="A43" s="3771">
        <v>12</v>
      </c>
      <c r="B43" s="2187" t="str">
        <f t="shared" si="1"/>
        <v>2200002005</v>
      </c>
      <c r="C43" s="1921" t="s">
        <v>3494</v>
      </c>
      <c r="D43" s="2792">
        <v>8800</v>
      </c>
      <c r="E43" s="2118" t="s">
        <v>8964</v>
      </c>
      <c r="F43" s="2563" t="s">
        <v>16</v>
      </c>
      <c r="G43" s="1921" t="s">
        <v>8965</v>
      </c>
      <c r="H43" s="1921"/>
      <c r="I43" s="1921" t="s">
        <v>65</v>
      </c>
      <c r="J43" s="1921" t="s">
        <v>164</v>
      </c>
      <c r="K43" s="1845" t="s">
        <v>8966</v>
      </c>
      <c r="L43" s="2583">
        <v>660</v>
      </c>
      <c r="M43" s="1909" t="s">
        <v>5255</v>
      </c>
      <c r="N43" s="1495"/>
      <c r="O43" s="1859"/>
      <c r="P43" s="1790">
        <v>2</v>
      </c>
      <c r="Q43" s="1495"/>
      <c r="R43" s="2720"/>
      <c r="S43" s="2720"/>
      <c r="T43" s="2721"/>
      <c r="U43" s="1548"/>
      <c r="V43" s="1548"/>
      <c r="W43" s="1548"/>
      <c r="X43" s="1493"/>
      <c r="Y43" s="1493"/>
      <c r="Z43" s="1493"/>
    </row>
    <row r="44" spans="1:26" s="1467" customFormat="1" ht="58.6" customHeight="1">
      <c r="A44" s="3772"/>
      <c r="B44" s="1543" t="str">
        <f t="shared" si="1"/>
        <v>2000003087</v>
      </c>
      <c r="C44" s="1495" t="s">
        <v>3494</v>
      </c>
      <c r="D44" s="1494"/>
      <c r="E44" s="1495"/>
      <c r="F44" s="1626" t="s">
        <v>16</v>
      </c>
      <c r="G44" s="1495"/>
      <c r="H44" s="1495"/>
      <c r="I44" s="1495" t="s">
        <v>65</v>
      </c>
      <c r="J44" s="1495" t="s">
        <v>164</v>
      </c>
      <c r="K44" s="1600" t="s">
        <v>8967</v>
      </c>
      <c r="L44" s="2357">
        <v>400</v>
      </c>
      <c r="M44" s="2196" t="s">
        <v>5230</v>
      </c>
      <c r="N44" s="1493"/>
      <c r="O44" s="1859"/>
      <c r="P44" s="1790">
        <v>2</v>
      </c>
      <c r="Q44" s="1495"/>
      <c r="R44" s="1495"/>
      <c r="S44" s="1495"/>
      <c r="T44" s="1909"/>
      <c r="U44" s="1548"/>
      <c r="V44" s="1548"/>
      <c r="W44" s="1548"/>
      <c r="X44" s="1493"/>
      <c r="Y44" s="1493"/>
      <c r="Z44" s="1493"/>
    </row>
    <row r="45" spans="1:26" s="1467" customFormat="1" ht="58.6" customHeight="1">
      <c r="A45" s="3772"/>
      <c r="B45" s="1543" t="str">
        <f t="shared" si="1"/>
        <v>2000003105</v>
      </c>
      <c r="C45" s="1495" t="s">
        <v>3494</v>
      </c>
      <c r="D45" s="1494"/>
      <c r="E45" s="1495"/>
      <c r="F45" s="1626" t="s">
        <v>16</v>
      </c>
      <c r="G45" s="1495"/>
      <c r="H45" s="1495"/>
      <c r="I45" s="1495" t="s">
        <v>65</v>
      </c>
      <c r="J45" s="1493" t="s">
        <v>164</v>
      </c>
      <c r="K45" s="1770" t="s">
        <v>8968</v>
      </c>
      <c r="L45" s="1548">
        <v>2400</v>
      </c>
      <c r="M45" s="2196" t="s">
        <v>5230</v>
      </c>
      <c r="N45" s="1493"/>
      <c r="O45" s="1859"/>
      <c r="P45" s="1790">
        <v>2</v>
      </c>
      <c r="Q45" s="1495"/>
      <c r="R45" s="1495"/>
      <c r="S45" s="1495"/>
      <c r="T45" s="1909"/>
      <c r="U45" s="1548"/>
      <c r="V45" s="1548"/>
      <c r="W45" s="1548"/>
      <c r="X45" s="1493"/>
      <c r="Y45" s="1493"/>
      <c r="Z45" s="1493"/>
    </row>
    <row r="46" spans="1:26" s="1467" customFormat="1" ht="58.6" customHeight="1">
      <c r="A46" s="3772"/>
      <c r="B46" s="1543" t="str">
        <f t="shared" si="1"/>
        <v>2000003044</v>
      </c>
      <c r="C46" s="1495" t="s">
        <v>3494</v>
      </c>
      <c r="D46" s="1494"/>
      <c r="E46" s="1495"/>
      <c r="F46" s="1626" t="s">
        <v>16</v>
      </c>
      <c r="G46" s="1495"/>
      <c r="H46" s="1495"/>
      <c r="I46" s="1495" t="s">
        <v>65</v>
      </c>
      <c r="J46" s="1495" t="s">
        <v>106</v>
      </c>
      <c r="K46" s="1600" t="s">
        <v>8969</v>
      </c>
      <c r="L46" s="2357">
        <v>5000</v>
      </c>
      <c r="M46" s="1495" t="s">
        <v>5255</v>
      </c>
      <c r="N46" s="1493"/>
      <c r="O46" s="1859"/>
      <c r="P46" s="1790">
        <v>2</v>
      </c>
      <c r="Q46" s="1495"/>
      <c r="R46" s="1495"/>
      <c r="S46" s="1495"/>
      <c r="T46" s="1909"/>
      <c r="U46" s="1548"/>
      <c r="V46" s="1548"/>
      <c r="W46" s="1548"/>
      <c r="X46" s="1493"/>
      <c r="Y46" s="1493"/>
      <c r="Z46" s="1493"/>
    </row>
    <row r="47" spans="1:26" s="1467" customFormat="1" ht="75.099999999999994" customHeight="1">
      <c r="A47" s="3773"/>
      <c r="B47" s="1543" t="str">
        <f t="shared" si="1"/>
        <v>2000003055</v>
      </c>
      <c r="C47" s="1495" t="s">
        <v>3494</v>
      </c>
      <c r="D47" s="1494"/>
      <c r="E47" s="1495"/>
      <c r="F47" s="1626" t="s">
        <v>16</v>
      </c>
      <c r="G47" s="1495"/>
      <c r="H47" s="1495"/>
      <c r="I47" s="1495" t="s">
        <v>65</v>
      </c>
      <c r="J47" s="1495" t="s">
        <v>106</v>
      </c>
      <c r="K47" s="1600" t="s">
        <v>8970</v>
      </c>
      <c r="L47" s="2357">
        <v>500</v>
      </c>
      <c r="M47" s="1495" t="s">
        <v>5255</v>
      </c>
      <c r="N47" s="1493"/>
      <c r="O47" s="1859"/>
      <c r="P47" s="1790">
        <v>2</v>
      </c>
      <c r="Q47" s="1495"/>
      <c r="R47" s="1495"/>
      <c r="S47" s="1495"/>
      <c r="T47" s="1909"/>
      <c r="U47" s="1548"/>
      <c r="V47" s="1548"/>
      <c r="W47" s="1548"/>
      <c r="X47" s="1493"/>
      <c r="Y47" s="1493"/>
      <c r="Z47" s="1493"/>
    </row>
    <row r="48" spans="1:26" s="2643" customFormat="1" ht="75.099999999999994" customHeight="1">
      <c r="A48" s="3771">
        <v>13</v>
      </c>
      <c r="B48" s="2187" t="str">
        <f t="shared" si="1"/>
        <v>2000003005</v>
      </c>
      <c r="C48" s="1902" t="s">
        <v>3963</v>
      </c>
      <c r="D48" s="2607">
        <v>7200</v>
      </c>
      <c r="E48" s="1921" t="s">
        <v>8971</v>
      </c>
      <c r="F48" s="2563" t="s">
        <v>16</v>
      </c>
      <c r="G48" s="1909" t="s">
        <v>8972</v>
      </c>
      <c r="H48" s="1921"/>
      <c r="I48" s="2187" t="s">
        <v>65</v>
      </c>
      <c r="J48" s="1921" t="s">
        <v>4386</v>
      </c>
      <c r="K48" s="1845" t="s">
        <v>8973</v>
      </c>
      <c r="L48" s="2583">
        <v>3000</v>
      </c>
      <c r="M48" s="1748" t="s">
        <v>8974</v>
      </c>
      <c r="N48" s="1902"/>
      <c r="O48" s="1775"/>
      <c r="P48" s="1790">
        <v>2</v>
      </c>
      <c r="Q48" s="1921"/>
      <c r="R48" s="1921"/>
      <c r="S48" s="1921"/>
      <c r="T48" s="1909"/>
      <c r="U48" s="2150"/>
      <c r="V48" s="2150"/>
      <c r="W48" s="2150"/>
      <c r="X48" s="1902"/>
      <c r="Y48" s="1902"/>
      <c r="Z48" s="1902"/>
    </row>
    <row r="49" spans="1:26" s="1467" customFormat="1" ht="60.8" customHeight="1">
      <c r="A49" s="3772"/>
      <c r="B49" s="1543" t="str">
        <f t="shared" si="1"/>
        <v>2000003088</v>
      </c>
      <c r="C49" s="1493" t="s">
        <v>3963</v>
      </c>
      <c r="D49" s="2795"/>
      <c r="E49" s="2030"/>
      <c r="F49" s="1626" t="s">
        <v>16</v>
      </c>
      <c r="G49" s="1748"/>
      <c r="H49" s="1748"/>
      <c r="I49" s="1495" t="s">
        <v>65</v>
      </c>
      <c r="J49" s="1495" t="s">
        <v>106</v>
      </c>
      <c r="K49" s="1600" t="s">
        <v>8975</v>
      </c>
      <c r="L49" s="2357">
        <v>100</v>
      </c>
      <c r="M49" s="1493" t="s">
        <v>5255</v>
      </c>
      <c r="N49" s="1493"/>
      <c r="O49" s="1859"/>
      <c r="P49" s="1790">
        <v>2</v>
      </c>
      <c r="Q49" s="1495"/>
      <c r="R49" s="1495"/>
      <c r="S49" s="1495"/>
      <c r="T49" s="1909"/>
      <c r="U49" s="1548"/>
      <c r="V49" s="1548"/>
      <c r="W49" s="1548"/>
      <c r="X49" s="1493"/>
      <c r="Y49" s="1493"/>
      <c r="Z49" s="1493"/>
    </row>
    <row r="50" spans="1:26" s="1467" customFormat="1" ht="116.35" customHeight="1">
      <c r="A50" s="3773"/>
      <c r="B50" s="1543" t="str">
        <f t="shared" si="1"/>
        <v>2000003078</v>
      </c>
      <c r="C50" s="1493" t="s">
        <v>3963</v>
      </c>
      <c r="D50" s="1494"/>
      <c r="E50" s="1495"/>
      <c r="F50" s="1626" t="s">
        <v>16</v>
      </c>
      <c r="G50" s="1495"/>
      <c r="H50" s="1495"/>
      <c r="I50" s="1495" t="s">
        <v>65</v>
      </c>
      <c r="J50" s="1495" t="s">
        <v>106</v>
      </c>
      <c r="K50" s="1600" t="s">
        <v>8976</v>
      </c>
      <c r="L50" s="2357">
        <v>4000</v>
      </c>
      <c r="M50" s="2196" t="s">
        <v>5230</v>
      </c>
      <c r="N50" s="1493"/>
      <c r="O50" s="1859"/>
      <c r="P50" s="1790">
        <v>2</v>
      </c>
      <c r="Q50" s="1495"/>
      <c r="R50" s="1495"/>
      <c r="S50" s="1495"/>
      <c r="T50" s="1909"/>
      <c r="U50" s="1548"/>
      <c r="V50" s="1548"/>
      <c r="W50" s="1548"/>
      <c r="X50" s="1493"/>
      <c r="Y50" s="1493"/>
      <c r="Z50" s="1493"/>
    </row>
    <row r="51" spans="1:26" s="1467" customFormat="1" ht="68.95" customHeight="1">
      <c r="A51" s="3768">
        <v>14</v>
      </c>
      <c r="B51" s="1543" t="str">
        <f t="shared" si="1"/>
        <v>2000003047</v>
      </c>
      <c r="C51" s="1902" t="s">
        <v>3499</v>
      </c>
      <c r="D51" s="2607">
        <v>4000</v>
      </c>
      <c r="E51" s="1921" t="s">
        <v>8971</v>
      </c>
      <c r="F51" s="1902" t="s">
        <v>20</v>
      </c>
      <c r="G51" s="1921" t="s">
        <v>8977</v>
      </c>
      <c r="H51" s="1921"/>
      <c r="I51" s="1921" t="s">
        <v>65</v>
      </c>
      <c r="J51" s="1921" t="s">
        <v>66</v>
      </c>
      <c r="K51" s="1845" t="s">
        <v>8978</v>
      </c>
      <c r="L51" s="2583">
        <v>3000</v>
      </c>
      <c r="M51" s="2196" t="s">
        <v>5230</v>
      </c>
      <c r="N51" s="2563"/>
      <c r="O51" s="1775"/>
      <c r="P51" s="1790">
        <v>2</v>
      </c>
      <c r="Q51" s="1921"/>
      <c r="R51" s="1921"/>
      <c r="S51" s="1921"/>
      <c r="T51" s="1909"/>
      <c r="U51" s="2150"/>
      <c r="V51" s="2150"/>
      <c r="W51" s="2150"/>
      <c r="X51" s="1902"/>
      <c r="Y51" s="1902"/>
      <c r="Z51" s="1902"/>
    </row>
    <row r="52" spans="1:26" s="1467" customFormat="1" ht="66.099999999999994" customHeight="1">
      <c r="A52" s="3769"/>
      <c r="B52" s="1543" t="str">
        <f t="shared" si="1"/>
        <v>2000003067</v>
      </c>
      <c r="C52" s="1493" t="s">
        <v>3499</v>
      </c>
      <c r="D52" s="1494"/>
      <c r="E52" s="1495"/>
      <c r="F52" s="1493" t="s">
        <v>20</v>
      </c>
      <c r="G52" s="1495"/>
      <c r="H52" s="1495"/>
      <c r="I52" s="1495" t="s">
        <v>65</v>
      </c>
      <c r="J52" s="1495" t="s">
        <v>1000</v>
      </c>
      <c r="K52" s="1547" t="s">
        <v>8979</v>
      </c>
      <c r="L52" s="2357">
        <v>1000</v>
      </c>
      <c r="M52" s="1748" t="s">
        <v>5255</v>
      </c>
      <c r="N52" s="1493"/>
      <c r="O52" s="1859"/>
      <c r="P52" s="1790">
        <v>2</v>
      </c>
      <c r="Q52" s="1495"/>
      <c r="R52" s="1495"/>
      <c r="S52" s="1495"/>
      <c r="T52" s="1909"/>
      <c r="U52" s="1548"/>
      <c r="V52" s="1548"/>
      <c r="W52" s="1548"/>
      <c r="X52" s="1493"/>
      <c r="Y52" s="1493"/>
      <c r="Z52" s="1493"/>
    </row>
    <row r="53" spans="1:26" s="1467" customFormat="1" ht="66.099999999999994" customHeight="1">
      <c r="A53" s="3771">
        <v>15</v>
      </c>
      <c r="B53" s="2187" t="str">
        <f t="shared" si="1"/>
        <v>2000003144</v>
      </c>
      <c r="C53" s="1902" t="s">
        <v>3668</v>
      </c>
      <c r="D53" s="2456">
        <v>22200</v>
      </c>
      <c r="E53" s="2187" t="s">
        <v>8971</v>
      </c>
      <c r="F53" s="2263" t="s">
        <v>14</v>
      </c>
      <c r="G53" s="2261" t="s">
        <v>8980</v>
      </c>
      <c r="H53" s="2187" t="s">
        <v>8981</v>
      </c>
      <c r="I53" s="2279" t="s">
        <v>65</v>
      </c>
      <c r="J53" s="1921" t="s">
        <v>106</v>
      </c>
      <c r="K53" s="1600" t="s">
        <v>8982</v>
      </c>
      <c r="L53" s="2357">
        <v>275</v>
      </c>
      <c r="M53" s="1748" t="s">
        <v>8983</v>
      </c>
      <c r="N53" s="1493"/>
      <c r="O53" s="1859"/>
      <c r="P53" s="1790">
        <v>2</v>
      </c>
      <c r="Q53" s="1495"/>
      <c r="R53" s="1495"/>
      <c r="S53" s="1495"/>
      <c r="T53" s="1909"/>
      <c r="U53" s="1548"/>
      <c r="V53" s="1548"/>
      <c r="W53" s="1548"/>
      <c r="X53" s="1493"/>
      <c r="Y53" s="1493"/>
      <c r="Z53" s="1493"/>
    </row>
    <row r="54" spans="1:26" s="2643" customFormat="1" ht="58.6" customHeight="1">
      <c r="A54" s="3772"/>
      <c r="B54" s="1543" t="str">
        <f t="shared" si="1"/>
        <v>2000003079</v>
      </c>
      <c r="C54" s="1769" t="s">
        <v>3668</v>
      </c>
      <c r="D54" s="1548"/>
      <c r="E54" s="2797"/>
      <c r="F54" s="1493" t="s">
        <v>14</v>
      </c>
      <c r="G54" s="1807"/>
      <c r="H54" s="1548"/>
      <c r="I54" s="1568" t="s">
        <v>65</v>
      </c>
      <c r="J54" s="1495" t="s">
        <v>106</v>
      </c>
      <c r="K54" s="1845" t="s">
        <v>8984</v>
      </c>
      <c r="L54" s="2583">
        <v>500</v>
      </c>
      <c r="M54" s="1748" t="s">
        <v>8985</v>
      </c>
      <c r="N54" s="1902"/>
      <c r="O54" s="1775" t="s">
        <v>5361</v>
      </c>
      <c r="P54" s="1790">
        <v>2</v>
      </c>
      <c r="Q54" s="1921"/>
      <c r="R54" s="1921"/>
      <c r="S54" s="1921"/>
      <c r="T54" s="1909"/>
      <c r="U54" s="2150"/>
      <c r="V54" s="2150"/>
      <c r="W54" s="2150"/>
      <c r="X54" s="1902"/>
      <c r="Y54" s="1902"/>
      <c r="Z54" s="1902"/>
    </row>
    <row r="55" spans="1:26" s="1467" customFormat="1" ht="48.1" customHeight="1">
      <c r="A55" s="3772"/>
      <c r="B55" s="1543" t="str">
        <f t="shared" si="1"/>
        <v>2000003083</v>
      </c>
      <c r="C55" s="1493" t="s">
        <v>3668</v>
      </c>
      <c r="D55" s="1631"/>
      <c r="E55" s="1851"/>
      <c r="F55" s="1630" t="s">
        <v>14</v>
      </c>
      <c r="G55" s="1851"/>
      <c r="H55" s="1851"/>
      <c r="I55" s="1543" t="s">
        <v>65</v>
      </c>
      <c r="J55" s="1495" t="s">
        <v>106</v>
      </c>
      <c r="K55" s="1600" t="s">
        <v>8986</v>
      </c>
      <c r="L55" s="2357">
        <v>500</v>
      </c>
      <c r="M55" s="1748" t="s">
        <v>8987</v>
      </c>
      <c r="N55" s="1493"/>
      <c r="O55" s="1859"/>
      <c r="P55" s="1790">
        <v>2</v>
      </c>
      <c r="Q55" s="1495"/>
      <c r="R55" s="1495"/>
      <c r="S55" s="1495"/>
      <c r="T55" s="1909"/>
      <c r="U55" s="1548"/>
      <c r="V55" s="1548"/>
      <c r="W55" s="1548"/>
      <c r="X55" s="1493"/>
      <c r="Y55" s="1493"/>
      <c r="Z55" s="1493"/>
    </row>
    <row r="56" spans="1:26" s="1467" customFormat="1" ht="61.5" customHeight="1">
      <c r="A56" s="3772"/>
      <c r="B56" s="1543" t="str">
        <f t="shared" si="1"/>
        <v>2000003078</v>
      </c>
      <c r="C56" s="1493" t="s">
        <v>3668</v>
      </c>
      <c r="D56" s="1494"/>
      <c r="E56" s="1495"/>
      <c r="F56" s="1493" t="s">
        <v>14</v>
      </c>
      <c r="G56" s="1495"/>
      <c r="H56" s="1495"/>
      <c r="I56" s="1495" t="s">
        <v>65</v>
      </c>
      <c r="J56" s="1495" t="s">
        <v>106</v>
      </c>
      <c r="K56" s="1600" t="s">
        <v>8988</v>
      </c>
      <c r="L56" s="2357">
        <v>6000</v>
      </c>
      <c r="M56" s="1495" t="s">
        <v>8989</v>
      </c>
      <c r="N56" s="1493"/>
      <c r="O56" s="1859">
        <v>120</v>
      </c>
      <c r="P56" s="1790">
        <v>2</v>
      </c>
      <c r="Q56" s="1495"/>
      <c r="R56" s="1495"/>
      <c r="S56" s="1495"/>
      <c r="T56" s="1909"/>
      <c r="U56" s="1548"/>
      <c r="V56" s="1548"/>
      <c r="W56" s="1548"/>
      <c r="X56" s="1493"/>
      <c r="Y56" s="1493"/>
      <c r="Z56" s="1493"/>
    </row>
    <row r="57" spans="1:26" s="1467" customFormat="1" ht="50.3" customHeight="1">
      <c r="A57" s="3772"/>
      <c r="B57" s="1543" t="str">
        <f t="shared" si="1"/>
        <v>2000003073</v>
      </c>
      <c r="C57" s="1493" t="s">
        <v>3668</v>
      </c>
      <c r="D57" s="1494"/>
      <c r="E57" s="1495"/>
      <c r="F57" s="1493" t="s">
        <v>14</v>
      </c>
      <c r="G57" s="1495"/>
      <c r="H57" s="1495"/>
      <c r="I57" s="1495" t="s">
        <v>65</v>
      </c>
      <c r="J57" s="1495" t="s">
        <v>5400</v>
      </c>
      <c r="K57" s="1547" t="s">
        <v>8990</v>
      </c>
      <c r="L57" s="2357">
        <v>1000</v>
      </c>
      <c r="M57" s="2196" t="s">
        <v>5230</v>
      </c>
      <c r="N57" s="1493"/>
      <c r="O57" s="1859"/>
      <c r="P57" s="1790">
        <v>2</v>
      </c>
      <c r="Q57" s="1495"/>
      <c r="R57" s="1495"/>
      <c r="S57" s="1495"/>
      <c r="T57" s="1909"/>
      <c r="U57" s="1548"/>
      <c r="V57" s="1548"/>
      <c r="W57" s="1548"/>
      <c r="X57" s="1493"/>
      <c r="Y57" s="1493"/>
      <c r="Z57" s="1493"/>
    </row>
    <row r="58" spans="1:26" s="1467" customFormat="1" ht="50.3" customHeight="1">
      <c r="A58" s="3772"/>
      <c r="B58" s="1543" t="str">
        <f t="shared" si="1"/>
        <v>2000003071</v>
      </c>
      <c r="C58" s="1493" t="s">
        <v>3668</v>
      </c>
      <c r="D58" s="1494"/>
      <c r="E58" s="1495"/>
      <c r="F58" s="1493" t="s">
        <v>14</v>
      </c>
      <c r="G58" s="1495"/>
      <c r="H58" s="1495"/>
      <c r="I58" s="1495" t="s">
        <v>65</v>
      </c>
      <c r="J58" s="1495" t="s">
        <v>5400</v>
      </c>
      <c r="K58" s="1547" t="s">
        <v>8991</v>
      </c>
      <c r="L58" s="2357">
        <v>9000</v>
      </c>
      <c r="M58" s="2196" t="s">
        <v>5230</v>
      </c>
      <c r="N58" s="1493"/>
      <c r="O58" s="1859"/>
      <c r="P58" s="1790">
        <v>2</v>
      </c>
      <c r="Q58" s="1495"/>
      <c r="R58" s="1495"/>
      <c r="S58" s="1495"/>
      <c r="T58" s="1909"/>
      <c r="U58" s="1548"/>
      <c r="V58" s="1548"/>
      <c r="W58" s="1548"/>
      <c r="X58" s="1493"/>
      <c r="Y58" s="1493"/>
      <c r="Z58" s="1493"/>
    </row>
    <row r="59" spans="1:26" s="1467" customFormat="1" ht="50.3" customHeight="1">
      <c r="A59" s="3772"/>
      <c r="B59" s="1543" t="str">
        <f t="shared" si="1"/>
        <v>2000003074</v>
      </c>
      <c r="C59" s="1493" t="s">
        <v>3668</v>
      </c>
      <c r="D59" s="1494"/>
      <c r="E59" s="1495"/>
      <c r="F59" s="1493" t="s">
        <v>14</v>
      </c>
      <c r="G59" s="1495"/>
      <c r="H59" s="1495"/>
      <c r="I59" s="1495" t="s">
        <v>65</v>
      </c>
      <c r="J59" s="1495" t="s">
        <v>5400</v>
      </c>
      <c r="K59" s="1828" t="s">
        <v>8992</v>
      </c>
      <c r="L59" s="2357">
        <v>1500</v>
      </c>
      <c r="M59" s="2196" t="s">
        <v>5230</v>
      </c>
      <c r="N59" s="1493"/>
      <c r="O59" s="1859"/>
      <c r="P59" s="1790">
        <v>2</v>
      </c>
      <c r="Q59" s="1495"/>
      <c r="R59" s="1495"/>
      <c r="S59" s="1495"/>
      <c r="T59" s="1909"/>
      <c r="U59" s="1548"/>
      <c r="V59" s="1548"/>
      <c r="W59" s="1548"/>
      <c r="X59" s="1493"/>
      <c r="Y59" s="1493"/>
      <c r="Z59" s="1493"/>
    </row>
    <row r="60" spans="1:26" s="1467" customFormat="1" ht="51.8" customHeight="1">
      <c r="A60" s="3772"/>
      <c r="B60" s="1543" t="str">
        <f t="shared" si="1"/>
        <v>2000003068</v>
      </c>
      <c r="C60" s="1493" t="s">
        <v>3668</v>
      </c>
      <c r="D60" s="1494"/>
      <c r="E60" s="1495"/>
      <c r="F60" s="1493" t="s">
        <v>14</v>
      </c>
      <c r="G60" s="1495"/>
      <c r="H60" s="1495"/>
      <c r="I60" s="1495" t="s">
        <v>65</v>
      </c>
      <c r="J60" s="1773" t="s">
        <v>5400</v>
      </c>
      <c r="K60" s="1600" t="s">
        <v>8993</v>
      </c>
      <c r="L60" s="2483">
        <v>2200</v>
      </c>
      <c r="M60" s="2196" t="s">
        <v>5230</v>
      </c>
      <c r="N60" s="1493"/>
      <c r="O60" s="1859"/>
      <c r="P60" s="1790">
        <v>2</v>
      </c>
      <c r="Q60" s="1495"/>
      <c r="R60" s="1495"/>
      <c r="S60" s="1495"/>
      <c r="T60" s="1909"/>
      <c r="U60" s="1548"/>
      <c r="V60" s="1548"/>
      <c r="W60" s="1548"/>
      <c r="X60" s="1493"/>
      <c r="Y60" s="1493"/>
      <c r="Z60" s="1493"/>
    </row>
    <row r="61" spans="1:26" s="1467" customFormat="1" ht="51.8" customHeight="1">
      <c r="A61" s="3772"/>
      <c r="B61" s="1543" t="str">
        <f t="shared" si="1"/>
        <v>2000003034</v>
      </c>
      <c r="C61" s="1493" t="s">
        <v>3668</v>
      </c>
      <c r="D61" s="1494"/>
      <c r="E61" s="1495"/>
      <c r="F61" s="1493" t="s">
        <v>14</v>
      </c>
      <c r="G61" s="1495"/>
      <c r="H61" s="1495"/>
      <c r="I61" s="1495" t="s">
        <v>65</v>
      </c>
      <c r="J61" s="1773" t="s">
        <v>5400</v>
      </c>
      <c r="K61" s="1497" t="s">
        <v>8994</v>
      </c>
      <c r="L61" s="2483">
        <v>248</v>
      </c>
      <c r="M61" s="2196" t="s">
        <v>7499</v>
      </c>
      <c r="N61" s="1493"/>
      <c r="O61" s="1859"/>
      <c r="P61" s="1790">
        <v>2</v>
      </c>
      <c r="Q61" s="1495"/>
      <c r="R61" s="1495"/>
      <c r="S61" s="1495"/>
      <c r="T61" s="1909"/>
      <c r="U61" s="1548"/>
      <c r="V61" s="1548"/>
      <c r="W61" s="1548"/>
      <c r="X61" s="1493"/>
      <c r="Y61" s="1493"/>
      <c r="Z61" s="1493"/>
    </row>
    <row r="62" spans="1:26" s="1467" customFormat="1" ht="77.95" customHeight="1">
      <c r="A62" s="3773"/>
      <c r="B62" s="1543" t="str">
        <f t="shared" si="1"/>
        <v>2000003108</v>
      </c>
      <c r="C62" s="1493" t="s">
        <v>3668</v>
      </c>
      <c r="D62" s="1494"/>
      <c r="E62" s="1495"/>
      <c r="F62" s="1493" t="s">
        <v>14</v>
      </c>
      <c r="G62" s="1495"/>
      <c r="H62" s="1495"/>
      <c r="I62" s="1495" t="s">
        <v>65</v>
      </c>
      <c r="J62" s="1495" t="s">
        <v>5400</v>
      </c>
      <c r="K62" s="1497" t="s">
        <v>8995</v>
      </c>
      <c r="L62" s="2357">
        <v>1000</v>
      </c>
      <c r="M62" s="2196" t="s">
        <v>5230</v>
      </c>
      <c r="N62" s="1493"/>
      <c r="O62" s="1859"/>
      <c r="P62" s="1790">
        <v>2</v>
      </c>
      <c r="Q62" s="1495"/>
      <c r="R62" s="1495"/>
      <c r="S62" s="1495"/>
      <c r="T62" s="1909"/>
      <c r="U62" s="1548"/>
      <c r="V62" s="1548"/>
      <c r="W62" s="1548"/>
      <c r="X62" s="1493"/>
      <c r="Y62" s="1493"/>
      <c r="Z62" s="1493"/>
    </row>
    <row r="63" spans="1:26" s="432" customFormat="1" ht="54.7" customHeight="1">
      <c r="A63" s="3768">
        <v>16</v>
      </c>
      <c r="B63" s="1900" t="str">
        <f t="shared" ref="B63:B94" si="2">TEXT(LEFT(K63,10),"0000000000")</f>
        <v>2200002064</v>
      </c>
      <c r="C63" s="1902" t="s">
        <v>4868</v>
      </c>
      <c r="D63" s="2607">
        <v>4379</v>
      </c>
      <c r="E63" s="1921" t="s">
        <v>8996</v>
      </c>
      <c r="F63" s="1902" t="s">
        <v>8997</v>
      </c>
      <c r="G63" s="1495" t="s">
        <v>8998</v>
      </c>
      <c r="H63" s="1748"/>
      <c r="I63" s="1495" t="s">
        <v>65</v>
      </c>
      <c r="J63" s="1495" t="s">
        <v>1179</v>
      </c>
      <c r="K63" s="1600" t="s">
        <v>8999</v>
      </c>
      <c r="L63" s="2357">
        <v>1136</v>
      </c>
      <c r="M63" s="2196" t="s">
        <v>5230</v>
      </c>
      <c r="N63" s="1493"/>
      <c r="O63" s="1859"/>
      <c r="P63" s="1790">
        <v>2</v>
      </c>
      <c r="Q63" s="1495"/>
      <c r="R63" s="1495"/>
      <c r="S63" s="1495"/>
      <c r="T63" s="1748"/>
      <c r="U63" s="1548"/>
      <c r="V63" s="1548"/>
      <c r="W63" s="1548"/>
      <c r="X63" s="1493"/>
      <c r="Y63" s="1493"/>
      <c r="Z63" s="1493"/>
    </row>
    <row r="64" spans="1:26" s="432" customFormat="1" ht="54.7" customHeight="1">
      <c r="A64" s="3770"/>
      <c r="B64" s="1900" t="str">
        <f t="shared" si="2"/>
        <v>2200002062</v>
      </c>
      <c r="C64" s="1493" t="s">
        <v>4868</v>
      </c>
      <c r="D64" s="1494"/>
      <c r="E64" s="1495"/>
      <c r="F64" s="1493" t="s">
        <v>8997</v>
      </c>
      <c r="G64" s="1495"/>
      <c r="H64" s="1748"/>
      <c r="I64" s="1495" t="s">
        <v>65</v>
      </c>
      <c r="J64" s="1495" t="s">
        <v>1179</v>
      </c>
      <c r="K64" s="1600" t="s">
        <v>9000</v>
      </c>
      <c r="L64" s="2796">
        <v>337</v>
      </c>
      <c r="M64" s="2196" t="s">
        <v>5230</v>
      </c>
      <c r="N64" s="1493"/>
      <c r="O64" s="1859"/>
      <c r="P64" s="1790">
        <v>2</v>
      </c>
      <c r="Q64" s="1495"/>
      <c r="R64" s="1495"/>
      <c r="S64" s="1495"/>
      <c r="T64" s="1909"/>
      <c r="U64" s="1548"/>
      <c r="V64" s="1548"/>
      <c r="W64" s="1548"/>
      <c r="X64" s="1493"/>
      <c r="Y64" s="1493"/>
      <c r="Z64" s="1493"/>
    </row>
    <row r="65" spans="1:26" s="432" customFormat="1" ht="54.7" customHeight="1">
      <c r="A65" s="3770"/>
      <c r="B65" s="1900" t="str">
        <f t="shared" si="2"/>
        <v>2200002059</v>
      </c>
      <c r="C65" s="1493" t="s">
        <v>4868</v>
      </c>
      <c r="D65" s="1494"/>
      <c r="E65" s="1495"/>
      <c r="F65" s="1493" t="s">
        <v>8997</v>
      </c>
      <c r="G65" s="1495"/>
      <c r="H65" s="1748"/>
      <c r="I65" s="1495" t="s">
        <v>65</v>
      </c>
      <c r="J65" s="1495" t="s">
        <v>1179</v>
      </c>
      <c r="K65" s="1600" t="s">
        <v>9001</v>
      </c>
      <c r="L65" s="2796">
        <v>1134</v>
      </c>
      <c r="M65" s="1790" t="s">
        <v>5255</v>
      </c>
      <c r="N65" s="1493"/>
      <c r="O65" s="1859"/>
      <c r="P65" s="1790">
        <v>2</v>
      </c>
      <c r="Q65" s="1495"/>
      <c r="R65" s="1495"/>
      <c r="S65" s="1495"/>
      <c r="T65" s="1909"/>
      <c r="U65" s="1548"/>
      <c r="V65" s="1548"/>
      <c r="W65" s="1548"/>
      <c r="X65" s="1493"/>
      <c r="Y65" s="1493"/>
      <c r="Z65" s="1493"/>
    </row>
    <row r="66" spans="1:26" s="432" customFormat="1" ht="54.7" customHeight="1">
      <c r="A66" s="3770"/>
      <c r="B66" s="1900" t="str">
        <f t="shared" si="2"/>
        <v>2200002058</v>
      </c>
      <c r="C66" s="1493" t="s">
        <v>4868</v>
      </c>
      <c r="D66" s="1494"/>
      <c r="E66" s="1495"/>
      <c r="F66" s="1493" t="s">
        <v>8997</v>
      </c>
      <c r="G66" s="1495"/>
      <c r="H66" s="1748"/>
      <c r="I66" s="1495" t="s">
        <v>65</v>
      </c>
      <c r="J66" s="1495" t="s">
        <v>1179</v>
      </c>
      <c r="K66" s="1600" t="s">
        <v>9002</v>
      </c>
      <c r="L66" s="2796">
        <v>604</v>
      </c>
      <c r="M66" s="1790" t="s">
        <v>5255</v>
      </c>
      <c r="N66" s="1493"/>
      <c r="O66" s="1859"/>
      <c r="P66" s="1790">
        <v>2</v>
      </c>
      <c r="Q66" s="1495"/>
      <c r="R66" s="1495"/>
      <c r="S66" s="1495"/>
      <c r="T66" s="1909"/>
      <c r="U66" s="1548"/>
      <c r="V66" s="1548"/>
      <c r="W66" s="1548"/>
      <c r="X66" s="1493"/>
      <c r="Y66" s="1493"/>
      <c r="Z66" s="1493"/>
    </row>
    <row r="67" spans="1:26" s="432" customFormat="1" ht="54.7" customHeight="1">
      <c r="A67" s="3770"/>
      <c r="B67" s="1900" t="str">
        <f t="shared" si="2"/>
        <v>2200002057</v>
      </c>
      <c r="C67" s="1493" t="s">
        <v>4868</v>
      </c>
      <c r="D67" s="1494"/>
      <c r="E67" s="1495"/>
      <c r="F67" s="1493" t="s">
        <v>8997</v>
      </c>
      <c r="G67" s="1495"/>
      <c r="H67" s="1748"/>
      <c r="I67" s="1495" t="s">
        <v>65</v>
      </c>
      <c r="J67" s="1495" t="s">
        <v>1179</v>
      </c>
      <c r="K67" s="1600" t="s">
        <v>9003</v>
      </c>
      <c r="L67" s="2796">
        <v>370</v>
      </c>
      <c r="M67" s="1790" t="s">
        <v>5255</v>
      </c>
      <c r="N67" s="1493"/>
      <c r="O67" s="1859"/>
      <c r="P67" s="1790">
        <v>2</v>
      </c>
      <c r="Q67" s="1495"/>
      <c r="R67" s="1495"/>
      <c r="S67" s="1495"/>
      <c r="T67" s="1909"/>
      <c r="U67" s="1548"/>
      <c r="V67" s="1548"/>
      <c r="W67" s="1548"/>
      <c r="X67" s="1493"/>
      <c r="Y67" s="1493"/>
      <c r="Z67" s="1493"/>
    </row>
    <row r="68" spans="1:26" s="432" customFormat="1" ht="54.7" customHeight="1">
      <c r="A68" s="3770"/>
      <c r="B68" s="1900" t="str">
        <f t="shared" si="2"/>
        <v>2200002056</v>
      </c>
      <c r="C68" s="1493" t="s">
        <v>4868</v>
      </c>
      <c r="D68" s="1494"/>
      <c r="E68" s="1495"/>
      <c r="F68" s="1493" t="s">
        <v>8997</v>
      </c>
      <c r="G68" s="1495"/>
      <c r="H68" s="1748"/>
      <c r="I68" s="1495" t="s">
        <v>65</v>
      </c>
      <c r="J68" s="1495" t="s">
        <v>1179</v>
      </c>
      <c r="K68" s="1600" t="s">
        <v>9004</v>
      </c>
      <c r="L68" s="2796">
        <v>395</v>
      </c>
      <c r="M68" s="1790" t="s">
        <v>5255</v>
      </c>
      <c r="N68" s="1493"/>
      <c r="O68" s="1859"/>
      <c r="P68" s="1790">
        <v>2</v>
      </c>
      <c r="Q68" s="1495"/>
      <c r="R68" s="1495"/>
      <c r="S68" s="1495"/>
      <c r="T68" s="1909"/>
      <c r="U68" s="1548"/>
      <c r="V68" s="1548"/>
      <c r="W68" s="1548"/>
      <c r="X68" s="1493"/>
      <c r="Y68" s="1493"/>
      <c r="Z68" s="1493"/>
    </row>
    <row r="69" spans="1:26" s="8" customFormat="1" ht="58.6" customHeight="1">
      <c r="A69" s="3769"/>
      <c r="B69" s="1900" t="str">
        <f t="shared" si="2"/>
        <v>2200002063</v>
      </c>
      <c r="C69" s="1493" t="s">
        <v>4868</v>
      </c>
      <c r="D69" s="1494"/>
      <c r="E69" s="1495"/>
      <c r="F69" s="1493" t="s">
        <v>8997</v>
      </c>
      <c r="G69" s="1495"/>
      <c r="H69" s="1748"/>
      <c r="I69" s="1495" t="s">
        <v>65</v>
      </c>
      <c r="J69" s="1495" t="s">
        <v>1179</v>
      </c>
      <c r="K69" s="1600" t="s">
        <v>9005</v>
      </c>
      <c r="L69" s="2796">
        <v>400</v>
      </c>
      <c r="M69" s="2196" t="s">
        <v>5230</v>
      </c>
      <c r="N69" s="1493"/>
      <c r="O69" s="1859"/>
      <c r="P69" s="1790">
        <v>2</v>
      </c>
      <c r="Q69" s="1495"/>
      <c r="R69" s="1495"/>
      <c r="S69" s="1495"/>
      <c r="T69" s="1909"/>
      <c r="U69" s="1548"/>
      <c r="V69" s="1548"/>
      <c r="W69" s="1548"/>
      <c r="X69" s="1493"/>
      <c r="Y69" s="1493"/>
      <c r="Z69" s="1493"/>
    </row>
    <row r="70" spans="1:26" s="1467" customFormat="1" ht="68.3" customHeight="1">
      <c r="A70" s="3768">
        <v>17</v>
      </c>
      <c r="B70" s="2187" t="str">
        <f t="shared" si="2"/>
        <v>2200002014</v>
      </c>
      <c r="C70" s="1902" t="s">
        <v>3738</v>
      </c>
      <c r="D70" s="2607">
        <v>4370</v>
      </c>
      <c r="E70" s="1921" t="s">
        <v>9006</v>
      </c>
      <c r="F70" s="1902" t="s">
        <v>20</v>
      </c>
      <c r="G70" s="1909" t="s">
        <v>9007</v>
      </c>
      <c r="H70" s="1921" t="s">
        <v>9008</v>
      </c>
      <c r="I70" s="1921" t="s">
        <v>65</v>
      </c>
      <c r="J70" s="1921" t="s">
        <v>142</v>
      </c>
      <c r="K70" s="1845" t="s">
        <v>9009</v>
      </c>
      <c r="L70" s="2583">
        <v>300</v>
      </c>
      <c r="M70" s="2196" t="s">
        <v>5230</v>
      </c>
      <c r="N70" s="1902"/>
      <c r="O70" s="1775"/>
      <c r="P70" s="1790">
        <v>2</v>
      </c>
      <c r="Q70" s="1921"/>
      <c r="R70" s="1921"/>
      <c r="S70" s="1921"/>
      <c r="T70" s="1909"/>
      <c r="U70" s="2150"/>
      <c r="V70" s="2150"/>
      <c r="W70" s="2150"/>
      <c r="X70" s="1902"/>
      <c r="Y70" s="1902"/>
      <c r="Z70" s="1902"/>
    </row>
    <row r="71" spans="1:26" s="1467" customFormat="1" ht="58.6" customHeight="1">
      <c r="A71" s="3770"/>
      <c r="B71" s="1543" t="str">
        <f t="shared" si="2"/>
        <v>2200002060</v>
      </c>
      <c r="C71" s="1493" t="s">
        <v>3738</v>
      </c>
      <c r="D71" s="1494"/>
      <c r="E71" s="1495"/>
      <c r="F71" s="1493" t="s">
        <v>20</v>
      </c>
      <c r="G71" s="1495"/>
      <c r="H71" s="1495"/>
      <c r="I71" s="1495" t="s">
        <v>65</v>
      </c>
      <c r="J71" s="1495" t="s">
        <v>117</v>
      </c>
      <c r="K71" s="1547" t="s">
        <v>9010</v>
      </c>
      <c r="L71" s="2357">
        <v>812</v>
      </c>
      <c r="M71" s="1748" t="s">
        <v>9011</v>
      </c>
      <c r="N71" s="1493"/>
      <c r="O71" s="1859"/>
      <c r="P71" s="1790">
        <v>2</v>
      </c>
      <c r="Q71" s="1495"/>
      <c r="R71" s="1495"/>
      <c r="S71" s="1495"/>
      <c r="T71" s="1909"/>
      <c r="U71" s="1548"/>
      <c r="V71" s="1548"/>
      <c r="W71" s="1548"/>
      <c r="X71" s="1493"/>
      <c r="Y71" s="1493"/>
      <c r="Z71" s="1493"/>
    </row>
    <row r="72" spans="1:26" s="1467" customFormat="1" ht="58.6" customHeight="1">
      <c r="A72" s="3770"/>
      <c r="B72" s="1543" t="str">
        <f t="shared" si="2"/>
        <v>2000003093</v>
      </c>
      <c r="C72" s="1493" t="s">
        <v>3738</v>
      </c>
      <c r="D72" s="1494"/>
      <c r="E72" s="1495"/>
      <c r="F72" s="1493" t="s">
        <v>20</v>
      </c>
      <c r="G72" s="1495"/>
      <c r="H72" s="1495"/>
      <c r="I72" s="1495" t="s">
        <v>65</v>
      </c>
      <c r="J72" s="1495" t="s">
        <v>117</v>
      </c>
      <c r="K72" s="1600" t="s">
        <v>9012</v>
      </c>
      <c r="L72" s="2357">
        <v>1200</v>
      </c>
      <c r="M72" s="1748" t="s">
        <v>5255</v>
      </c>
      <c r="N72" s="1493"/>
      <c r="O72" s="1859"/>
      <c r="P72" s="1790">
        <v>2</v>
      </c>
      <c r="Q72" s="1495"/>
      <c r="R72" s="1495"/>
      <c r="S72" s="1495"/>
      <c r="T72" s="1909"/>
      <c r="U72" s="1548"/>
      <c r="V72" s="1548"/>
      <c r="W72" s="1548"/>
      <c r="X72" s="1493"/>
      <c r="Y72" s="1493"/>
      <c r="Z72" s="1493"/>
    </row>
    <row r="73" spans="1:26" s="1467" customFormat="1" ht="70.5" customHeight="1">
      <c r="A73" s="3770"/>
      <c r="B73" s="1543" t="str">
        <f t="shared" si="2"/>
        <v>2200002015</v>
      </c>
      <c r="C73" s="1493" t="s">
        <v>3738</v>
      </c>
      <c r="D73" s="1494"/>
      <c r="E73" s="1495"/>
      <c r="F73" s="1493" t="s">
        <v>20</v>
      </c>
      <c r="G73" s="1495"/>
      <c r="H73" s="1495"/>
      <c r="I73" s="1495" t="s">
        <v>65</v>
      </c>
      <c r="J73" s="1495" t="s">
        <v>117</v>
      </c>
      <c r="K73" s="1600" t="s">
        <v>9013</v>
      </c>
      <c r="L73" s="2357">
        <v>2050</v>
      </c>
      <c r="M73" s="1748" t="s">
        <v>5255</v>
      </c>
      <c r="N73" s="1493"/>
      <c r="O73" s="1859"/>
      <c r="P73" s="1790">
        <v>2</v>
      </c>
      <c r="Q73" s="1495"/>
      <c r="R73" s="1495"/>
      <c r="S73" s="1495"/>
      <c r="T73" s="1909"/>
      <c r="U73" s="1548"/>
      <c r="V73" s="1548"/>
      <c r="W73" s="1548"/>
      <c r="X73" s="1493"/>
      <c r="Y73" s="1493"/>
      <c r="Z73" s="1493"/>
    </row>
    <row r="74" spans="1:26" s="2643" customFormat="1" ht="66.099999999999994" customHeight="1">
      <c r="A74" s="3768">
        <v>18</v>
      </c>
      <c r="B74" s="2419" t="str">
        <f t="shared" si="2"/>
        <v>2000003041</v>
      </c>
      <c r="C74" s="1921" t="s">
        <v>9014</v>
      </c>
      <c r="D74" s="2607">
        <v>5820</v>
      </c>
      <c r="E74" s="1921" t="s">
        <v>9015</v>
      </c>
      <c r="F74" s="1902" t="s">
        <v>18</v>
      </c>
      <c r="G74" s="1909" t="s">
        <v>9016</v>
      </c>
      <c r="H74" s="1921" t="s">
        <v>9017</v>
      </c>
      <c r="I74" s="1921" t="s">
        <v>65</v>
      </c>
      <c r="J74" s="1921" t="s">
        <v>1000</v>
      </c>
      <c r="K74" s="1911" t="s">
        <v>9018</v>
      </c>
      <c r="L74" s="2583">
        <v>3000</v>
      </c>
      <c r="M74" s="2196" t="s">
        <v>5230</v>
      </c>
      <c r="N74" s="1921"/>
      <c r="O74" s="1775"/>
      <c r="P74" s="2429">
        <v>2</v>
      </c>
      <c r="Q74" s="1921" t="s">
        <v>5288</v>
      </c>
      <c r="R74" s="2724" t="e">
        <f>VLOOKUP(Q74,#REF!,2,0)</f>
        <v>#REF!</v>
      </c>
      <c r="S74" s="2724" t="e">
        <f>VLOOKUP(Q74,#REF!,3,0)</f>
        <v>#REF!</v>
      </c>
      <c r="T74" s="2721" t="e">
        <f>R74-S74</f>
        <v>#REF!</v>
      </c>
      <c r="U74" s="2150"/>
      <c r="V74" s="2150"/>
      <c r="W74" s="2150"/>
      <c r="X74" s="1902"/>
      <c r="Y74" s="1902"/>
      <c r="Z74" s="1902"/>
    </row>
    <row r="75" spans="1:26" s="1467" customFormat="1" ht="58.6" customHeight="1">
      <c r="A75" s="3770"/>
      <c r="B75" s="1900" t="str">
        <f t="shared" si="2"/>
        <v>2200002019</v>
      </c>
      <c r="C75" s="1493" t="s">
        <v>4824</v>
      </c>
      <c r="D75" s="1494"/>
      <c r="E75" s="1748" t="s">
        <v>166</v>
      </c>
      <c r="F75" s="1493" t="s">
        <v>18</v>
      </c>
      <c r="G75" s="1495"/>
      <c r="H75" s="1495"/>
      <c r="I75" s="1495" t="s">
        <v>65</v>
      </c>
      <c r="J75" s="1495" t="s">
        <v>1000</v>
      </c>
      <c r="K75" s="1600" t="s">
        <v>9019</v>
      </c>
      <c r="L75" s="2357">
        <v>819</v>
      </c>
      <c r="M75" s="1790" t="s">
        <v>5255</v>
      </c>
      <c r="N75" s="1493"/>
      <c r="O75" s="1859"/>
      <c r="P75" s="1790">
        <v>2</v>
      </c>
      <c r="Q75" s="1495"/>
      <c r="R75" s="1495"/>
      <c r="S75" s="1495"/>
      <c r="T75" s="1909"/>
      <c r="U75" s="1548"/>
      <c r="V75" s="1548"/>
      <c r="W75" s="1548"/>
      <c r="X75" s="1493"/>
      <c r="Y75" s="1493"/>
      <c r="Z75" s="1493"/>
    </row>
    <row r="76" spans="1:26" s="1467" customFormat="1" ht="58.6" customHeight="1">
      <c r="A76" s="3770"/>
      <c r="B76" s="1900" t="str">
        <f t="shared" si="2"/>
        <v>2200002017</v>
      </c>
      <c r="C76" s="1493" t="s">
        <v>4824</v>
      </c>
      <c r="D76" s="1494"/>
      <c r="E76" s="1495"/>
      <c r="F76" s="1493" t="s">
        <v>18</v>
      </c>
      <c r="G76" s="1495"/>
      <c r="H76" s="1495"/>
      <c r="I76" s="1495" t="s">
        <v>65</v>
      </c>
      <c r="J76" s="1495" t="s">
        <v>1000</v>
      </c>
      <c r="K76" s="1547" t="s">
        <v>9020</v>
      </c>
      <c r="L76" s="2357">
        <v>949</v>
      </c>
      <c r="M76" s="1748" t="s">
        <v>5255</v>
      </c>
      <c r="N76" s="1493"/>
      <c r="O76" s="1859"/>
      <c r="P76" s="1790">
        <v>2</v>
      </c>
      <c r="Q76" s="1495"/>
      <c r="R76" s="1495"/>
      <c r="S76" s="1495"/>
      <c r="T76" s="1909"/>
      <c r="U76" s="1548"/>
      <c r="V76" s="1548"/>
      <c r="W76" s="1548"/>
      <c r="X76" s="1493"/>
      <c r="Y76" s="1493"/>
      <c r="Z76" s="1493"/>
    </row>
    <row r="77" spans="1:26" s="1467" customFormat="1" ht="58.6" customHeight="1">
      <c r="A77" s="3770"/>
      <c r="B77" s="1900" t="str">
        <f t="shared" si="2"/>
        <v>2200002064</v>
      </c>
      <c r="C77" s="1493" t="s">
        <v>4824</v>
      </c>
      <c r="D77" s="1494"/>
      <c r="E77" s="1495"/>
      <c r="F77" s="1493" t="s">
        <v>18</v>
      </c>
      <c r="G77" s="1495"/>
      <c r="H77" s="1495"/>
      <c r="I77" s="1495" t="s">
        <v>65</v>
      </c>
      <c r="J77" s="1495" t="s">
        <v>1000</v>
      </c>
      <c r="K77" s="1547" t="s">
        <v>9021</v>
      </c>
      <c r="L77" s="2357">
        <v>827</v>
      </c>
      <c r="M77" s="2196" t="s">
        <v>5230</v>
      </c>
      <c r="N77" s="1493"/>
      <c r="O77" s="1859"/>
      <c r="P77" s="1790">
        <v>2</v>
      </c>
      <c r="Q77" s="1495"/>
      <c r="R77" s="1495"/>
      <c r="S77" s="1495"/>
      <c r="T77" s="1909"/>
      <c r="U77" s="1548"/>
      <c r="V77" s="1548"/>
      <c r="W77" s="1548"/>
      <c r="X77" s="1493"/>
      <c r="Y77" s="1493"/>
      <c r="Z77" s="1493"/>
    </row>
    <row r="78" spans="1:26" s="1467" customFormat="1" ht="58.6" customHeight="1">
      <c r="A78" s="3770"/>
      <c r="B78" s="1900" t="str">
        <f t="shared" si="2"/>
        <v>2200002055</v>
      </c>
      <c r="C78" s="1493" t="s">
        <v>4824</v>
      </c>
      <c r="D78" s="1494"/>
      <c r="E78" s="1495"/>
      <c r="F78" s="1493" t="s">
        <v>18</v>
      </c>
      <c r="G78" s="1495"/>
      <c r="H78" s="1495"/>
      <c r="I78" s="1495" t="s">
        <v>65</v>
      </c>
      <c r="J78" s="1495" t="s">
        <v>1000</v>
      </c>
      <c r="K78" s="1600" t="s">
        <v>9022</v>
      </c>
      <c r="L78" s="2357">
        <v>45</v>
      </c>
      <c r="M78" s="1790" t="s">
        <v>7499</v>
      </c>
      <c r="N78" s="1493"/>
      <c r="O78" s="1859"/>
      <c r="P78" s="1790">
        <v>2</v>
      </c>
      <c r="Q78" s="1495"/>
      <c r="R78" s="1495"/>
      <c r="S78" s="1495"/>
      <c r="T78" s="1909"/>
      <c r="U78" s="1548"/>
      <c r="V78" s="1548"/>
      <c r="W78" s="1548"/>
      <c r="X78" s="1493"/>
      <c r="Y78" s="1493"/>
      <c r="Z78" s="1493"/>
    </row>
    <row r="79" spans="1:26" s="1467" customFormat="1" ht="58.6" customHeight="1">
      <c r="A79" s="3768">
        <v>19</v>
      </c>
      <c r="B79" s="2187" t="str">
        <f t="shared" si="2"/>
        <v>2200002006</v>
      </c>
      <c r="C79" s="1902" t="s">
        <v>4254</v>
      </c>
      <c r="D79" s="2607">
        <v>13500</v>
      </c>
      <c r="E79" s="1921" t="s">
        <v>9023</v>
      </c>
      <c r="F79" s="1902" t="s">
        <v>14</v>
      </c>
      <c r="G79" s="1921" t="s">
        <v>9024</v>
      </c>
      <c r="H79" s="1921"/>
      <c r="I79" s="1921" t="s">
        <v>65</v>
      </c>
      <c r="J79" s="1902" t="s">
        <v>164</v>
      </c>
      <c r="K79" s="2150" t="s">
        <v>9025</v>
      </c>
      <c r="L79" s="2179">
        <v>4446</v>
      </c>
      <c r="M79" s="1909" t="s">
        <v>5255</v>
      </c>
      <c r="N79" s="1493"/>
      <c r="O79" s="1859"/>
      <c r="P79" s="1790">
        <v>2</v>
      </c>
      <c r="Q79" s="1495"/>
      <c r="R79" s="1495"/>
      <c r="S79" s="1495"/>
      <c r="T79" s="1748"/>
      <c r="U79" s="1548"/>
      <c r="V79" s="1548"/>
      <c r="W79" s="1548"/>
      <c r="X79" s="1493"/>
      <c r="Y79" s="1493"/>
      <c r="Z79" s="1493"/>
    </row>
    <row r="80" spans="1:26" s="1467" customFormat="1" ht="58.6" customHeight="1">
      <c r="A80" s="3770"/>
      <c r="B80" s="1543" t="str">
        <f t="shared" si="2"/>
        <v>2000003107</v>
      </c>
      <c r="C80" s="1493" t="s">
        <v>4254</v>
      </c>
      <c r="D80" s="1494"/>
      <c r="E80" s="1495"/>
      <c r="F80" s="1493" t="s">
        <v>14</v>
      </c>
      <c r="G80" s="1495"/>
      <c r="H80" s="1495"/>
      <c r="I80" s="1495" t="s">
        <v>65</v>
      </c>
      <c r="J80" s="1493" t="s">
        <v>164</v>
      </c>
      <c r="K80" s="1548" t="s">
        <v>9026</v>
      </c>
      <c r="L80" s="1548">
        <v>100</v>
      </c>
      <c r="M80" s="2196" t="s">
        <v>5230</v>
      </c>
      <c r="N80" s="1493"/>
      <c r="O80" s="1859"/>
      <c r="P80" s="1790">
        <v>2</v>
      </c>
      <c r="Q80" s="1495"/>
      <c r="R80" s="1495"/>
      <c r="S80" s="1495"/>
      <c r="T80" s="1909"/>
      <c r="U80" s="1548"/>
      <c r="V80" s="1548"/>
      <c r="W80" s="1548"/>
      <c r="X80" s="1493"/>
      <c r="Y80" s="1493"/>
      <c r="Z80" s="1493"/>
    </row>
    <row r="81" spans="1:26" s="1467" customFormat="1" ht="58.6" customHeight="1">
      <c r="A81" s="3770"/>
      <c r="B81" s="1543" t="str">
        <f t="shared" si="2"/>
        <v>2000003091</v>
      </c>
      <c r="C81" s="1493" t="s">
        <v>4254</v>
      </c>
      <c r="D81" s="1494"/>
      <c r="E81" s="1495"/>
      <c r="F81" s="1493" t="s">
        <v>14</v>
      </c>
      <c r="G81" s="1495"/>
      <c r="H81" s="1495"/>
      <c r="I81" s="1495" t="s">
        <v>65</v>
      </c>
      <c r="J81" s="1493" t="s">
        <v>164</v>
      </c>
      <c r="K81" s="1548" t="s">
        <v>9027</v>
      </c>
      <c r="L81" s="2183">
        <v>3200</v>
      </c>
      <c r="M81" s="2196" t="s">
        <v>5701</v>
      </c>
      <c r="N81" s="1493"/>
      <c r="O81" s="1859"/>
      <c r="P81" s="1790">
        <v>2</v>
      </c>
      <c r="Q81" s="1495"/>
      <c r="R81" s="1495"/>
      <c r="S81" s="1495"/>
      <c r="T81" s="1909"/>
      <c r="U81" s="1548"/>
      <c r="V81" s="1548"/>
      <c r="W81" s="1548"/>
      <c r="X81" s="1493"/>
      <c r="Y81" s="1493"/>
      <c r="Z81" s="1493"/>
    </row>
    <row r="82" spans="1:26" s="1467" customFormat="1" ht="58.6" customHeight="1">
      <c r="A82" s="3769"/>
      <c r="B82" s="1543" t="str">
        <f t="shared" si="2"/>
        <v>2000003086</v>
      </c>
      <c r="C82" s="1493" t="s">
        <v>4254</v>
      </c>
      <c r="D82" s="1494"/>
      <c r="E82" s="1495"/>
      <c r="F82" s="1493" t="s">
        <v>14</v>
      </c>
      <c r="G82" s="1495"/>
      <c r="H82" s="1495"/>
      <c r="I82" s="1495" t="s">
        <v>65</v>
      </c>
      <c r="J82" s="1495" t="s">
        <v>164</v>
      </c>
      <c r="K82" s="1547" t="s">
        <v>9028</v>
      </c>
      <c r="L82" s="2357">
        <v>6022</v>
      </c>
      <c r="M82" s="1748" t="s">
        <v>5255</v>
      </c>
      <c r="N82" s="1493"/>
      <c r="O82" s="1859"/>
      <c r="P82" s="1790">
        <v>2</v>
      </c>
      <c r="Q82" s="1495"/>
      <c r="R82" s="1495"/>
      <c r="S82" s="1495"/>
      <c r="T82" s="1909"/>
      <c r="U82" s="1548"/>
      <c r="V82" s="1548"/>
      <c r="W82" s="1548"/>
      <c r="X82" s="1493"/>
      <c r="Y82" s="1493"/>
      <c r="Z82" s="1493"/>
    </row>
    <row r="83" spans="1:26" s="2643" customFormat="1" ht="90" customHeight="1">
      <c r="A83" s="3768">
        <v>20</v>
      </c>
      <c r="B83" s="2187" t="str">
        <f t="shared" si="2"/>
        <v>2200002069</v>
      </c>
      <c r="C83" s="1902" t="s">
        <v>5335</v>
      </c>
      <c r="D83" s="2607">
        <v>4300</v>
      </c>
      <c r="E83" s="1921" t="s">
        <v>9029</v>
      </c>
      <c r="F83" s="1902" t="s">
        <v>24</v>
      </c>
      <c r="G83" s="1921" t="s">
        <v>9030</v>
      </c>
      <c r="H83" s="1921"/>
      <c r="I83" s="1921" t="s">
        <v>65</v>
      </c>
      <c r="J83" s="1921" t="s">
        <v>1179</v>
      </c>
      <c r="K83" s="1845" t="s">
        <v>9031</v>
      </c>
      <c r="L83" s="2583">
        <v>3740</v>
      </c>
      <c r="M83" s="1909" t="s">
        <v>9032</v>
      </c>
      <c r="N83" s="1902" t="s">
        <v>5282</v>
      </c>
      <c r="O83" s="1775"/>
      <c r="P83" s="2429">
        <v>2</v>
      </c>
      <c r="Q83" s="1921"/>
      <c r="R83" s="1921"/>
      <c r="S83" s="1921"/>
      <c r="T83" s="1909"/>
      <c r="U83" s="2150"/>
      <c r="V83" s="2150"/>
      <c r="W83" s="2150"/>
      <c r="X83" s="1902"/>
      <c r="Y83" s="1902"/>
      <c r="Z83" s="1902"/>
    </row>
    <row r="84" spans="1:26" s="2643" customFormat="1" ht="58.6" customHeight="1">
      <c r="A84" s="3769"/>
      <c r="B84" s="2187" t="str">
        <f t="shared" si="2"/>
        <v>2200002065</v>
      </c>
      <c r="C84" s="1493" t="s">
        <v>5335</v>
      </c>
      <c r="D84" s="1494"/>
      <c r="E84" s="1495"/>
      <c r="F84" s="1493" t="s">
        <v>24</v>
      </c>
      <c r="G84" s="1495"/>
      <c r="H84" s="1495"/>
      <c r="I84" s="1493" t="s">
        <v>65</v>
      </c>
      <c r="J84" s="1495" t="s">
        <v>1179</v>
      </c>
      <c r="K84" s="1600" t="s">
        <v>9033</v>
      </c>
      <c r="L84" s="2357">
        <v>569</v>
      </c>
      <c r="M84" s="1748" t="s">
        <v>5255</v>
      </c>
      <c r="N84" s="1493"/>
      <c r="O84" s="1859"/>
      <c r="P84" s="1790">
        <v>2</v>
      </c>
      <c r="Q84" s="1495"/>
      <c r="R84" s="1495"/>
      <c r="S84" s="1495"/>
      <c r="T84" s="1909"/>
      <c r="U84" s="1548"/>
      <c r="V84" s="1548"/>
      <c r="W84" s="1548"/>
      <c r="X84" s="1493"/>
      <c r="Y84" s="1493"/>
      <c r="Z84" s="1493"/>
    </row>
    <row r="85" spans="1:26" s="2643" customFormat="1" ht="58.6" customHeight="1">
      <c r="A85" s="3771">
        <v>21</v>
      </c>
      <c r="B85" s="2187" t="str">
        <f t="shared" si="2"/>
        <v>2200002066</v>
      </c>
      <c r="C85" s="1902" t="s">
        <v>3595</v>
      </c>
      <c r="D85" s="2607">
        <v>4300</v>
      </c>
      <c r="E85" s="1921" t="s">
        <v>9034</v>
      </c>
      <c r="F85" s="1902" t="s">
        <v>22</v>
      </c>
      <c r="G85" s="1921" t="s">
        <v>9035</v>
      </c>
      <c r="H85" s="1921"/>
      <c r="I85" s="1921" t="s">
        <v>65</v>
      </c>
      <c r="J85" s="1921" t="s">
        <v>1179</v>
      </c>
      <c r="K85" s="1911" t="s">
        <v>9036</v>
      </c>
      <c r="L85" s="2583">
        <v>947</v>
      </c>
      <c r="M85" s="1902" t="s">
        <v>9037</v>
      </c>
      <c r="N85" s="1902"/>
      <c r="O85" s="1775"/>
      <c r="P85" s="2429">
        <v>3</v>
      </c>
      <c r="Q85" s="1921"/>
      <c r="R85" s="1921"/>
      <c r="S85" s="1921"/>
      <c r="T85" s="1909"/>
      <c r="U85" s="2150"/>
      <c r="V85" s="2150"/>
      <c r="W85" s="2150"/>
      <c r="X85" s="1902"/>
      <c r="Y85" s="1902"/>
      <c r="Z85" s="1902"/>
    </row>
    <row r="86" spans="1:26" s="2643" customFormat="1" ht="58.6" customHeight="1">
      <c r="A86" s="3772"/>
      <c r="B86" s="1543" t="str">
        <f t="shared" si="2"/>
        <v>2200002067</v>
      </c>
      <c r="C86" s="1493" t="s">
        <v>3595</v>
      </c>
      <c r="D86" s="1494"/>
      <c r="E86" s="1495"/>
      <c r="F86" s="1493" t="s">
        <v>22</v>
      </c>
      <c r="G86" s="1495"/>
      <c r="H86" s="1495"/>
      <c r="I86" s="1495" t="s">
        <v>65</v>
      </c>
      <c r="J86" s="1921" t="s">
        <v>1179</v>
      </c>
      <c r="K86" s="1547" t="s">
        <v>9038</v>
      </c>
      <c r="L86" s="2357">
        <v>504</v>
      </c>
      <c r="M86" s="1493" t="s">
        <v>9039</v>
      </c>
      <c r="N86" s="1493"/>
      <c r="O86" s="1859"/>
      <c r="P86" s="1790">
        <v>3</v>
      </c>
      <c r="Q86" s="1495"/>
      <c r="R86" s="1495"/>
      <c r="S86" s="1495"/>
      <c r="T86" s="1909"/>
      <c r="U86" s="1548"/>
      <c r="V86" s="1548"/>
      <c r="W86" s="1548"/>
      <c r="X86" s="1493"/>
      <c r="Y86" s="1493"/>
      <c r="Z86" s="1493"/>
    </row>
    <row r="87" spans="1:26" s="2643" customFormat="1" ht="58.6" customHeight="1">
      <c r="A87" s="3773"/>
      <c r="B87" s="1543" t="str">
        <f t="shared" si="2"/>
        <v>2000003132</v>
      </c>
      <c r="C87" s="1493" t="s">
        <v>3595</v>
      </c>
      <c r="D87" s="1494"/>
      <c r="E87" s="1495"/>
      <c r="F87" s="1493" t="s">
        <v>22</v>
      </c>
      <c r="G87" s="1495"/>
      <c r="H87" s="1495"/>
      <c r="I87" s="1493" t="s">
        <v>65</v>
      </c>
      <c r="J87" s="1921" t="s">
        <v>1179</v>
      </c>
      <c r="K87" s="1547" t="s">
        <v>9040</v>
      </c>
      <c r="L87" s="2357">
        <v>3000</v>
      </c>
      <c r="M87" s="2196" t="s">
        <v>5230</v>
      </c>
      <c r="N87" s="1493"/>
      <c r="O87" s="1843"/>
      <c r="P87" s="1790">
        <v>3</v>
      </c>
      <c r="Q87" s="1495"/>
      <c r="R87" s="1495"/>
      <c r="S87" s="1495"/>
      <c r="T87" s="1909"/>
      <c r="U87" s="1548"/>
      <c r="V87" s="1548"/>
      <c r="W87" s="1548"/>
      <c r="X87" s="1493"/>
      <c r="Y87" s="1493"/>
      <c r="Z87" s="1493"/>
    </row>
    <row r="88" spans="1:26" s="2643" customFormat="1" ht="58.6" customHeight="1">
      <c r="A88" s="3768">
        <v>22</v>
      </c>
      <c r="B88" s="2187" t="str">
        <f t="shared" si="2"/>
        <v>2200002070</v>
      </c>
      <c r="C88" s="1902" t="s">
        <v>9041</v>
      </c>
      <c r="D88" s="2607">
        <v>3550</v>
      </c>
      <c r="E88" s="1921" t="s">
        <v>9034</v>
      </c>
      <c r="F88" s="1902" t="s">
        <v>22</v>
      </c>
      <c r="G88" s="1921" t="s">
        <v>9042</v>
      </c>
      <c r="H88" s="1921"/>
      <c r="I88" s="1921" t="s">
        <v>65</v>
      </c>
      <c r="J88" s="1921" t="s">
        <v>1000</v>
      </c>
      <c r="K88" s="1845" t="s">
        <v>9043</v>
      </c>
      <c r="L88" s="2583">
        <v>890</v>
      </c>
      <c r="M88" s="2196" t="s">
        <v>9044</v>
      </c>
      <c r="N88" s="1493"/>
      <c r="O88" s="1859"/>
      <c r="P88" s="1790">
        <v>2</v>
      </c>
      <c r="Q88" s="1495"/>
      <c r="R88" s="1495"/>
      <c r="S88" s="1495"/>
      <c r="T88" s="1909"/>
      <c r="U88" s="1548"/>
      <c r="V88" s="1548"/>
      <c r="W88" s="1548"/>
      <c r="X88" s="1493"/>
      <c r="Y88" s="1493"/>
      <c r="Z88" s="1493"/>
    </row>
    <row r="89" spans="1:26" s="2643" customFormat="1" ht="58.6" customHeight="1">
      <c r="A89" s="3769"/>
      <c r="B89" s="2187" t="str">
        <f t="shared" si="2"/>
        <v>2200002073</v>
      </c>
      <c r="C89" s="1493" t="s">
        <v>9041</v>
      </c>
      <c r="D89" s="1494"/>
      <c r="E89" s="1495"/>
      <c r="F89" s="1493" t="s">
        <v>22</v>
      </c>
      <c r="G89" s="1495"/>
      <c r="H89" s="1495"/>
      <c r="I89" s="1495" t="s">
        <v>65</v>
      </c>
      <c r="J89" s="1921" t="s">
        <v>1000</v>
      </c>
      <c r="K89" s="1600" t="s">
        <v>9045</v>
      </c>
      <c r="L89" s="2357">
        <v>2700</v>
      </c>
      <c r="M89" s="2196" t="s">
        <v>9044</v>
      </c>
      <c r="N89" s="1493"/>
      <c r="O89" s="1859"/>
      <c r="P89" s="1790">
        <v>2</v>
      </c>
      <c r="Q89" s="1495"/>
      <c r="R89" s="1495"/>
      <c r="S89" s="1495"/>
      <c r="T89" s="1909"/>
      <c r="U89" s="1548"/>
      <c r="V89" s="1548"/>
      <c r="W89" s="1548"/>
      <c r="X89" s="1493"/>
      <c r="Y89" s="1493"/>
      <c r="Z89" s="1493"/>
    </row>
    <row r="90" spans="1:26" s="1467" customFormat="1" ht="63.7" customHeight="1">
      <c r="A90" s="3768">
        <v>23</v>
      </c>
      <c r="B90" s="2187" t="str">
        <f t="shared" si="2"/>
        <v>2000003106</v>
      </c>
      <c r="C90" s="1545" t="s">
        <v>3494</v>
      </c>
      <c r="D90" s="2456">
        <v>8800</v>
      </c>
      <c r="E90" s="2187" t="s">
        <v>9046</v>
      </c>
      <c r="F90" s="2263" t="s">
        <v>16</v>
      </c>
      <c r="G90" s="2187" t="s">
        <v>9047</v>
      </c>
      <c r="H90" s="2187"/>
      <c r="I90" s="1921" t="s">
        <v>65</v>
      </c>
      <c r="J90" s="2187" t="s">
        <v>164</v>
      </c>
      <c r="K90" s="1605" t="s">
        <v>9048</v>
      </c>
      <c r="L90" s="2564">
        <v>1000</v>
      </c>
      <c r="M90" s="2261" t="s">
        <v>5255</v>
      </c>
      <c r="N90" s="2263"/>
      <c r="O90" s="2565"/>
      <c r="P90" s="2626">
        <v>2</v>
      </c>
      <c r="Q90" s="2187"/>
      <c r="R90" s="2187"/>
      <c r="S90" s="2187"/>
      <c r="T90" s="2261"/>
      <c r="U90" s="2127"/>
      <c r="V90" s="2127"/>
      <c r="W90" s="2127"/>
      <c r="X90" s="2263"/>
      <c r="Y90" s="2263"/>
      <c r="Z90" s="2263"/>
    </row>
    <row r="91" spans="1:26" s="1467" customFormat="1" ht="63.7" customHeight="1">
      <c r="A91" s="3770"/>
      <c r="B91" s="1543" t="str">
        <f t="shared" si="2"/>
        <v>2000003109</v>
      </c>
      <c r="C91" s="1545" t="s">
        <v>3494</v>
      </c>
      <c r="D91" s="1494"/>
      <c r="E91" s="1495"/>
      <c r="F91" s="1545" t="s">
        <v>16</v>
      </c>
      <c r="G91" s="1495"/>
      <c r="H91" s="1495"/>
      <c r="I91" s="1493" t="s">
        <v>65</v>
      </c>
      <c r="J91" s="1495" t="s">
        <v>164</v>
      </c>
      <c r="K91" s="1547" t="s">
        <v>9049</v>
      </c>
      <c r="L91" s="2357">
        <v>3000</v>
      </c>
      <c r="M91" s="2196" t="s">
        <v>5230</v>
      </c>
      <c r="N91" s="1493"/>
      <c r="O91" s="1843"/>
      <c r="P91" s="1790">
        <v>2</v>
      </c>
      <c r="Q91" s="1495"/>
      <c r="R91" s="1495"/>
      <c r="S91" s="1495"/>
      <c r="T91" s="1909"/>
      <c r="U91" s="1548"/>
      <c r="V91" s="1548"/>
      <c r="W91" s="1548"/>
      <c r="X91" s="1493"/>
      <c r="Y91" s="1493"/>
      <c r="Z91" s="1493"/>
    </row>
    <row r="92" spans="1:26" s="1467" customFormat="1" ht="63.7" customHeight="1">
      <c r="A92" s="3770"/>
      <c r="B92" s="1543" t="str">
        <f t="shared" si="2"/>
        <v>2000003121</v>
      </c>
      <c r="C92" s="1545" t="s">
        <v>3494</v>
      </c>
      <c r="D92" s="2456"/>
      <c r="E92" s="2187"/>
      <c r="F92" s="1545" t="s">
        <v>16</v>
      </c>
      <c r="G92" s="2187"/>
      <c r="H92" s="1495"/>
      <c r="I92" s="1493" t="s">
        <v>65</v>
      </c>
      <c r="J92" s="1495" t="s">
        <v>164</v>
      </c>
      <c r="K92" s="2873" t="s">
        <v>9050</v>
      </c>
      <c r="L92" s="2357">
        <v>4700</v>
      </c>
      <c r="M92" s="2196" t="s">
        <v>9051</v>
      </c>
      <c r="N92" s="1493"/>
      <c r="O92" s="1859"/>
      <c r="P92" s="1790">
        <v>2</v>
      </c>
      <c r="Q92" s="1495"/>
      <c r="R92" s="1495"/>
      <c r="S92" s="1495"/>
      <c r="T92" s="1909"/>
      <c r="U92" s="1548"/>
      <c r="V92" s="1548"/>
      <c r="W92" s="1548"/>
      <c r="X92" s="1493"/>
      <c r="Y92" s="1493"/>
      <c r="Z92" s="1493"/>
    </row>
    <row r="93" spans="1:26" s="1467" customFormat="1" ht="63.7" customHeight="1">
      <c r="A93" s="3769"/>
      <c r="B93" s="1543" t="str">
        <f t="shared" si="2"/>
        <v>2000003124</v>
      </c>
      <c r="C93" s="1545" t="s">
        <v>3494</v>
      </c>
      <c r="D93" s="1494"/>
      <c r="E93" s="1495"/>
      <c r="F93" s="1545" t="s">
        <v>16</v>
      </c>
      <c r="G93" s="1495"/>
      <c r="H93" s="1495"/>
      <c r="I93" s="1493" t="s">
        <v>65</v>
      </c>
      <c r="J93" s="1495" t="s">
        <v>164</v>
      </c>
      <c r="K93" s="1547" t="s">
        <v>9052</v>
      </c>
      <c r="L93" s="2357">
        <v>100</v>
      </c>
      <c r="M93" s="2196" t="s">
        <v>5230</v>
      </c>
      <c r="N93" s="1493"/>
      <c r="O93" s="1859"/>
      <c r="P93" s="1790">
        <v>2</v>
      </c>
      <c r="Q93" s="1495"/>
      <c r="R93" s="1495"/>
      <c r="S93" s="1495"/>
      <c r="T93" s="1909"/>
      <c r="U93" s="1548"/>
      <c r="V93" s="1548"/>
      <c r="W93" s="1548"/>
      <c r="X93" s="1493"/>
      <c r="Y93" s="1493"/>
      <c r="Z93" s="1493"/>
    </row>
    <row r="94" spans="1:26" s="1467" customFormat="1" ht="63.7" customHeight="1">
      <c r="A94" s="3771">
        <v>24</v>
      </c>
      <c r="B94" s="2187" t="str">
        <f t="shared" si="2"/>
        <v>2000003089</v>
      </c>
      <c r="C94" s="1902" t="s">
        <v>5570</v>
      </c>
      <c r="D94" s="2607">
        <v>4350</v>
      </c>
      <c r="E94" s="1921" t="s">
        <v>9053</v>
      </c>
      <c r="F94" s="1902" t="s">
        <v>20</v>
      </c>
      <c r="G94" s="1921" t="s">
        <v>9054</v>
      </c>
      <c r="H94" s="1921"/>
      <c r="I94" s="1902" t="s">
        <v>65</v>
      </c>
      <c r="J94" s="1902" t="s">
        <v>142</v>
      </c>
      <c r="K94" s="1911" t="s">
        <v>9055</v>
      </c>
      <c r="L94" s="2583">
        <v>1380</v>
      </c>
      <c r="M94" s="2196" t="s">
        <v>5230</v>
      </c>
      <c r="N94" s="1902"/>
      <c r="O94" s="1775"/>
      <c r="P94" s="2429">
        <v>3</v>
      </c>
      <c r="Q94" s="1921"/>
      <c r="R94" s="1921"/>
      <c r="S94" s="1921"/>
      <c r="T94" s="1909"/>
      <c r="U94" s="2150"/>
      <c r="V94" s="2150"/>
      <c r="W94" s="2150"/>
      <c r="X94" s="1902"/>
      <c r="Y94" s="1902"/>
      <c r="Z94" s="1902"/>
    </row>
    <row r="95" spans="1:26" s="1467" customFormat="1" ht="58.6" customHeight="1">
      <c r="A95" s="3773"/>
      <c r="B95" s="1543" t="str">
        <f t="shared" ref="B95:B126" si="3">TEXT(LEFT(K95,10),"0000000000")</f>
        <v>2000003147</v>
      </c>
      <c r="C95" s="1493" t="s">
        <v>5570</v>
      </c>
      <c r="D95" s="1494"/>
      <c r="E95" s="1495"/>
      <c r="F95" s="1493" t="s">
        <v>20</v>
      </c>
      <c r="G95" s="1495"/>
      <c r="H95" s="1495"/>
      <c r="I95" s="1495" t="s">
        <v>65</v>
      </c>
      <c r="J95" s="1495" t="s">
        <v>117</v>
      </c>
      <c r="K95" s="1547" t="s">
        <v>9056</v>
      </c>
      <c r="L95" s="2357">
        <v>3000</v>
      </c>
      <c r="M95" s="1493" t="s">
        <v>9057</v>
      </c>
      <c r="N95" s="1493"/>
      <c r="O95" s="1859"/>
      <c r="P95" s="1790">
        <v>3</v>
      </c>
      <c r="Q95" s="1495"/>
      <c r="R95" s="1495"/>
      <c r="S95" s="1495"/>
      <c r="T95" s="1909"/>
      <c r="U95" s="1548"/>
      <c r="V95" s="1548"/>
      <c r="W95" s="1548"/>
      <c r="X95" s="1493"/>
      <c r="Y95" s="1493"/>
      <c r="Z95" s="1493"/>
    </row>
    <row r="96" spans="1:26" s="1467" customFormat="1" ht="58.6" customHeight="1">
      <c r="A96" s="3768">
        <v>25</v>
      </c>
      <c r="B96" s="2419" t="str">
        <f t="shared" si="3"/>
        <v>2000003089</v>
      </c>
      <c r="C96" s="1902" t="s">
        <v>97</v>
      </c>
      <c r="D96" s="2607">
        <v>4620</v>
      </c>
      <c r="E96" s="1921" t="s">
        <v>9058</v>
      </c>
      <c r="F96" s="1902" t="s">
        <v>14</v>
      </c>
      <c r="G96" s="1921" t="s">
        <v>9059</v>
      </c>
      <c r="H96" s="1921"/>
      <c r="I96" s="1921" t="s">
        <v>65</v>
      </c>
      <c r="J96" s="1921" t="s">
        <v>142</v>
      </c>
      <c r="K96" s="1911" t="s">
        <v>9060</v>
      </c>
      <c r="L96" s="2583">
        <v>1120</v>
      </c>
      <c r="M96" s="2196" t="s">
        <v>5230</v>
      </c>
      <c r="N96" s="1493"/>
      <c r="O96" s="1547"/>
      <c r="P96" s="1493">
        <v>2</v>
      </c>
      <c r="Q96" s="1495"/>
      <c r="R96" s="1495"/>
      <c r="S96" s="1495"/>
      <c r="T96" s="1495"/>
      <c r="U96" s="1548"/>
      <c r="V96" s="1548"/>
      <c r="W96" s="1548"/>
      <c r="X96" s="1493"/>
      <c r="Y96" s="1493"/>
      <c r="Z96" s="1493"/>
    </row>
    <row r="97" spans="1:26" s="1467" customFormat="1" ht="58.6" customHeight="1">
      <c r="A97" s="3770"/>
      <c r="B97" s="1900" t="str">
        <f t="shared" si="3"/>
        <v>2200002015</v>
      </c>
      <c r="C97" s="1493" t="s">
        <v>97</v>
      </c>
      <c r="D97" s="1494"/>
      <c r="E97" s="1495"/>
      <c r="F97" s="1493" t="s">
        <v>14</v>
      </c>
      <c r="G97" s="1495"/>
      <c r="H97" s="1495"/>
      <c r="I97" s="1495" t="s">
        <v>65</v>
      </c>
      <c r="J97" s="1495" t="s">
        <v>117</v>
      </c>
      <c r="K97" s="1911" t="s">
        <v>9013</v>
      </c>
      <c r="L97" s="2583">
        <v>100</v>
      </c>
      <c r="M97" s="1921" t="s">
        <v>5392</v>
      </c>
      <c r="N97" s="1493"/>
      <c r="O97" s="1547"/>
      <c r="P97" s="1493">
        <v>2</v>
      </c>
      <c r="Q97" s="1495"/>
      <c r="R97" s="1495"/>
      <c r="S97" s="1495"/>
      <c r="T97" s="1495"/>
      <c r="U97" s="1548"/>
      <c r="V97" s="1548"/>
      <c r="W97" s="1548"/>
      <c r="X97" s="1493"/>
      <c r="Y97" s="1493"/>
      <c r="Z97" s="1493"/>
    </row>
    <row r="98" spans="1:26" s="1467" customFormat="1" ht="58.6" customHeight="1">
      <c r="A98" s="3770"/>
      <c r="B98" s="1543" t="str">
        <f t="shared" si="3"/>
        <v>2000002964</v>
      </c>
      <c r="C98" s="1493" t="s">
        <v>97</v>
      </c>
      <c r="D98" s="1494"/>
      <c r="E98" s="1495"/>
      <c r="F98" s="1493" t="s">
        <v>14</v>
      </c>
      <c r="G98" s="1495"/>
      <c r="H98" s="1495"/>
      <c r="I98" s="1495" t="s">
        <v>65</v>
      </c>
      <c r="J98" s="1495" t="s">
        <v>117</v>
      </c>
      <c r="K98" s="1600" t="s">
        <v>9061</v>
      </c>
      <c r="L98" s="2357">
        <v>1800</v>
      </c>
      <c r="M98" s="2196" t="s">
        <v>5230</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6" customHeight="1">
      <c r="A99" s="3770"/>
      <c r="B99" s="1900" t="str">
        <f t="shared" si="3"/>
        <v>2000003091</v>
      </c>
      <c r="C99" s="1493" t="s">
        <v>97</v>
      </c>
      <c r="D99" s="1494"/>
      <c r="E99" s="1495"/>
      <c r="F99" s="1493" t="s">
        <v>14</v>
      </c>
      <c r="G99" s="1495"/>
      <c r="H99" s="1748"/>
      <c r="I99" s="1495" t="s">
        <v>65</v>
      </c>
      <c r="J99" s="1495" t="s">
        <v>164</v>
      </c>
      <c r="K99" s="1600" t="s">
        <v>9027</v>
      </c>
      <c r="L99" s="2357">
        <v>1300</v>
      </c>
      <c r="M99" s="2196" t="s">
        <v>5230</v>
      </c>
      <c r="N99" s="1493"/>
      <c r="O99" s="1859"/>
      <c r="P99" s="1790">
        <v>2</v>
      </c>
      <c r="Q99" s="1495"/>
      <c r="R99" s="1495"/>
      <c r="S99" s="1495"/>
      <c r="T99" s="1909"/>
      <c r="U99" s="1548"/>
      <c r="V99" s="1548"/>
      <c r="W99" s="1548"/>
      <c r="X99" s="1493"/>
      <c r="Y99" s="1493"/>
      <c r="Z99" s="1493"/>
    </row>
    <row r="100" spans="1:26" s="1467" customFormat="1" ht="58.6" customHeight="1">
      <c r="A100" s="3770"/>
      <c r="B100" s="1900" t="str">
        <f t="shared" si="3"/>
        <v>2000003115</v>
      </c>
      <c r="C100" s="1493" t="s">
        <v>97</v>
      </c>
      <c r="D100" s="1494"/>
      <c r="E100" s="1495"/>
      <c r="F100" s="1493" t="s">
        <v>14</v>
      </c>
      <c r="G100" s="1495"/>
      <c r="H100" s="1748"/>
      <c r="I100" s="1495" t="s">
        <v>65</v>
      </c>
      <c r="J100" s="1495" t="s">
        <v>164</v>
      </c>
      <c r="K100" s="1600" t="s">
        <v>9062</v>
      </c>
      <c r="L100" s="2357">
        <v>300</v>
      </c>
      <c r="M100" s="1790" t="s">
        <v>5255</v>
      </c>
      <c r="N100" s="1493"/>
      <c r="O100" s="1859"/>
      <c r="P100" s="1790">
        <v>2</v>
      </c>
      <c r="Q100" s="1495"/>
      <c r="R100" s="1495"/>
      <c r="S100" s="1495"/>
      <c r="T100" s="1909"/>
      <c r="U100" s="1548"/>
      <c r="V100" s="1548"/>
      <c r="W100" s="1548"/>
      <c r="X100" s="1493"/>
      <c r="Y100" s="1493"/>
      <c r="Z100" s="1493"/>
    </row>
    <row r="101" spans="1:26" s="1467" customFormat="1" ht="58.6" customHeight="1">
      <c r="A101" s="3768">
        <v>26</v>
      </c>
      <c r="B101" s="2187" t="str">
        <f t="shared" si="3"/>
        <v>2000003110</v>
      </c>
      <c r="C101" s="2263" t="s">
        <v>3361</v>
      </c>
      <c r="D101" s="2607">
        <v>8700</v>
      </c>
      <c r="E101" s="1921" t="s">
        <v>9063</v>
      </c>
      <c r="F101" s="2263" t="s">
        <v>14</v>
      </c>
      <c r="G101" s="1921" t="s">
        <v>9064</v>
      </c>
      <c r="H101" s="1921"/>
      <c r="I101" s="1902" t="s">
        <v>65</v>
      </c>
      <c r="J101" s="1921" t="s">
        <v>164</v>
      </c>
      <c r="K101" s="1911" t="s">
        <v>9065</v>
      </c>
      <c r="L101" s="2583">
        <v>2495</v>
      </c>
      <c r="M101" s="2196" t="s">
        <v>5230</v>
      </c>
      <c r="N101" s="1493"/>
      <c r="O101" s="1859"/>
      <c r="P101" s="1790">
        <v>2</v>
      </c>
      <c r="Q101" s="1495"/>
      <c r="R101" s="1495"/>
      <c r="S101" s="1495"/>
      <c r="T101" s="1748"/>
      <c r="U101" s="1548"/>
      <c r="V101" s="1548"/>
      <c r="W101" s="1548"/>
      <c r="X101" s="1493"/>
      <c r="Y101" s="1493"/>
      <c r="Z101" s="1493"/>
    </row>
    <row r="102" spans="1:26" s="1467" customFormat="1" ht="68.3" customHeight="1">
      <c r="A102" s="3770"/>
      <c r="B102" s="1543" t="str">
        <f t="shared" si="3"/>
        <v>2000003111</v>
      </c>
      <c r="C102" s="1545" t="s">
        <v>3361</v>
      </c>
      <c r="D102" s="1494"/>
      <c r="E102" s="1495"/>
      <c r="F102" s="1545" t="s">
        <v>14</v>
      </c>
      <c r="G102" s="1495"/>
      <c r="H102" s="1495"/>
      <c r="I102" s="1493" t="s">
        <v>65</v>
      </c>
      <c r="J102" s="1495" t="s">
        <v>164</v>
      </c>
      <c r="K102" s="1547" t="s">
        <v>9066</v>
      </c>
      <c r="L102" s="2357">
        <v>1655.296</v>
      </c>
      <c r="M102" s="2196" t="s">
        <v>5230</v>
      </c>
      <c r="N102" s="1493"/>
      <c r="O102" s="1859"/>
      <c r="P102" s="1790">
        <v>2</v>
      </c>
      <c r="Q102" s="1495"/>
      <c r="R102" s="1495"/>
      <c r="S102" s="1495"/>
      <c r="T102" s="1909"/>
      <c r="U102" s="1548"/>
      <c r="V102" s="1548"/>
      <c r="W102" s="1548"/>
      <c r="X102" s="1493"/>
      <c r="Y102" s="1493"/>
      <c r="Z102" s="1493"/>
    </row>
    <row r="103" spans="1:26" s="1467" customFormat="1" ht="92.25" customHeight="1">
      <c r="A103" s="3769"/>
      <c r="B103" s="1543" t="str">
        <f t="shared" si="3"/>
        <v>2000003121</v>
      </c>
      <c r="C103" s="1545" t="s">
        <v>3361</v>
      </c>
      <c r="D103" s="2607"/>
      <c r="E103" s="1921"/>
      <c r="F103" s="1545" t="s">
        <v>14</v>
      </c>
      <c r="G103" s="1495"/>
      <c r="H103" s="1495"/>
      <c r="I103" s="1493" t="s">
        <v>65</v>
      </c>
      <c r="J103" s="1495" t="s">
        <v>164</v>
      </c>
      <c r="K103" s="1600" t="s">
        <v>9067</v>
      </c>
      <c r="L103" s="2357">
        <v>4530</v>
      </c>
      <c r="M103" s="2196" t="s">
        <v>5230</v>
      </c>
      <c r="N103" s="1493"/>
      <c r="O103" s="1859"/>
      <c r="P103" s="1790">
        <v>3</v>
      </c>
      <c r="Q103" s="1495"/>
      <c r="R103" s="1495"/>
      <c r="S103" s="1495"/>
      <c r="T103" s="1909"/>
      <c r="U103" s="1548"/>
      <c r="V103" s="1548"/>
      <c r="W103" s="1548"/>
      <c r="X103" s="1493"/>
      <c r="Y103" s="1493"/>
      <c r="Z103" s="1493"/>
    </row>
    <row r="104" spans="1:26" s="2150" customFormat="1" ht="58.6" customHeight="1">
      <c r="A104" s="3768">
        <v>27</v>
      </c>
      <c r="B104" s="2187" t="str">
        <f t="shared" si="3"/>
        <v>2400001223</v>
      </c>
      <c r="C104" s="1902" t="s">
        <v>9068</v>
      </c>
      <c r="D104" s="2607">
        <f>SUM(L104:L119)</f>
        <v>18782</v>
      </c>
      <c r="E104" s="1921" t="s">
        <v>9069</v>
      </c>
      <c r="F104" s="1902" t="s">
        <v>38</v>
      </c>
      <c r="G104" s="1921" t="s">
        <v>9070</v>
      </c>
      <c r="H104" s="1921"/>
      <c r="I104" s="1921" t="s">
        <v>65</v>
      </c>
      <c r="J104" s="1921" t="s">
        <v>3552</v>
      </c>
      <c r="K104" s="1911" t="s">
        <v>9071</v>
      </c>
      <c r="L104" s="2583">
        <v>1325</v>
      </c>
      <c r="M104" s="1909" t="s">
        <v>9072</v>
      </c>
      <c r="N104" s="1902"/>
      <c r="O104" s="1775"/>
      <c r="P104" s="1790">
        <v>2</v>
      </c>
      <c r="Q104" s="1921"/>
      <c r="R104" s="1921"/>
      <c r="S104" s="1921"/>
      <c r="T104" s="1909"/>
      <c r="X104" s="1902"/>
      <c r="Y104" s="1902"/>
      <c r="Z104" s="1902"/>
    </row>
    <row r="105" spans="1:26" s="1548" customFormat="1" ht="58.6" customHeight="1">
      <c r="A105" s="3770"/>
      <c r="B105" s="1543" t="str">
        <f t="shared" si="3"/>
        <v>2400001225</v>
      </c>
      <c r="C105" s="1493" t="s">
        <v>9068</v>
      </c>
      <c r="D105" s="1494"/>
      <c r="E105" s="1495"/>
      <c r="F105" s="1493" t="s">
        <v>38</v>
      </c>
      <c r="G105" s="1495"/>
      <c r="H105" s="1495"/>
      <c r="I105" s="1495" t="s">
        <v>65</v>
      </c>
      <c r="J105" s="1495" t="s">
        <v>3552</v>
      </c>
      <c r="K105" s="1547" t="s">
        <v>9073</v>
      </c>
      <c r="L105" s="2357"/>
      <c r="M105" s="1748" t="s">
        <v>9074</v>
      </c>
      <c r="N105" s="1493"/>
      <c r="O105" s="1859"/>
      <c r="P105" s="1790">
        <v>2</v>
      </c>
      <c r="Q105" s="1495"/>
      <c r="R105" s="1495"/>
      <c r="S105" s="1495"/>
      <c r="T105" s="1909"/>
      <c r="X105" s="1493"/>
      <c r="Y105" s="1493"/>
      <c r="Z105" s="1493"/>
    </row>
    <row r="106" spans="1:26" s="1548" customFormat="1" ht="58.6" customHeight="1">
      <c r="A106" s="3770"/>
      <c r="B106" s="1543" t="str">
        <f t="shared" si="3"/>
        <v>2400001231</v>
      </c>
      <c r="C106" s="1493" t="s">
        <v>9068</v>
      </c>
      <c r="D106" s="1494"/>
      <c r="E106" s="1495"/>
      <c r="F106" s="1493" t="s">
        <v>38</v>
      </c>
      <c r="G106" s="1495"/>
      <c r="H106" s="1495"/>
      <c r="I106" s="1495" t="s">
        <v>65</v>
      </c>
      <c r="J106" s="1495" t="s">
        <v>3552</v>
      </c>
      <c r="K106" s="1547" t="s">
        <v>9075</v>
      </c>
      <c r="L106" s="2357"/>
      <c r="M106" s="1748" t="s">
        <v>9076</v>
      </c>
      <c r="N106" s="1493"/>
      <c r="O106" s="1859"/>
      <c r="P106" s="1790">
        <v>2</v>
      </c>
      <c r="Q106" s="1495"/>
      <c r="R106" s="1495"/>
      <c r="S106" s="1495"/>
      <c r="T106" s="1909"/>
      <c r="X106" s="1493"/>
      <c r="Y106" s="1493"/>
      <c r="Z106" s="1493"/>
    </row>
    <row r="107" spans="1:26" s="1548" customFormat="1" ht="58.6" customHeight="1">
      <c r="A107" s="3770"/>
      <c r="B107" s="1543" t="str">
        <f t="shared" si="3"/>
        <v>2400001227</v>
      </c>
      <c r="C107" s="1493" t="s">
        <v>9068</v>
      </c>
      <c r="D107" s="1494"/>
      <c r="E107" s="1495"/>
      <c r="F107" s="1493" t="s">
        <v>38</v>
      </c>
      <c r="G107" s="1495"/>
      <c r="H107" s="1495"/>
      <c r="I107" s="1495" t="s">
        <v>65</v>
      </c>
      <c r="J107" s="1495" t="s">
        <v>3552</v>
      </c>
      <c r="K107" s="1547" t="s">
        <v>9077</v>
      </c>
      <c r="L107" s="2357">
        <v>10900</v>
      </c>
      <c r="M107" s="1748" t="s">
        <v>5255</v>
      </c>
      <c r="N107" s="1493"/>
      <c r="O107" s="1859"/>
      <c r="P107" s="1790">
        <v>2</v>
      </c>
      <c r="Q107" s="1495"/>
      <c r="R107" s="1495"/>
      <c r="S107" s="1495"/>
      <c r="T107" s="1909"/>
      <c r="X107" s="1493"/>
      <c r="Y107" s="1493"/>
      <c r="Z107" s="1493"/>
    </row>
    <row r="108" spans="1:26" s="1548" customFormat="1" ht="58.6" customHeight="1">
      <c r="A108" s="3770"/>
      <c r="B108" s="1543" t="str">
        <f t="shared" si="3"/>
        <v>2400001228</v>
      </c>
      <c r="C108" s="1493" t="s">
        <v>9068</v>
      </c>
      <c r="D108" s="1494"/>
      <c r="E108" s="1495"/>
      <c r="F108" s="1493" t="s">
        <v>38</v>
      </c>
      <c r="G108" s="1495"/>
      <c r="H108" s="1495"/>
      <c r="I108" s="1495" t="s">
        <v>65</v>
      </c>
      <c r="J108" s="1495" t="s">
        <v>3552</v>
      </c>
      <c r="K108" s="1547" t="s">
        <v>9078</v>
      </c>
      <c r="L108" s="2357"/>
      <c r="M108" s="1748" t="s">
        <v>5255</v>
      </c>
      <c r="N108" s="1493"/>
      <c r="O108" s="1859"/>
      <c r="P108" s="1790">
        <v>2</v>
      </c>
      <c r="Q108" s="1495"/>
      <c r="R108" s="1495"/>
      <c r="S108" s="1495"/>
      <c r="T108" s="1909"/>
      <c r="X108" s="1493"/>
      <c r="Y108" s="1493"/>
      <c r="Z108" s="1493"/>
    </row>
    <row r="109" spans="1:26" s="1548" customFormat="1" ht="58.6" customHeight="1">
      <c r="A109" s="3770"/>
      <c r="B109" s="1543" t="str">
        <f t="shared" si="3"/>
        <v>2400001218</v>
      </c>
      <c r="C109" s="1493" t="s">
        <v>9068</v>
      </c>
      <c r="D109" s="1494"/>
      <c r="E109" s="1495"/>
      <c r="F109" s="1493" t="s">
        <v>38</v>
      </c>
      <c r="G109" s="1495"/>
      <c r="H109" s="1495"/>
      <c r="I109" s="1495" t="s">
        <v>65</v>
      </c>
      <c r="J109" s="1495" t="s">
        <v>3552</v>
      </c>
      <c r="K109" s="1547" t="s">
        <v>9079</v>
      </c>
      <c r="L109" s="2357"/>
      <c r="M109" s="1748" t="s">
        <v>5255</v>
      </c>
      <c r="N109" s="1493"/>
      <c r="O109" s="1859"/>
      <c r="P109" s="1790">
        <v>2</v>
      </c>
      <c r="Q109" s="1495"/>
      <c r="R109" s="1495"/>
      <c r="S109" s="1495"/>
      <c r="T109" s="1909"/>
      <c r="X109" s="1493"/>
      <c r="Y109" s="1493"/>
      <c r="Z109" s="1493"/>
    </row>
    <row r="110" spans="1:26" s="1548" customFormat="1" ht="58.6" customHeight="1">
      <c r="A110" s="3770"/>
      <c r="B110" s="1543" t="str">
        <f t="shared" si="3"/>
        <v>2400001222</v>
      </c>
      <c r="C110" s="1493" t="s">
        <v>9068</v>
      </c>
      <c r="D110" s="1494"/>
      <c r="E110" s="1495"/>
      <c r="F110" s="1493" t="s">
        <v>38</v>
      </c>
      <c r="G110" s="1495"/>
      <c r="H110" s="1495"/>
      <c r="I110" s="1495" t="s">
        <v>65</v>
      </c>
      <c r="J110" s="1495" t="s">
        <v>3552</v>
      </c>
      <c r="K110" s="1547" t="s">
        <v>9080</v>
      </c>
      <c r="L110" s="2357">
        <v>200</v>
      </c>
      <c r="M110" s="1748" t="s">
        <v>5255</v>
      </c>
      <c r="N110" s="1493"/>
      <c r="O110" s="1859"/>
      <c r="P110" s="1790">
        <v>2</v>
      </c>
      <c r="Q110" s="1495"/>
      <c r="R110" s="1495"/>
      <c r="S110" s="1495"/>
      <c r="T110" s="1909"/>
      <c r="X110" s="1493"/>
      <c r="Y110" s="1493"/>
      <c r="Z110" s="1493"/>
    </row>
    <row r="111" spans="1:26" s="1548" customFormat="1" ht="58.6" customHeight="1">
      <c r="A111" s="3770"/>
      <c r="B111" s="1543" t="str">
        <f t="shared" si="3"/>
        <v>2400001212</v>
      </c>
      <c r="C111" s="1493" t="s">
        <v>9068</v>
      </c>
      <c r="D111" s="1494"/>
      <c r="E111" s="1495"/>
      <c r="F111" s="1493" t="s">
        <v>38</v>
      </c>
      <c r="G111" s="1495"/>
      <c r="H111" s="1495"/>
      <c r="I111" s="1495" t="s">
        <v>65</v>
      </c>
      <c r="J111" s="1495" t="s">
        <v>3552</v>
      </c>
      <c r="K111" s="1547" t="s">
        <v>9081</v>
      </c>
      <c r="L111" s="2357">
        <v>100</v>
      </c>
      <c r="M111" s="1748" t="s">
        <v>5255</v>
      </c>
      <c r="N111" s="1493"/>
      <c r="O111" s="1859"/>
      <c r="P111" s="1790">
        <v>2</v>
      </c>
      <c r="Q111" s="1495"/>
      <c r="R111" s="1495"/>
      <c r="S111" s="1495"/>
      <c r="T111" s="1909"/>
      <c r="X111" s="1493"/>
      <c r="Y111" s="1493"/>
      <c r="Z111" s="1493"/>
    </row>
    <row r="112" spans="1:26" s="1548" customFormat="1" ht="58.6" customHeight="1">
      <c r="A112" s="3770"/>
      <c r="B112" s="1543" t="str">
        <f t="shared" si="3"/>
        <v>2400001213</v>
      </c>
      <c r="C112" s="1493" t="s">
        <v>9068</v>
      </c>
      <c r="D112" s="1494"/>
      <c r="E112" s="1495"/>
      <c r="F112" s="1493" t="s">
        <v>38</v>
      </c>
      <c r="G112" s="1495"/>
      <c r="H112" s="1495"/>
      <c r="I112" s="1495" t="s">
        <v>65</v>
      </c>
      <c r="J112" s="1495" t="s">
        <v>3552</v>
      </c>
      <c r="K112" s="1547" t="s">
        <v>9082</v>
      </c>
      <c r="L112" s="2357">
        <v>450</v>
      </c>
      <c r="M112" s="1748" t="s">
        <v>9083</v>
      </c>
      <c r="N112" s="1493"/>
      <c r="O112" s="1859"/>
      <c r="P112" s="1790">
        <v>2</v>
      </c>
      <c r="Q112" s="1495"/>
      <c r="R112" s="1495"/>
      <c r="S112" s="1495"/>
      <c r="T112" s="1909"/>
      <c r="X112" s="1493"/>
      <c r="Y112" s="1493"/>
      <c r="Z112" s="1493"/>
    </row>
    <row r="113" spans="1:26" s="1548" customFormat="1" ht="58.6" customHeight="1">
      <c r="A113" s="3770"/>
      <c r="B113" s="1543" t="str">
        <f t="shared" si="3"/>
        <v>2400001214</v>
      </c>
      <c r="C113" s="1493" t="s">
        <v>9068</v>
      </c>
      <c r="D113" s="1494"/>
      <c r="E113" s="1495"/>
      <c r="F113" s="1493" t="s">
        <v>38</v>
      </c>
      <c r="G113" s="1495"/>
      <c r="H113" s="1495"/>
      <c r="I113" s="1495" t="s">
        <v>65</v>
      </c>
      <c r="J113" s="1495" t="s">
        <v>3552</v>
      </c>
      <c r="K113" s="1547" t="s">
        <v>9084</v>
      </c>
      <c r="L113" s="2357">
        <v>450</v>
      </c>
      <c r="M113" s="1748" t="s">
        <v>5255</v>
      </c>
      <c r="N113" s="1493"/>
      <c r="O113" s="1859"/>
      <c r="P113" s="1790">
        <v>2</v>
      </c>
      <c r="Q113" s="1495"/>
      <c r="R113" s="1495"/>
      <c r="S113" s="1495"/>
      <c r="T113" s="1909"/>
      <c r="X113" s="1493"/>
      <c r="Y113" s="1493"/>
      <c r="Z113" s="1493"/>
    </row>
    <row r="114" spans="1:26" s="1548" customFormat="1" ht="58.6" customHeight="1">
      <c r="A114" s="3770"/>
      <c r="B114" s="1543" t="str">
        <f t="shared" si="3"/>
        <v>2400001219</v>
      </c>
      <c r="C114" s="1493" t="s">
        <v>9068</v>
      </c>
      <c r="D114" s="1494"/>
      <c r="E114" s="1495"/>
      <c r="F114" s="1493" t="s">
        <v>38</v>
      </c>
      <c r="G114" s="1495"/>
      <c r="H114" s="1495"/>
      <c r="I114" s="1495" t="s">
        <v>65</v>
      </c>
      <c r="J114" s="1495" t="s">
        <v>3552</v>
      </c>
      <c r="K114" s="1547" t="s">
        <v>9085</v>
      </c>
      <c r="L114" s="2357">
        <v>3436</v>
      </c>
      <c r="M114" s="1790" t="s">
        <v>5255</v>
      </c>
      <c r="N114" s="1493"/>
      <c r="O114" s="1859"/>
      <c r="P114" s="1790">
        <v>2</v>
      </c>
      <c r="Q114" s="1495"/>
      <c r="R114" s="1495"/>
      <c r="S114" s="1495"/>
      <c r="T114" s="1909"/>
      <c r="X114" s="1493"/>
      <c r="Y114" s="1493"/>
      <c r="Z114" s="1493"/>
    </row>
    <row r="115" spans="1:26" s="1548" customFormat="1" ht="58.6" customHeight="1">
      <c r="A115" s="3770"/>
      <c r="B115" s="1543" t="str">
        <f t="shared" si="3"/>
        <v>2400001220</v>
      </c>
      <c r="C115" s="1493" t="s">
        <v>9068</v>
      </c>
      <c r="D115" s="1494"/>
      <c r="E115" s="1495"/>
      <c r="F115" s="1493" t="s">
        <v>38</v>
      </c>
      <c r="G115" s="1495"/>
      <c r="H115" s="1495"/>
      <c r="I115" s="1495" t="s">
        <v>65</v>
      </c>
      <c r="J115" s="1495" t="s">
        <v>3552</v>
      </c>
      <c r="K115" s="1547" t="s">
        <v>9086</v>
      </c>
      <c r="L115" s="2357">
        <v>1067</v>
      </c>
      <c r="M115" s="1790" t="s">
        <v>5255</v>
      </c>
      <c r="N115" s="1493"/>
      <c r="O115" s="1859"/>
      <c r="P115" s="1790">
        <v>2</v>
      </c>
      <c r="Q115" s="1495"/>
      <c r="R115" s="1495"/>
      <c r="S115" s="1495"/>
      <c r="T115" s="1909"/>
      <c r="X115" s="1493"/>
      <c r="Y115" s="1493"/>
      <c r="Z115" s="1493"/>
    </row>
    <row r="116" spans="1:26" s="1548" customFormat="1" ht="58.6" customHeight="1">
      <c r="A116" s="3770"/>
      <c r="B116" s="1543" t="str">
        <f t="shared" si="3"/>
        <v>2400001221</v>
      </c>
      <c r="C116" s="1493" t="s">
        <v>9068</v>
      </c>
      <c r="D116" s="1494"/>
      <c r="E116" s="1495"/>
      <c r="F116" s="1493" t="s">
        <v>38</v>
      </c>
      <c r="G116" s="1495"/>
      <c r="H116" s="1495"/>
      <c r="I116" s="1495" t="s">
        <v>65</v>
      </c>
      <c r="J116" s="1495" t="s">
        <v>3552</v>
      </c>
      <c r="K116" s="1547" t="s">
        <v>9087</v>
      </c>
      <c r="L116" s="2357">
        <v>54</v>
      </c>
      <c r="M116" s="1790" t="s">
        <v>5255</v>
      </c>
      <c r="N116" s="1493"/>
      <c r="O116" s="1859"/>
      <c r="P116" s="1790">
        <v>2</v>
      </c>
      <c r="Q116" s="1495"/>
      <c r="R116" s="1495"/>
      <c r="S116" s="1495"/>
      <c r="T116" s="1909"/>
      <c r="X116" s="1493"/>
      <c r="Y116" s="1493"/>
      <c r="Z116" s="1493"/>
    </row>
    <row r="117" spans="1:26" s="1548" customFormat="1" ht="58.6" customHeight="1">
      <c r="A117" s="3770"/>
      <c r="B117" s="1543" t="str">
        <f t="shared" si="3"/>
        <v>2400001215</v>
      </c>
      <c r="C117" s="1493" t="s">
        <v>9068</v>
      </c>
      <c r="D117" s="1494"/>
      <c r="E117" s="1495"/>
      <c r="F117" s="1493" t="s">
        <v>38</v>
      </c>
      <c r="G117" s="1495"/>
      <c r="H117" s="1495"/>
      <c r="I117" s="1495" t="s">
        <v>65</v>
      </c>
      <c r="J117" s="1495" t="s">
        <v>3552</v>
      </c>
      <c r="K117" s="1547" t="s">
        <v>9088</v>
      </c>
      <c r="L117" s="2357">
        <v>600</v>
      </c>
      <c r="M117" s="1790" t="s">
        <v>5255</v>
      </c>
      <c r="N117" s="1493"/>
      <c r="O117" s="1859"/>
      <c r="P117" s="1790">
        <v>2</v>
      </c>
      <c r="Q117" s="1495"/>
      <c r="R117" s="1495"/>
      <c r="S117" s="1495"/>
      <c r="T117" s="1909"/>
      <c r="X117" s="1493"/>
      <c r="Y117" s="1493"/>
      <c r="Z117" s="1493"/>
    </row>
    <row r="118" spans="1:26" s="1548" customFormat="1" ht="58.6" customHeight="1">
      <c r="A118" s="3770"/>
      <c r="B118" s="1543" t="str">
        <f t="shared" si="3"/>
        <v>2400001216</v>
      </c>
      <c r="C118" s="1493" t="s">
        <v>9068</v>
      </c>
      <c r="D118" s="1494"/>
      <c r="E118" s="1495"/>
      <c r="F118" s="1493" t="s">
        <v>38</v>
      </c>
      <c r="G118" s="1495"/>
      <c r="H118" s="1495"/>
      <c r="I118" s="1495" t="s">
        <v>65</v>
      </c>
      <c r="J118" s="1495" t="s">
        <v>3552</v>
      </c>
      <c r="K118" s="1547" t="s">
        <v>9089</v>
      </c>
      <c r="L118" s="2357">
        <v>100</v>
      </c>
      <c r="M118" s="1748" t="s">
        <v>9090</v>
      </c>
      <c r="N118" s="1493"/>
      <c r="O118" s="1859"/>
      <c r="P118" s="1790">
        <v>2</v>
      </c>
      <c r="Q118" s="1495"/>
      <c r="R118" s="1495"/>
      <c r="S118" s="1495"/>
      <c r="T118" s="1909"/>
      <c r="X118" s="1493"/>
      <c r="Y118" s="1493"/>
      <c r="Z118" s="1493"/>
    </row>
    <row r="119" spans="1:26" s="1548" customFormat="1" ht="58.6" customHeight="1">
      <c r="A119" s="3769"/>
      <c r="B119" s="1543" t="str">
        <f t="shared" si="3"/>
        <v>2400001217</v>
      </c>
      <c r="C119" s="1493" t="s">
        <v>9068</v>
      </c>
      <c r="D119" s="1494"/>
      <c r="E119" s="1495"/>
      <c r="F119" s="1493" t="s">
        <v>38</v>
      </c>
      <c r="G119" s="1495"/>
      <c r="H119" s="1495"/>
      <c r="I119" s="1495" t="s">
        <v>65</v>
      </c>
      <c r="J119" s="1495" t="s">
        <v>3552</v>
      </c>
      <c r="K119" s="1547" t="s">
        <v>9091</v>
      </c>
      <c r="L119" s="2357">
        <v>100</v>
      </c>
      <c r="M119" s="1790" t="s">
        <v>5255</v>
      </c>
      <c r="N119" s="1493"/>
      <c r="O119" s="1859"/>
      <c r="P119" s="1790">
        <v>2</v>
      </c>
      <c r="Q119" s="1495"/>
      <c r="R119" s="1495"/>
      <c r="S119" s="1495"/>
      <c r="T119" s="1909"/>
      <c r="X119" s="1493"/>
      <c r="Y119" s="1493"/>
      <c r="Z119" s="1493"/>
    </row>
    <row r="120" spans="1:26" s="1548" customFormat="1" ht="58.6" customHeight="1">
      <c r="A120" s="3771">
        <v>28</v>
      </c>
      <c r="B120" s="2171" t="str">
        <f t="shared" si="3"/>
        <v>2200002069</v>
      </c>
      <c r="C120" s="1902" t="s">
        <v>5517</v>
      </c>
      <c r="D120" s="2607">
        <v>6100</v>
      </c>
      <c r="E120" s="1921" t="s">
        <v>9092</v>
      </c>
      <c r="F120" s="1902" t="s">
        <v>14</v>
      </c>
      <c r="G120" s="1921" t="s">
        <v>9093</v>
      </c>
      <c r="H120" s="1921"/>
      <c r="I120" s="1921" t="s">
        <v>65</v>
      </c>
      <c r="J120" s="1921" t="s">
        <v>1000</v>
      </c>
      <c r="K120" s="1911" t="s">
        <v>9094</v>
      </c>
      <c r="L120" s="2583">
        <v>1000</v>
      </c>
      <c r="M120" s="1902" t="s">
        <v>9032</v>
      </c>
      <c r="N120" s="1902"/>
      <c r="O120" s="1775"/>
      <c r="P120" s="2429">
        <v>3</v>
      </c>
      <c r="Q120" s="1921"/>
      <c r="R120" s="1921"/>
      <c r="S120" s="1921"/>
      <c r="T120" s="1909"/>
      <c r="U120" s="2150"/>
      <c r="V120" s="2150"/>
      <c r="W120" s="2150"/>
      <c r="X120" s="1902"/>
      <c r="Y120" s="1902"/>
      <c r="Z120" s="1902"/>
    </row>
    <row r="121" spans="1:26" s="1548" customFormat="1" ht="58.6" customHeight="1">
      <c r="A121" s="3773"/>
      <c r="B121" s="1543" t="str">
        <f t="shared" si="3"/>
        <v>2000003077</v>
      </c>
      <c r="C121" s="1493" t="s">
        <v>5517</v>
      </c>
      <c r="D121" s="1494"/>
      <c r="E121" s="1495"/>
      <c r="F121" s="1493" t="s">
        <v>14</v>
      </c>
      <c r="G121" s="1495"/>
      <c r="H121" s="1495"/>
      <c r="I121" s="1543" t="s">
        <v>65</v>
      </c>
      <c r="J121" s="1921" t="s">
        <v>1000</v>
      </c>
      <c r="K121" s="1600" t="s">
        <v>9095</v>
      </c>
      <c r="L121" s="2357">
        <v>5000</v>
      </c>
      <c r="M121" s="1790" t="s">
        <v>5255</v>
      </c>
      <c r="N121" s="1493"/>
      <c r="O121" s="1859"/>
      <c r="P121" s="1790">
        <v>3</v>
      </c>
      <c r="Q121" s="1495"/>
      <c r="R121" s="1495"/>
      <c r="S121" s="1495"/>
      <c r="T121" s="1909"/>
      <c r="X121" s="1493"/>
      <c r="Y121" s="1493"/>
      <c r="Z121" s="1493"/>
    </row>
    <row r="122" spans="1:26" s="1548" customFormat="1" ht="73.55" customHeight="1">
      <c r="A122" s="3771">
        <v>29</v>
      </c>
      <c r="B122" s="2187" t="str">
        <f t="shared" si="3"/>
        <v>2000003134</v>
      </c>
      <c r="C122" s="1902" t="s">
        <v>8512</v>
      </c>
      <c r="D122" s="2607">
        <v>10700</v>
      </c>
      <c r="E122" s="1921" t="s">
        <v>9096</v>
      </c>
      <c r="F122" s="1902" t="s">
        <v>16</v>
      </c>
      <c r="G122" s="1909" t="s">
        <v>9097</v>
      </c>
      <c r="H122" s="1921"/>
      <c r="I122" s="1902" t="s">
        <v>65</v>
      </c>
      <c r="J122" s="1921" t="s">
        <v>1179</v>
      </c>
      <c r="K122" s="1911" t="s">
        <v>9098</v>
      </c>
      <c r="L122" s="2583">
        <v>8000</v>
      </c>
      <c r="M122" s="2196" t="s">
        <v>9099</v>
      </c>
      <c r="N122" s="1493"/>
      <c r="O122" s="1859"/>
      <c r="P122" s="1790">
        <v>3</v>
      </c>
      <c r="Q122" s="1495"/>
      <c r="R122" s="1495"/>
      <c r="S122" s="1495"/>
      <c r="T122" s="1909"/>
      <c r="X122" s="1493"/>
      <c r="Y122" s="1493"/>
      <c r="Z122" s="1493"/>
    </row>
    <row r="123" spans="1:26" s="1548" customFormat="1" ht="58.6" customHeight="1">
      <c r="A123" s="3772"/>
      <c r="B123" s="1543" t="str">
        <f t="shared" si="3"/>
        <v>2000003135</v>
      </c>
      <c r="C123" s="1493" t="s">
        <v>8512</v>
      </c>
      <c r="D123" s="1494"/>
      <c r="E123" s="1495"/>
      <c r="F123" s="1493" t="s">
        <v>16</v>
      </c>
      <c r="G123" s="1495"/>
      <c r="H123" s="1495"/>
      <c r="I123" s="1493" t="s">
        <v>65</v>
      </c>
      <c r="J123" s="1495" t="s">
        <v>1179</v>
      </c>
      <c r="K123" s="1547" t="s">
        <v>9100</v>
      </c>
      <c r="L123" s="2357">
        <v>2000</v>
      </c>
      <c r="M123" s="1748" t="s">
        <v>5255</v>
      </c>
      <c r="N123" s="1493"/>
      <c r="O123" s="1859"/>
      <c r="P123" s="1790">
        <v>3</v>
      </c>
      <c r="Q123" s="1495"/>
      <c r="R123" s="1495"/>
      <c r="S123" s="1495"/>
      <c r="T123" s="1909"/>
      <c r="X123" s="1493"/>
      <c r="Y123" s="1493"/>
      <c r="Z123" s="1493"/>
    </row>
    <row r="124" spans="1:26" s="1548" customFormat="1" ht="58.6" customHeight="1">
      <c r="A124" s="3773"/>
      <c r="B124" s="1543" t="str">
        <f t="shared" si="3"/>
        <v>2000003148</v>
      </c>
      <c r="C124" s="1493" t="s">
        <v>8512</v>
      </c>
      <c r="D124" s="1494"/>
      <c r="E124" s="1495"/>
      <c r="F124" s="1493" t="s">
        <v>16</v>
      </c>
      <c r="G124" s="1495"/>
      <c r="H124" s="1495"/>
      <c r="I124" s="1493" t="s">
        <v>65</v>
      </c>
      <c r="J124" s="1495" t="s">
        <v>1179</v>
      </c>
      <c r="K124" s="1547" t="s">
        <v>9101</v>
      </c>
      <c r="L124" s="2357">
        <v>500</v>
      </c>
      <c r="M124" s="2196" t="s">
        <v>9102</v>
      </c>
      <c r="N124" s="1493"/>
      <c r="O124" s="1859"/>
      <c r="P124" s="1790">
        <v>3</v>
      </c>
      <c r="Q124" s="1495"/>
      <c r="R124" s="1495"/>
      <c r="S124" s="1495"/>
      <c r="T124" s="1909"/>
      <c r="X124" s="1493"/>
      <c r="Y124" s="1493"/>
      <c r="Z124" s="1493"/>
    </row>
    <row r="125" spans="1:26" s="2150" customFormat="1" ht="70.5" customHeight="1">
      <c r="A125" s="3768">
        <v>30</v>
      </c>
      <c r="B125" s="2187" t="str">
        <f t="shared" si="3"/>
        <v>2000002964</v>
      </c>
      <c r="C125" s="1902" t="s">
        <v>3499</v>
      </c>
      <c r="D125" s="2607">
        <v>4000</v>
      </c>
      <c r="E125" s="1921" t="s">
        <v>9103</v>
      </c>
      <c r="F125" s="1902" t="s">
        <v>20</v>
      </c>
      <c r="G125" s="1921" t="s">
        <v>3994</v>
      </c>
      <c r="H125" s="1921"/>
      <c r="I125" s="1921" t="s">
        <v>65</v>
      </c>
      <c r="J125" s="1921" t="s">
        <v>117</v>
      </c>
      <c r="K125" s="1845" t="s">
        <v>9104</v>
      </c>
      <c r="L125" s="2583">
        <v>2500</v>
      </c>
      <c r="M125" s="2196" t="s">
        <v>9102</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6" customHeight="1">
      <c r="A126" s="3770"/>
      <c r="B126" s="1543" t="str">
        <f t="shared" si="3"/>
        <v>2000003147</v>
      </c>
      <c r="C126" s="1493" t="s">
        <v>3499</v>
      </c>
      <c r="D126" s="1494"/>
      <c r="E126" s="1495"/>
      <c r="F126" s="1493" t="s">
        <v>20</v>
      </c>
      <c r="G126" s="1495"/>
      <c r="H126" s="1495"/>
      <c r="I126" s="1495" t="s">
        <v>65</v>
      </c>
      <c r="J126" s="1495" t="s">
        <v>117</v>
      </c>
      <c r="K126" s="1600" t="s">
        <v>9105</v>
      </c>
      <c r="L126" s="2357">
        <v>50</v>
      </c>
      <c r="M126" s="1921" t="s">
        <v>5255</v>
      </c>
      <c r="N126" s="1902"/>
      <c r="O126" s="1775"/>
      <c r="P126" s="2429">
        <v>3</v>
      </c>
      <c r="Q126" s="1921"/>
      <c r="R126" s="2724"/>
      <c r="S126" s="2724"/>
      <c r="T126" s="2721"/>
      <c r="X126" s="1902"/>
      <c r="Y126" s="1902"/>
      <c r="Z126" s="1902"/>
    </row>
    <row r="127" spans="1:26" s="1548" customFormat="1" ht="70.5" customHeight="1">
      <c r="A127" s="3769"/>
      <c r="B127" s="1543" t="str">
        <f t="shared" ref="B127:B138" si="4">TEXT(LEFT(K127,10),"0000000000")</f>
        <v>2000003154</v>
      </c>
      <c r="C127" s="1493" t="s">
        <v>3499</v>
      </c>
      <c r="D127" s="1494"/>
      <c r="E127" s="1495"/>
      <c r="F127" s="1493" t="s">
        <v>20</v>
      </c>
      <c r="G127" s="1495"/>
      <c r="H127" s="1495"/>
      <c r="I127" s="1493" t="s">
        <v>65</v>
      </c>
      <c r="J127" s="1495" t="s">
        <v>240</v>
      </c>
      <c r="K127" s="1600" t="s">
        <v>9106</v>
      </c>
      <c r="L127" s="2357">
        <v>1450</v>
      </c>
      <c r="M127" s="2196" t="s">
        <v>9102</v>
      </c>
      <c r="N127" s="1493"/>
      <c r="O127" s="1859"/>
      <c r="P127" s="1493">
        <v>3</v>
      </c>
      <c r="Q127" s="1495"/>
      <c r="R127" s="1495"/>
      <c r="S127" s="1495"/>
      <c r="T127" s="1909"/>
      <c r="X127" s="1493"/>
      <c r="Y127" s="1493"/>
      <c r="Z127" s="1493"/>
    </row>
    <row r="128" spans="1:26" s="2150" customFormat="1" ht="59.3" customHeight="1">
      <c r="A128" s="3771">
        <v>31</v>
      </c>
      <c r="B128" s="2187" t="str">
        <f t="shared" si="4"/>
        <v>2000003122</v>
      </c>
      <c r="C128" s="1902" t="s">
        <v>3508</v>
      </c>
      <c r="D128" s="2607">
        <v>4280</v>
      </c>
      <c r="E128" s="1921" t="s">
        <v>9107</v>
      </c>
      <c r="F128" s="1902" t="s">
        <v>14</v>
      </c>
      <c r="G128" s="1921" t="s">
        <v>9108</v>
      </c>
      <c r="H128" s="1921"/>
      <c r="I128" s="1902" t="s">
        <v>65</v>
      </c>
      <c r="J128" s="1921" t="s">
        <v>164</v>
      </c>
      <c r="K128" s="1845" t="s">
        <v>9109</v>
      </c>
      <c r="L128" s="2583">
        <v>3000</v>
      </c>
      <c r="M128" s="2196" t="s">
        <v>9102</v>
      </c>
      <c r="N128" s="1902"/>
      <c r="O128" s="1775"/>
      <c r="P128" s="2429">
        <v>3</v>
      </c>
      <c r="Q128" s="1921"/>
      <c r="R128" s="1921"/>
      <c r="S128" s="1921"/>
      <c r="T128" s="1909"/>
      <c r="X128" s="1902"/>
      <c r="Y128" s="1902"/>
      <c r="Z128" s="1902"/>
    </row>
    <row r="129" spans="1:26" s="2150" customFormat="1" ht="59.3" customHeight="1">
      <c r="A129" s="3772"/>
      <c r="B129" s="1543" t="str">
        <f t="shared" si="4"/>
        <v>2000003080</v>
      </c>
      <c r="C129" s="1493" t="s">
        <v>3508</v>
      </c>
      <c r="D129" s="1494"/>
      <c r="E129" s="1495"/>
      <c r="F129" s="1493" t="s">
        <v>14</v>
      </c>
      <c r="G129" s="1495"/>
      <c r="H129" s="1495"/>
      <c r="I129" s="1543" t="s">
        <v>65</v>
      </c>
      <c r="J129" s="1495" t="s">
        <v>106</v>
      </c>
      <c r="K129" s="1547" t="s">
        <v>9110</v>
      </c>
      <c r="L129" s="2357">
        <v>1200</v>
      </c>
      <c r="M129" s="1748" t="s">
        <v>5255</v>
      </c>
      <c r="N129" s="1493"/>
      <c r="O129" s="1859"/>
      <c r="P129" s="1790">
        <v>3</v>
      </c>
      <c r="Q129" s="1495"/>
      <c r="R129" s="1495"/>
      <c r="S129" s="1495"/>
      <c r="T129" s="1909"/>
      <c r="U129" s="1548"/>
      <c r="V129" s="1548"/>
      <c r="W129" s="1548"/>
      <c r="X129" s="1493"/>
      <c r="Y129" s="1493"/>
      <c r="Z129" s="1493"/>
    </row>
    <row r="130" spans="1:26" s="2150" customFormat="1" ht="59.3" customHeight="1">
      <c r="A130" s="3773"/>
      <c r="B130" s="1543" t="str">
        <f t="shared" si="4"/>
        <v>2000003114</v>
      </c>
      <c r="C130" s="1493" t="s">
        <v>3508</v>
      </c>
      <c r="D130" s="1494"/>
      <c r="E130" s="1495"/>
      <c r="F130" s="1493" t="s">
        <v>14</v>
      </c>
      <c r="G130" s="1495"/>
      <c r="H130" s="1495"/>
      <c r="I130" s="1493" t="s">
        <v>65</v>
      </c>
      <c r="J130" s="1495" t="s">
        <v>106</v>
      </c>
      <c r="K130" s="1600" t="s">
        <v>9111</v>
      </c>
      <c r="L130" s="2357">
        <v>100</v>
      </c>
      <c r="M130" s="1790" t="s">
        <v>5255</v>
      </c>
      <c r="N130" s="1493"/>
      <c r="O130" s="1859"/>
      <c r="P130" s="1493">
        <v>3</v>
      </c>
      <c r="Q130" s="1495"/>
      <c r="R130" s="1495"/>
      <c r="S130" s="1495"/>
      <c r="T130" s="1909"/>
      <c r="U130" s="1548"/>
      <c r="V130" s="1548"/>
      <c r="W130" s="1548"/>
      <c r="X130" s="1493"/>
      <c r="Y130" s="1493"/>
      <c r="Z130" s="1493"/>
    </row>
    <row r="131" spans="1:26" s="1548" customFormat="1" ht="66.75" customHeight="1">
      <c r="A131" s="3771">
        <v>32</v>
      </c>
      <c r="B131" s="2187" t="str">
        <f t="shared" si="4"/>
        <v>2000003151</v>
      </c>
      <c r="C131" s="1902" t="s">
        <v>234</v>
      </c>
      <c r="D131" s="2607">
        <v>12000</v>
      </c>
      <c r="E131" s="1921" t="s">
        <v>9112</v>
      </c>
      <c r="F131" s="1902" t="s">
        <v>14</v>
      </c>
      <c r="G131" s="1921" t="s">
        <v>9108</v>
      </c>
      <c r="H131" s="1921"/>
      <c r="I131" s="1902" t="s">
        <v>65</v>
      </c>
      <c r="J131" s="1921" t="s">
        <v>106</v>
      </c>
      <c r="K131" s="1845" t="s">
        <v>9113</v>
      </c>
      <c r="L131" s="2583">
        <v>8000</v>
      </c>
      <c r="M131" s="2196" t="s">
        <v>5238</v>
      </c>
      <c r="N131" s="1493"/>
      <c r="O131" s="1859"/>
      <c r="P131" s="1790">
        <v>3</v>
      </c>
      <c r="Q131" s="1495"/>
      <c r="R131" s="1495"/>
      <c r="S131" s="1495"/>
      <c r="T131" s="1909"/>
      <c r="X131" s="1493"/>
      <c r="Y131" s="1493"/>
      <c r="Z131" s="1493"/>
    </row>
    <row r="132" spans="1:26" s="1548" customFormat="1" ht="58.6" customHeight="1">
      <c r="A132" s="3772"/>
      <c r="B132" s="1543" t="str">
        <f t="shared" si="4"/>
        <v>2000003080</v>
      </c>
      <c r="C132" s="1902" t="s">
        <v>234</v>
      </c>
      <c r="D132" s="1494"/>
      <c r="E132" s="1495"/>
      <c r="F132" s="1493" t="s">
        <v>14</v>
      </c>
      <c r="G132" s="1495"/>
      <c r="H132" s="1495"/>
      <c r="I132" s="1543" t="s">
        <v>65</v>
      </c>
      <c r="J132" s="1495" t="s">
        <v>106</v>
      </c>
      <c r="K132" s="1547" t="s">
        <v>9114</v>
      </c>
      <c r="L132" s="2357">
        <v>4000</v>
      </c>
      <c r="M132" s="1748" t="s">
        <v>5255</v>
      </c>
      <c r="N132" s="1493"/>
      <c r="O132" s="1859"/>
      <c r="P132" s="1790">
        <v>3</v>
      </c>
      <c r="Q132" s="1495"/>
      <c r="R132" s="1495"/>
      <c r="S132" s="1495"/>
      <c r="T132" s="1909"/>
      <c r="X132" s="1493"/>
      <c r="Y132" s="1493"/>
      <c r="Z132" s="1493"/>
    </row>
    <row r="133" spans="1:26" s="1548" customFormat="1" ht="58.6" customHeight="1">
      <c r="A133" s="3773"/>
      <c r="B133" s="1543" t="str">
        <f t="shared" si="4"/>
        <v>2000003084</v>
      </c>
      <c r="C133" s="1902" t="s">
        <v>234</v>
      </c>
      <c r="D133" s="1494"/>
      <c r="E133" s="1495"/>
      <c r="F133" s="1493" t="s">
        <v>14</v>
      </c>
      <c r="G133" s="1495"/>
      <c r="H133" s="1495"/>
      <c r="I133" s="1543" t="s">
        <v>65</v>
      </c>
      <c r="J133" s="1495" t="s">
        <v>106</v>
      </c>
      <c r="K133" s="1547" t="s">
        <v>9115</v>
      </c>
      <c r="L133" s="2357">
        <v>150</v>
      </c>
      <c r="M133" s="1748" t="s">
        <v>9116</v>
      </c>
      <c r="N133" s="1493"/>
      <c r="O133" s="1859"/>
      <c r="P133" s="1790">
        <v>3</v>
      </c>
      <c r="Q133" s="1495"/>
      <c r="R133" s="1495"/>
      <c r="S133" s="1495"/>
      <c r="T133" s="1909"/>
      <c r="X133" s="1493"/>
      <c r="Y133" s="1493"/>
      <c r="Z133" s="1493"/>
    </row>
    <row r="134" spans="1:26" s="1548" customFormat="1" ht="58.6" customHeight="1">
      <c r="A134" s="3768">
        <v>33</v>
      </c>
      <c r="B134" s="2187" t="str">
        <f t="shared" si="4"/>
        <v>2200002076</v>
      </c>
      <c r="C134" s="1545" t="s">
        <v>3494</v>
      </c>
      <c r="D134" s="2607">
        <v>8800</v>
      </c>
      <c r="E134" s="1921" t="s">
        <v>9117</v>
      </c>
      <c r="F134" s="1902" t="s">
        <v>16</v>
      </c>
      <c r="G134" s="1921" t="s">
        <v>4001</v>
      </c>
      <c r="H134" s="1921"/>
      <c r="I134" s="1902" t="s">
        <v>65</v>
      </c>
      <c r="J134" s="1921" t="s">
        <v>1179</v>
      </c>
      <c r="K134" s="1911" t="s">
        <v>9118</v>
      </c>
      <c r="L134" s="2583">
        <v>3703</v>
      </c>
      <c r="M134" s="1902" t="s">
        <v>9119</v>
      </c>
      <c r="N134" s="1902"/>
      <c r="O134" s="1775"/>
      <c r="P134" s="2429">
        <v>3</v>
      </c>
      <c r="Q134" s="1921"/>
      <c r="R134" s="1921"/>
      <c r="S134" s="1921"/>
      <c r="T134" s="1909"/>
      <c r="U134" s="2150"/>
      <c r="V134" s="2150"/>
      <c r="W134" s="2150"/>
      <c r="X134" s="1902"/>
      <c r="Y134" s="1902"/>
      <c r="Z134" s="1902"/>
    </row>
    <row r="135" spans="1:26" s="1548" customFormat="1" ht="58.6" customHeight="1">
      <c r="A135" s="3770"/>
      <c r="B135" s="1543" t="str">
        <f t="shared" si="4"/>
        <v>2200002077</v>
      </c>
      <c r="C135" s="1545" t="s">
        <v>3494</v>
      </c>
      <c r="D135" s="1494"/>
      <c r="E135" s="1495"/>
      <c r="F135" s="1493" t="s">
        <v>16</v>
      </c>
      <c r="G135" s="1495"/>
      <c r="H135" s="1495"/>
      <c r="I135" s="1493" t="s">
        <v>65</v>
      </c>
      <c r="J135" s="1921" t="s">
        <v>1179</v>
      </c>
      <c r="K135" s="1547" t="s">
        <v>9120</v>
      </c>
      <c r="L135" s="2357">
        <v>2140</v>
      </c>
      <c r="M135" s="1493" t="s">
        <v>9121</v>
      </c>
      <c r="N135" s="1493"/>
      <c r="O135" s="1859"/>
      <c r="P135" s="2429">
        <v>3</v>
      </c>
      <c r="Q135" s="1495"/>
      <c r="R135" s="1495"/>
      <c r="S135" s="1495"/>
      <c r="T135" s="1909"/>
      <c r="X135" s="1493"/>
      <c r="Y135" s="1493"/>
      <c r="Z135" s="1493"/>
    </row>
    <row r="136" spans="1:26" s="1548" customFormat="1" ht="58.6" customHeight="1">
      <c r="A136" s="3770"/>
      <c r="B136" s="1543" t="str">
        <f t="shared" si="4"/>
        <v>2200002078</v>
      </c>
      <c r="C136" s="1545" t="s">
        <v>3494</v>
      </c>
      <c r="D136" s="1494"/>
      <c r="E136" s="1495"/>
      <c r="F136" s="1493" t="s">
        <v>16</v>
      </c>
      <c r="G136" s="1495"/>
      <c r="H136" s="1495"/>
      <c r="I136" s="1493" t="s">
        <v>65</v>
      </c>
      <c r="J136" s="1495" t="s">
        <v>1179</v>
      </c>
      <c r="K136" s="1547" t="s">
        <v>9122</v>
      </c>
      <c r="L136" s="2357">
        <v>1262</v>
      </c>
      <c r="M136" s="1493" t="s">
        <v>5255</v>
      </c>
      <c r="N136" s="1493"/>
      <c r="O136" s="1859"/>
      <c r="P136" s="2429">
        <v>3</v>
      </c>
      <c r="Q136" s="1495"/>
      <c r="R136" s="1495"/>
      <c r="S136" s="1495"/>
      <c r="T136" s="1909"/>
      <c r="X136" s="1493"/>
      <c r="Y136" s="1493"/>
      <c r="Z136" s="1493"/>
    </row>
    <row r="137" spans="1:26" s="1548" customFormat="1" ht="58.6" customHeight="1">
      <c r="A137" s="3770"/>
      <c r="B137" s="1543" t="str">
        <f t="shared" si="4"/>
        <v>2200002081</v>
      </c>
      <c r="C137" s="1545" t="s">
        <v>3494</v>
      </c>
      <c r="D137" s="1494"/>
      <c r="E137" s="1495"/>
      <c r="F137" s="1493" t="s">
        <v>16</v>
      </c>
      <c r="G137" s="1495"/>
      <c r="H137" s="1495"/>
      <c r="I137" s="1493" t="s">
        <v>65</v>
      </c>
      <c r="J137" s="1495" t="s">
        <v>1179</v>
      </c>
      <c r="K137" s="1547" t="s">
        <v>9123</v>
      </c>
      <c r="L137" s="2357">
        <v>1724</v>
      </c>
      <c r="M137" s="2196" t="s">
        <v>9124</v>
      </c>
      <c r="N137" s="1493"/>
      <c r="O137" s="1859"/>
      <c r="P137" s="2429">
        <v>3</v>
      </c>
      <c r="Q137" s="1495"/>
      <c r="R137" s="1495"/>
      <c r="S137" s="1495"/>
      <c r="T137" s="1909"/>
      <c r="X137" s="1493"/>
      <c r="Y137" s="1493"/>
      <c r="Z137" s="1493"/>
    </row>
    <row r="138" spans="1:26" s="1548" customFormat="1" ht="58.6" customHeight="1">
      <c r="A138" s="3769"/>
      <c r="B138" s="1543" t="str">
        <f t="shared" si="4"/>
        <v>2200002082</v>
      </c>
      <c r="C138" s="1545" t="s">
        <v>3494</v>
      </c>
      <c r="D138" s="1494"/>
      <c r="E138" s="1495"/>
      <c r="F138" s="1493" t="s">
        <v>16</v>
      </c>
      <c r="G138" s="1495"/>
      <c r="H138" s="1495"/>
      <c r="I138" s="1493" t="s">
        <v>65</v>
      </c>
      <c r="J138" s="1495" t="s">
        <v>1179</v>
      </c>
      <c r="K138" s="1547" t="s">
        <v>9125</v>
      </c>
      <c r="L138" s="2357">
        <v>462</v>
      </c>
      <c r="M138" s="2196" t="s">
        <v>9124</v>
      </c>
      <c r="N138" s="1493"/>
      <c r="O138" s="1859"/>
      <c r="P138" s="2429">
        <v>3</v>
      </c>
      <c r="Q138" s="1495"/>
      <c r="R138" s="1495"/>
      <c r="S138" s="1495"/>
      <c r="T138" s="1909"/>
      <c r="X138" s="1493"/>
      <c r="Y138" s="1493"/>
      <c r="Z138" s="1493"/>
    </row>
    <row r="139" spans="1:26" s="1548" customFormat="1" ht="79.5" customHeight="1">
      <c r="A139" s="3768">
        <v>34</v>
      </c>
      <c r="B139" s="2187" t="s">
        <v>9126</v>
      </c>
      <c r="C139" s="1902" t="s">
        <v>5896</v>
      </c>
      <c r="D139" s="2607">
        <v>12000</v>
      </c>
      <c r="E139" s="1921" t="s">
        <v>9127</v>
      </c>
      <c r="F139" s="1902" t="s">
        <v>16</v>
      </c>
      <c r="G139" s="1921" t="s">
        <v>9128</v>
      </c>
      <c r="H139" s="1921"/>
      <c r="I139" s="1902" t="s">
        <v>65</v>
      </c>
      <c r="J139" s="1921" t="s">
        <v>66</v>
      </c>
      <c r="K139" s="1845" t="s">
        <v>9129</v>
      </c>
      <c r="L139" s="2583">
        <v>8050</v>
      </c>
      <c r="M139" s="2196" t="s">
        <v>5238</v>
      </c>
      <c r="N139" s="1902"/>
      <c r="O139" s="1775"/>
      <c r="P139" s="2429">
        <v>3</v>
      </c>
      <c r="Q139" s="1921"/>
      <c r="R139" s="1921"/>
      <c r="S139" s="1921"/>
      <c r="T139" s="1909"/>
      <c r="U139" s="2150"/>
      <c r="V139" s="2150"/>
      <c r="W139" s="2150"/>
      <c r="X139" s="1902"/>
      <c r="Y139" s="1902"/>
      <c r="Z139" s="1902"/>
    </row>
    <row r="140" spans="1:26" s="1548" customFormat="1" ht="66.099999999999994" customHeight="1">
      <c r="A140" s="3769"/>
      <c r="B140" s="1543" t="str">
        <f t="shared" ref="B140:B178" si="5">TEXT(LEFT(K140,10),"0000000000")</f>
        <v>2000003125</v>
      </c>
      <c r="C140" s="1493" t="s">
        <v>5896</v>
      </c>
      <c r="D140" s="1494"/>
      <c r="E140" s="1495"/>
      <c r="F140" s="1902" t="s">
        <v>16</v>
      </c>
      <c r="G140" s="1495"/>
      <c r="H140" s="1495"/>
      <c r="I140" s="1493" t="s">
        <v>65</v>
      </c>
      <c r="J140" s="1495" t="s">
        <v>1000</v>
      </c>
      <c r="K140" s="1600" t="s">
        <v>9130</v>
      </c>
      <c r="L140" s="2357">
        <v>4300</v>
      </c>
      <c r="M140" s="1790" t="s">
        <v>9131</v>
      </c>
      <c r="N140" s="1493"/>
      <c r="O140" s="1859"/>
      <c r="P140" s="1790">
        <v>3</v>
      </c>
      <c r="Q140" s="1495"/>
      <c r="R140" s="1495"/>
      <c r="S140" s="1495"/>
      <c r="T140" s="1909"/>
      <c r="X140" s="1493"/>
      <c r="Y140" s="1493"/>
      <c r="Z140" s="1493"/>
    </row>
    <row r="141" spans="1:26" s="2150" customFormat="1" ht="58.6" customHeight="1">
      <c r="A141" s="3768">
        <v>35</v>
      </c>
      <c r="B141" s="2187" t="str">
        <f t="shared" si="5"/>
        <v>2000003144</v>
      </c>
      <c r="C141" s="1902" t="s">
        <v>3454</v>
      </c>
      <c r="D141" s="2607">
        <v>24000</v>
      </c>
      <c r="E141" s="1921" t="s">
        <v>9132</v>
      </c>
      <c r="F141" s="1493" t="s">
        <v>14</v>
      </c>
      <c r="G141" s="1921" t="s">
        <v>9133</v>
      </c>
      <c r="H141" s="1921" t="s">
        <v>9134</v>
      </c>
      <c r="I141" s="2187" t="s">
        <v>65</v>
      </c>
      <c r="J141" s="1921" t="s">
        <v>106</v>
      </c>
      <c r="K141" s="1862" t="s">
        <v>9135</v>
      </c>
      <c r="L141" s="2583">
        <v>70</v>
      </c>
      <c r="M141" s="1909" t="s">
        <v>5255</v>
      </c>
      <c r="N141" s="1902"/>
      <c r="O141" s="1775"/>
      <c r="P141" s="2429">
        <v>3</v>
      </c>
      <c r="Q141" s="1921"/>
      <c r="R141" s="1921"/>
      <c r="S141" s="1921"/>
      <c r="T141" s="1909"/>
      <c r="X141" s="1902"/>
      <c r="Y141" s="1902"/>
      <c r="Z141" s="1902"/>
    </row>
    <row r="142" spans="1:26" s="2150" customFormat="1" ht="58.6" customHeight="1">
      <c r="A142" s="3770"/>
      <c r="B142" s="2187" t="str">
        <f t="shared" si="5"/>
        <v>2000003145</v>
      </c>
      <c r="C142" s="1902" t="s">
        <v>3454</v>
      </c>
      <c r="D142" s="2607"/>
      <c r="E142" s="1921"/>
      <c r="F142" s="1493" t="s">
        <v>14</v>
      </c>
      <c r="G142" s="1921"/>
      <c r="H142" s="1921"/>
      <c r="I142" s="1543" t="s">
        <v>65</v>
      </c>
      <c r="J142" s="1495" t="s">
        <v>106</v>
      </c>
      <c r="K142" s="1600" t="s">
        <v>9136</v>
      </c>
      <c r="L142" s="2357">
        <v>300</v>
      </c>
      <c r="M142" s="1748" t="s">
        <v>5255</v>
      </c>
      <c r="N142" s="1902"/>
      <c r="O142" s="1775"/>
      <c r="P142" s="2429">
        <v>3</v>
      </c>
      <c r="Q142" s="1921"/>
      <c r="R142" s="1921"/>
      <c r="S142" s="1921"/>
      <c r="T142" s="1909"/>
      <c r="X142" s="1902"/>
      <c r="Y142" s="1902"/>
      <c r="Z142" s="1902"/>
    </row>
    <row r="143" spans="1:26" s="1548" customFormat="1" ht="58.6" customHeight="1">
      <c r="A143" s="3770"/>
      <c r="B143" s="1543" t="str">
        <f t="shared" si="5"/>
        <v>2000003129</v>
      </c>
      <c r="C143" s="1902" t="s">
        <v>3454</v>
      </c>
      <c r="F143" s="1493" t="s">
        <v>14</v>
      </c>
      <c r="I143" s="1493" t="s">
        <v>65</v>
      </c>
      <c r="J143" s="1493" t="s">
        <v>106</v>
      </c>
      <c r="K143" s="1770" t="s">
        <v>9137</v>
      </c>
      <c r="L143" s="2183">
        <v>4200</v>
      </c>
      <c r="M143" s="1748" t="s">
        <v>9138</v>
      </c>
      <c r="P143" s="1493">
        <v>3</v>
      </c>
    </row>
    <row r="144" spans="1:26" s="1548" customFormat="1" ht="58.6" customHeight="1">
      <c r="A144" s="3770"/>
      <c r="B144" s="1543" t="str">
        <f t="shared" si="5"/>
        <v>2000003137</v>
      </c>
      <c r="C144" s="1902" t="s">
        <v>3454</v>
      </c>
      <c r="D144" s="1494"/>
      <c r="E144" s="1495"/>
      <c r="F144" s="1493" t="s">
        <v>14</v>
      </c>
      <c r="G144" s="1495"/>
      <c r="H144" s="1495"/>
      <c r="I144" s="1493" t="s">
        <v>65</v>
      </c>
      <c r="J144" s="1495" t="s">
        <v>106</v>
      </c>
      <c r="K144" s="1497" t="s">
        <v>9139</v>
      </c>
      <c r="L144" s="2357">
        <v>5000</v>
      </c>
      <c r="M144" s="1495" t="s">
        <v>9140</v>
      </c>
      <c r="N144" s="1493"/>
      <c r="O144" s="1859"/>
      <c r="P144" s="1790">
        <v>3</v>
      </c>
      <c r="Q144" s="1495"/>
      <c r="R144" s="1495"/>
      <c r="S144" s="1495"/>
      <c r="T144" s="1909"/>
      <c r="X144" s="1493"/>
      <c r="Y144" s="1493"/>
      <c r="Z144" s="1493"/>
    </row>
    <row r="145" spans="1:26" s="1548" customFormat="1" ht="58.6" customHeight="1">
      <c r="A145" s="3770"/>
      <c r="B145" s="1543" t="str">
        <f t="shared" si="5"/>
        <v>2000003152</v>
      </c>
      <c r="C145" s="1902" t="s">
        <v>3454</v>
      </c>
      <c r="D145" s="1494"/>
      <c r="E145" s="1495"/>
      <c r="F145" s="1493" t="s">
        <v>14</v>
      </c>
      <c r="G145" s="1495"/>
      <c r="H145" s="1495"/>
      <c r="I145" s="1493" t="s">
        <v>65</v>
      </c>
      <c r="J145" s="1495" t="s">
        <v>106</v>
      </c>
      <c r="K145" s="1600" t="s">
        <v>9141</v>
      </c>
      <c r="L145" s="2357">
        <v>2000</v>
      </c>
      <c r="M145" s="2196" t="s">
        <v>9142</v>
      </c>
      <c r="N145" s="1493"/>
      <c r="O145" s="1859"/>
      <c r="P145" s="1790">
        <v>3</v>
      </c>
      <c r="Q145" s="1495"/>
      <c r="R145" s="1495"/>
      <c r="S145" s="1495"/>
      <c r="T145" s="1909"/>
      <c r="X145" s="1493"/>
      <c r="Y145" s="1493"/>
      <c r="Z145" s="1493"/>
    </row>
    <row r="146" spans="1:26" s="1548" customFormat="1" ht="58.6" customHeight="1">
      <c r="A146" s="3770"/>
      <c r="B146" s="1543" t="str">
        <f t="shared" si="5"/>
        <v>2000003069</v>
      </c>
      <c r="C146" s="1902" t="s">
        <v>3454</v>
      </c>
      <c r="D146" s="1494"/>
      <c r="E146" s="1495"/>
      <c r="F146" s="1493" t="s">
        <v>14</v>
      </c>
      <c r="G146" s="1495"/>
      <c r="H146" s="1495"/>
      <c r="I146" s="1495" t="s">
        <v>65</v>
      </c>
      <c r="J146" s="1495" t="s">
        <v>5400</v>
      </c>
      <c r="K146" s="1547" t="s">
        <v>9143</v>
      </c>
      <c r="L146" s="2357">
        <v>1000</v>
      </c>
      <c r="M146" s="1748" t="s">
        <v>9144</v>
      </c>
      <c r="N146" s="1493"/>
      <c r="O146" s="1859"/>
      <c r="P146" s="1790">
        <v>3</v>
      </c>
      <c r="Q146" s="1495"/>
      <c r="R146" s="1495"/>
      <c r="S146" s="1495"/>
      <c r="T146" s="1909"/>
      <c r="X146" s="1493"/>
      <c r="Y146" s="1493"/>
      <c r="Z146" s="1493"/>
    </row>
    <row r="147" spans="1:26" s="1548" customFormat="1" ht="58.6" customHeight="1">
      <c r="A147" s="3770"/>
      <c r="B147" s="1543" t="str">
        <f t="shared" si="5"/>
        <v>2000003070</v>
      </c>
      <c r="C147" s="1902" t="s">
        <v>3454</v>
      </c>
      <c r="D147" s="1494"/>
      <c r="E147" s="1495"/>
      <c r="F147" s="1493" t="s">
        <v>14</v>
      </c>
      <c r="G147" s="1495"/>
      <c r="H147" s="1495"/>
      <c r="I147" s="1495" t="s">
        <v>65</v>
      </c>
      <c r="J147" s="1495" t="s">
        <v>5400</v>
      </c>
      <c r="K147" s="1547" t="s">
        <v>9145</v>
      </c>
      <c r="L147" s="2357">
        <v>100</v>
      </c>
      <c r="M147" s="1748" t="s">
        <v>9146</v>
      </c>
      <c r="N147" s="1493"/>
      <c r="O147" s="1859"/>
      <c r="P147" s="1790">
        <v>3</v>
      </c>
      <c r="Q147" s="1495"/>
      <c r="R147" s="1495"/>
      <c r="S147" s="1495"/>
      <c r="T147" s="1909"/>
      <c r="X147" s="1493"/>
      <c r="Y147" s="1493"/>
      <c r="Z147" s="1493"/>
    </row>
    <row r="148" spans="1:26" s="1548" customFormat="1" ht="58.6" customHeight="1">
      <c r="A148" s="3770"/>
      <c r="B148" s="1543" t="str">
        <f t="shared" si="5"/>
        <v>2000003075</v>
      </c>
      <c r="C148" s="1902" t="s">
        <v>3454</v>
      </c>
      <c r="D148" s="1494"/>
      <c r="E148" s="1495"/>
      <c r="F148" s="1493" t="s">
        <v>14</v>
      </c>
      <c r="G148" s="1495"/>
      <c r="H148" s="1495"/>
      <c r="I148" s="1495" t="s">
        <v>65</v>
      </c>
      <c r="J148" s="1495" t="s">
        <v>5400</v>
      </c>
      <c r="K148" s="1547" t="s">
        <v>9147</v>
      </c>
      <c r="L148" s="2357">
        <v>2000</v>
      </c>
      <c r="M148" s="1495" t="s">
        <v>9148</v>
      </c>
      <c r="N148" s="1493"/>
      <c r="O148" s="1859"/>
      <c r="P148" s="1790">
        <v>3</v>
      </c>
      <c r="Q148" s="1495"/>
      <c r="R148" s="1495"/>
      <c r="S148" s="1495"/>
      <c r="T148" s="1909"/>
      <c r="X148" s="1493"/>
      <c r="Y148" s="1493"/>
      <c r="Z148" s="1493"/>
    </row>
    <row r="149" spans="1:26" s="1548" customFormat="1" ht="58.6" customHeight="1">
      <c r="A149" s="3770"/>
      <c r="B149" s="1543" t="str">
        <f t="shared" si="5"/>
        <v>2000003112</v>
      </c>
      <c r="C149" s="1902" t="s">
        <v>3454</v>
      </c>
      <c r="D149" s="1494"/>
      <c r="E149" s="1495"/>
      <c r="F149" s="1493" t="s">
        <v>14</v>
      </c>
      <c r="G149" s="1495"/>
      <c r="H149" s="1495"/>
      <c r="I149" s="1493" t="s">
        <v>65</v>
      </c>
      <c r="J149" s="1495" t="s">
        <v>5400</v>
      </c>
      <c r="K149" s="1547" t="s">
        <v>9149</v>
      </c>
      <c r="L149" s="2357">
        <v>3000</v>
      </c>
      <c r="M149" s="1495" t="s">
        <v>5255</v>
      </c>
      <c r="N149" s="1493"/>
      <c r="O149" s="1859"/>
      <c r="P149" s="1790">
        <v>3</v>
      </c>
      <c r="Q149" s="1495"/>
      <c r="R149" s="1495"/>
      <c r="S149" s="1495"/>
      <c r="T149" s="1909"/>
      <c r="X149" s="1493"/>
      <c r="Y149" s="1493"/>
      <c r="Z149" s="1493"/>
    </row>
    <row r="150" spans="1:26" s="1548" customFormat="1" ht="58.6" customHeight="1">
      <c r="A150" s="3770"/>
      <c r="B150" s="1543" t="str">
        <f t="shared" si="5"/>
        <v>2000003071</v>
      </c>
      <c r="C150" s="1902" t="s">
        <v>3454</v>
      </c>
      <c r="D150" s="1494"/>
      <c r="E150" s="1495"/>
      <c r="F150" s="1493" t="s">
        <v>14</v>
      </c>
      <c r="G150" s="1495"/>
      <c r="H150" s="1495"/>
      <c r="I150" s="1493" t="s">
        <v>65</v>
      </c>
      <c r="J150" s="1495" t="s">
        <v>5400</v>
      </c>
      <c r="K150" s="1547" t="s">
        <v>9150</v>
      </c>
      <c r="L150" s="2357">
        <v>266</v>
      </c>
      <c r="M150" s="2196" t="s">
        <v>5238</v>
      </c>
      <c r="N150" s="1493"/>
      <c r="O150" s="1859"/>
      <c r="P150" s="1790">
        <v>3</v>
      </c>
      <c r="Q150" s="1495"/>
      <c r="R150" s="1495"/>
      <c r="S150" s="1495"/>
      <c r="T150" s="1909"/>
      <c r="X150" s="1493"/>
      <c r="Y150" s="1493"/>
      <c r="Z150" s="1493"/>
    </row>
    <row r="151" spans="1:26" s="1548" customFormat="1" ht="58.6" customHeight="1">
      <c r="A151" s="3770"/>
      <c r="B151" s="1543" t="str">
        <f t="shared" si="5"/>
        <v>2000003139</v>
      </c>
      <c r="C151" s="1902" t="s">
        <v>3454</v>
      </c>
      <c r="D151" s="1494"/>
      <c r="E151" s="1495"/>
      <c r="F151" s="1493" t="s">
        <v>14</v>
      </c>
      <c r="G151" s="1495"/>
      <c r="H151" s="1495"/>
      <c r="I151" s="1493" t="s">
        <v>65</v>
      </c>
      <c r="J151" s="1495" t="s">
        <v>164</v>
      </c>
      <c r="K151" s="1600" t="s">
        <v>9151</v>
      </c>
      <c r="L151" s="2357">
        <v>2500</v>
      </c>
      <c r="M151" s="2196" t="s">
        <v>5238</v>
      </c>
      <c r="N151" s="1493"/>
      <c r="O151" s="1859"/>
      <c r="P151" s="1790">
        <v>3</v>
      </c>
      <c r="Q151" s="1495"/>
      <c r="R151" s="1495"/>
      <c r="S151" s="1495"/>
      <c r="T151" s="1909"/>
      <c r="X151" s="1493"/>
      <c r="Y151" s="1493"/>
      <c r="Z151" s="1493"/>
    </row>
    <row r="152" spans="1:26" s="1548" customFormat="1" ht="58.6" customHeight="1">
      <c r="A152" s="3770"/>
      <c r="B152" s="1543" t="str">
        <f t="shared" si="5"/>
        <v>2000003140</v>
      </c>
      <c r="C152" s="1902" t="s">
        <v>3454</v>
      </c>
      <c r="D152" s="1494"/>
      <c r="E152" s="1495"/>
      <c r="F152" s="1493" t="s">
        <v>14</v>
      </c>
      <c r="G152" s="1495"/>
      <c r="H152" s="1495"/>
      <c r="I152" s="1493" t="s">
        <v>65</v>
      </c>
      <c r="J152" s="1495" t="s">
        <v>164</v>
      </c>
      <c r="K152" s="1496" t="s">
        <v>9152</v>
      </c>
      <c r="L152" s="2357">
        <v>2500</v>
      </c>
      <c r="M152" s="2196" t="s">
        <v>5238</v>
      </c>
      <c r="N152" s="1493"/>
      <c r="O152" s="1859"/>
      <c r="P152" s="1790">
        <v>3</v>
      </c>
      <c r="Q152" s="1495"/>
      <c r="R152" s="1495"/>
      <c r="S152" s="1495"/>
      <c r="T152" s="1909"/>
      <c r="X152" s="1493"/>
      <c r="Y152" s="1493"/>
      <c r="Z152" s="1493"/>
    </row>
    <row r="153" spans="1:26" s="1548" customFormat="1" ht="61.5" customHeight="1">
      <c r="A153" s="3769"/>
      <c r="B153" s="1543" t="str">
        <f t="shared" si="5"/>
        <v>2000003146</v>
      </c>
      <c r="C153" s="1902" t="s">
        <v>3454</v>
      </c>
      <c r="D153" s="1494"/>
      <c r="E153" s="1495"/>
      <c r="F153" s="1493" t="s">
        <v>14</v>
      </c>
      <c r="G153" s="1495"/>
      <c r="H153" s="1495"/>
      <c r="I153" s="1493" t="s">
        <v>65</v>
      </c>
      <c r="J153" s="1495" t="s">
        <v>9153</v>
      </c>
      <c r="K153" s="1600" t="s">
        <v>9154</v>
      </c>
      <c r="L153" s="2357">
        <v>1000</v>
      </c>
      <c r="M153" s="1748" t="s">
        <v>9155</v>
      </c>
      <c r="N153" s="1493"/>
      <c r="O153" s="1859"/>
      <c r="P153" s="1790">
        <v>3</v>
      </c>
      <c r="Q153" s="1495"/>
      <c r="R153" s="1495"/>
      <c r="S153" s="1495"/>
      <c r="T153" s="1909"/>
      <c r="X153" s="1493"/>
      <c r="Y153" s="1493"/>
      <c r="Z153" s="1493"/>
    </row>
    <row r="154" spans="1:26" s="2150" customFormat="1" ht="54" customHeight="1">
      <c r="A154" s="3768">
        <v>36</v>
      </c>
      <c r="B154" s="2187" t="str">
        <f t="shared" si="5"/>
        <v>2000003126</v>
      </c>
      <c r="C154" s="2263" t="s">
        <v>3538</v>
      </c>
      <c r="D154" s="2456">
        <v>8800</v>
      </c>
      <c r="E154" s="2187" t="s">
        <v>9156</v>
      </c>
      <c r="F154" s="2263" t="s">
        <v>16</v>
      </c>
      <c r="G154" s="2187" t="s">
        <v>9157</v>
      </c>
      <c r="H154" s="2187"/>
      <c r="I154" s="1902" t="s">
        <v>65</v>
      </c>
      <c r="J154" s="2391" t="s">
        <v>1179</v>
      </c>
      <c r="K154" s="2150" t="s">
        <v>9158</v>
      </c>
      <c r="L154" s="2179">
        <v>195</v>
      </c>
      <c r="M154" s="2196" t="s">
        <v>9159</v>
      </c>
      <c r="N154" s="1548"/>
      <c r="O154" s="1548"/>
      <c r="P154" s="1790">
        <v>3</v>
      </c>
      <c r="Q154" s="1543"/>
      <c r="R154" s="1543"/>
      <c r="S154" s="1543"/>
      <c r="T154" s="2261"/>
      <c r="U154" s="1559"/>
      <c r="V154" s="1559"/>
      <c r="W154" s="1559"/>
      <c r="X154" s="1545"/>
      <c r="Y154" s="1545"/>
      <c r="Z154" s="1545"/>
    </row>
    <row r="155" spans="1:26" s="1548" customFormat="1" ht="58.6" customHeight="1">
      <c r="A155" s="3770"/>
      <c r="B155" s="1543" t="str">
        <f t="shared" si="5"/>
        <v>2000003131</v>
      </c>
      <c r="C155" s="1545" t="s">
        <v>3538</v>
      </c>
      <c r="D155" s="2613"/>
      <c r="E155" s="1543"/>
      <c r="F155" s="1545" t="s">
        <v>16</v>
      </c>
      <c r="G155" s="1543"/>
      <c r="H155" s="1543"/>
      <c r="I155" s="1493" t="s">
        <v>65</v>
      </c>
      <c r="J155" s="1630" t="s">
        <v>1179</v>
      </c>
      <c r="K155" s="1600" t="s">
        <v>9160</v>
      </c>
      <c r="L155" s="2357">
        <v>962</v>
      </c>
      <c r="M155" s="1493" t="s">
        <v>9161</v>
      </c>
      <c r="N155" s="1493"/>
      <c r="O155" s="1859"/>
      <c r="P155" s="1790">
        <v>3</v>
      </c>
      <c r="Q155" s="1543"/>
      <c r="R155" s="1543"/>
      <c r="S155" s="1543"/>
      <c r="T155" s="2261"/>
      <c r="U155" s="1559"/>
      <c r="V155" s="1559"/>
      <c r="W155" s="1559"/>
      <c r="X155" s="1545"/>
      <c r="Y155" s="1545"/>
      <c r="Z155" s="1545"/>
    </row>
    <row r="156" spans="1:26" s="1548" customFormat="1" ht="58.6" customHeight="1">
      <c r="A156" s="3770"/>
      <c r="B156" s="1543" t="str">
        <f t="shared" si="5"/>
        <v>2000003133</v>
      </c>
      <c r="C156" s="1545" t="s">
        <v>3538</v>
      </c>
      <c r="D156" s="2613"/>
      <c r="E156" s="1543"/>
      <c r="F156" s="1545" t="s">
        <v>16</v>
      </c>
      <c r="G156" s="1543"/>
      <c r="H156" s="1543"/>
      <c r="I156" s="1493" t="s">
        <v>65</v>
      </c>
      <c r="J156" s="1630" t="s">
        <v>1179</v>
      </c>
      <c r="K156" s="1547" t="s">
        <v>9162</v>
      </c>
      <c r="L156" s="2357">
        <v>7200</v>
      </c>
      <c r="M156" s="1495" t="s">
        <v>5255</v>
      </c>
      <c r="N156" s="1493"/>
      <c r="O156" s="1859"/>
      <c r="P156" s="1790">
        <v>3</v>
      </c>
      <c r="Q156" s="1543"/>
      <c r="R156" s="1543"/>
      <c r="S156" s="1543"/>
      <c r="T156" s="2261"/>
      <c r="U156" s="1559"/>
      <c r="V156" s="1559"/>
      <c r="W156" s="1559"/>
      <c r="X156" s="1545"/>
      <c r="Y156" s="1545"/>
      <c r="Z156" s="1545"/>
    </row>
    <row r="157" spans="1:26" s="1548" customFormat="1" ht="58.6" customHeight="1">
      <c r="A157" s="3770"/>
      <c r="B157" s="1543" t="str">
        <f t="shared" si="5"/>
        <v>2200002076</v>
      </c>
      <c r="C157" s="1545" t="s">
        <v>3538</v>
      </c>
      <c r="D157" s="2613"/>
      <c r="E157" s="1543"/>
      <c r="F157" s="1545" t="s">
        <v>16</v>
      </c>
      <c r="G157" s="1543"/>
      <c r="H157" s="1543"/>
      <c r="I157" s="1493" t="s">
        <v>65</v>
      </c>
      <c r="J157" s="1630" t="s">
        <v>1179</v>
      </c>
      <c r="K157" s="1828" t="s">
        <v>9163</v>
      </c>
      <c r="L157" s="2543">
        <v>510</v>
      </c>
      <c r="M157" s="1543" t="s">
        <v>7499</v>
      </c>
      <c r="N157" s="1545"/>
      <c r="O157" s="2544"/>
      <c r="P157" s="1852">
        <v>3</v>
      </c>
      <c r="Q157" s="1543"/>
      <c r="R157" s="1543"/>
      <c r="S157" s="1543"/>
      <c r="T157" s="2261"/>
      <c r="U157" s="1559"/>
      <c r="V157" s="1559"/>
      <c r="W157" s="1559"/>
      <c r="X157" s="1545"/>
      <c r="Y157" s="1545"/>
      <c r="Z157" s="1545"/>
    </row>
    <row r="158" spans="1:26" s="1548" customFormat="1" ht="58.6" customHeight="1">
      <c r="A158" s="2582">
        <v>37</v>
      </c>
      <c r="B158" s="2187" t="str">
        <f t="shared" si="5"/>
        <v>2000003119</v>
      </c>
      <c r="C158" s="1921" t="s">
        <v>9164</v>
      </c>
      <c r="D158" s="2607">
        <v>4350</v>
      </c>
      <c r="E158" s="1921" t="s">
        <v>9165</v>
      </c>
      <c r="F158" s="1902" t="s">
        <v>22</v>
      </c>
      <c r="G158" s="1921" t="s">
        <v>9166</v>
      </c>
      <c r="H158" s="1921"/>
      <c r="I158" s="1902" t="s">
        <v>65</v>
      </c>
      <c r="J158" s="1921" t="s">
        <v>66</v>
      </c>
      <c r="K158" s="1845" t="s">
        <v>9167</v>
      </c>
      <c r="L158" s="2583">
        <v>4500</v>
      </c>
      <c r="M158" s="2196" t="s">
        <v>5238</v>
      </c>
      <c r="N158" s="1902" t="s">
        <v>8415</v>
      </c>
      <c r="O158" s="1775"/>
      <c r="P158" s="2429">
        <v>3</v>
      </c>
      <c r="Q158" s="1921"/>
      <c r="R158" s="1921"/>
      <c r="S158" s="1921"/>
      <c r="T158" s="1909"/>
      <c r="U158" s="2150"/>
      <c r="V158" s="2150"/>
      <c r="W158" s="2150"/>
      <c r="X158" s="1902"/>
      <c r="Y158" s="1902"/>
      <c r="Z158" s="1902"/>
    </row>
    <row r="159" spans="1:26" s="1548" customFormat="1" ht="58.6" customHeight="1">
      <c r="A159" s="3776">
        <v>38</v>
      </c>
      <c r="B159" s="2419" t="str">
        <f t="shared" si="5"/>
        <v>2200002089</v>
      </c>
      <c r="C159" s="2263" t="s">
        <v>6609</v>
      </c>
      <c r="D159" s="2456">
        <v>4350</v>
      </c>
      <c r="E159" s="2187" t="s">
        <v>9168</v>
      </c>
      <c r="F159" s="2263" t="s">
        <v>20</v>
      </c>
      <c r="G159" s="2187" t="s">
        <v>9169</v>
      </c>
      <c r="H159" s="2187"/>
      <c r="I159" s="2823" t="s">
        <v>65</v>
      </c>
      <c r="J159" s="1902" t="s">
        <v>1000</v>
      </c>
      <c r="K159" s="2824" t="s">
        <v>9170</v>
      </c>
      <c r="L159" s="2564">
        <v>3684</v>
      </c>
      <c r="M159" s="2187" t="s">
        <v>9171</v>
      </c>
      <c r="N159" s="2263"/>
      <c r="O159" s="2565"/>
      <c r="P159" s="1790">
        <v>3</v>
      </c>
      <c r="Q159" s="2187"/>
      <c r="R159" s="2187"/>
      <c r="S159" s="2187"/>
      <c r="T159" s="2261"/>
      <c r="U159" s="2127"/>
      <c r="V159" s="2127"/>
      <c r="W159" s="2127"/>
      <c r="X159" s="2263"/>
      <c r="Y159" s="2263"/>
      <c r="Z159" s="2263"/>
    </row>
    <row r="160" spans="1:26" s="1548" customFormat="1" ht="58.6" customHeight="1">
      <c r="A160" s="3776"/>
      <c r="B160" s="1900" t="str">
        <f t="shared" si="5"/>
        <v>2200002090</v>
      </c>
      <c r="C160" s="1545" t="s">
        <v>6609</v>
      </c>
      <c r="D160" s="2613"/>
      <c r="E160" s="1543"/>
      <c r="F160" s="1545" t="s">
        <v>20</v>
      </c>
      <c r="G160" s="1543"/>
      <c r="H160" s="1543"/>
      <c r="I160" s="1769" t="s">
        <v>65</v>
      </c>
      <c r="J160" s="1493" t="s">
        <v>1000</v>
      </c>
      <c r="K160" s="1936" t="s">
        <v>9172</v>
      </c>
      <c r="L160" s="2543">
        <v>310</v>
      </c>
      <c r="M160" s="2187" t="s">
        <v>9171</v>
      </c>
      <c r="N160" s="2263"/>
      <c r="O160" s="2565"/>
      <c r="P160" s="1852">
        <v>3</v>
      </c>
      <c r="Q160" s="2187"/>
      <c r="R160" s="2187"/>
      <c r="S160" s="2187"/>
      <c r="T160" s="2261"/>
      <c r="U160" s="2127"/>
      <c r="V160" s="2127"/>
      <c r="W160" s="2127"/>
      <c r="X160" s="2263"/>
      <c r="Y160" s="2263"/>
      <c r="Z160" s="2263"/>
    </row>
    <row r="161" spans="1:26" s="1548" customFormat="1" ht="58.6" customHeight="1">
      <c r="A161" s="3776"/>
      <c r="B161" s="1900" t="str">
        <f t="shared" si="5"/>
        <v>2200002086</v>
      </c>
      <c r="C161" s="1545" t="s">
        <v>6609</v>
      </c>
      <c r="D161" s="2613"/>
      <c r="E161" s="1543"/>
      <c r="F161" s="1545" t="s">
        <v>20</v>
      </c>
      <c r="G161" s="1543"/>
      <c r="H161" s="1543"/>
      <c r="I161" s="1769" t="s">
        <v>65</v>
      </c>
      <c r="J161" s="1493" t="s">
        <v>1000</v>
      </c>
      <c r="K161" s="1936" t="s">
        <v>9173</v>
      </c>
      <c r="L161" s="2543">
        <v>350</v>
      </c>
      <c r="M161" s="2196" t="s">
        <v>9044</v>
      </c>
      <c r="N161" s="2263"/>
      <c r="O161" s="2565"/>
      <c r="P161" s="1852">
        <v>3</v>
      </c>
      <c r="Q161" s="2187"/>
      <c r="R161" s="2187"/>
      <c r="S161" s="2187"/>
      <c r="T161" s="2261"/>
      <c r="U161" s="2127"/>
      <c r="V161" s="2127"/>
      <c r="W161" s="2127"/>
      <c r="X161" s="2263"/>
      <c r="Y161" s="2263"/>
      <c r="Z161" s="2263"/>
    </row>
    <row r="162" spans="1:26" s="2150" customFormat="1" ht="67.599999999999994" customHeight="1">
      <c r="A162" s="3768">
        <v>39</v>
      </c>
      <c r="B162" s="1543" t="str">
        <f t="shared" si="5"/>
        <v>2400001226</v>
      </c>
      <c r="C162" s="1902" t="s">
        <v>9174</v>
      </c>
      <c r="D162" s="2607">
        <f>SUM(L162:L164)</f>
        <v>2796</v>
      </c>
      <c r="E162" s="1921" t="s">
        <v>9175</v>
      </c>
      <c r="F162" s="1902" t="s">
        <v>40</v>
      </c>
      <c r="G162" s="1921" t="s">
        <v>9176</v>
      </c>
      <c r="H162" s="1921"/>
      <c r="I162" s="1921" t="s">
        <v>65</v>
      </c>
      <c r="J162" s="1921" t="s">
        <v>9177</v>
      </c>
      <c r="K162" s="1911" t="s">
        <v>9178</v>
      </c>
      <c r="L162" s="2583">
        <v>2000</v>
      </c>
      <c r="M162" s="2196" t="s">
        <v>9102</v>
      </c>
      <c r="N162" s="1902"/>
      <c r="O162" s="1775" t="s">
        <v>9179</v>
      </c>
      <c r="P162" s="2429">
        <v>3</v>
      </c>
      <c r="Q162" s="1921"/>
      <c r="R162" s="1921"/>
      <c r="S162" s="1921"/>
      <c r="T162" s="1909"/>
      <c r="X162" s="1902"/>
      <c r="Y162" s="1902"/>
      <c r="Z162" s="1902"/>
    </row>
    <row r="163" spans="1:26" s="2150" customFormat="1" ht="67.599999999999994" customHeight="1">
      <c r="A163" s="3770"/>
      <c r="B163" s="1543" t="str">
        <f t="shared" si="5"/>
        <v>2400001236</v>
      </c>
      <c r="C163" s="1493" t="s">
        <v>9174</v>
      </c>
      <c r="D163" s="1494"/>
      <c r="E163" s="1495"/>
      <c r="F163" s="1493" t="s">
        <v>40</v>
      </c>
      <c r="G163" s="1495"/>
      <c r="H163" s="1495"/>
      <c r="I163" s="1495" t="s">
        <v>65</v>
      </c>
      <c r="J163" s="1495" t="s">
        <v>9177</v>
      </c>
      <c r="K163" s="1547" t="s">
        <v>9180</v>
      </c>
      <c r="L163" s="2357">
        <v>700</v>
      </c>
      <c r="M163" s="2825" t="s">
        <v>5255</v>
      </c>
      <c r="N163" s="1493"/>
      <c r="O163" s="1775" t="s">
        <v>9179</v>
      </c>
      <c r="P163" s="1790">
        <v>3</v>
      </c>
      <c r="Q163" s="1495"/>
      <c r="R163" s="1495"/>
      <c r="S163" s="1495"/>
      <c r="T163" s="1909"/>
      <c r="U163" s="1548"/>
      <c r="V163" s="1548"/>
      <c r="W163" s="1548"/>
      <c r="X163" s="1493"/>
      <c r="Y163" s="1493"/>
      <c r="Z163" s="1493"/>
    </row>
    <row r="164" spans="1:26" s="2150" customFormat="1" ht="67.599999999999994" customHeight="1">
      <c r="A164" s="3770"/>
      <c r="B164" s="2051" t="str">
        <f t="shared" si="5"/>
        <v>2400001238</v>
      </c>
      <c r="C164" s="1493" t="s">
        <v>9174</v>
      </c>
      <c r="D164" s="1494"/>
      <c r="E164" s="1495"/>
      <c r="F164" s="1493" t="s">
        <v>40</v>
      </c>
      <c r="G164" s="1495"/>
      <c r="H164" s="1495"/>
      <c r="I164" s="1495" t="s">
        <v>65</v>
      </c>
      <c r="J164" s="1495" t="s">
        <v>9177</v>
      </c>
      <c r="K164" s="1547" t="s">
        <v>9181</v>
      </c>
      <c r="L164" s="2357">
        <v>96</v>
      </c>
      <c r="M164" s="2825" t="s">
        <v>5255</v>
      </c>
      <c r="N164" s="1493"/>
      <c r="O164" s="1775" t="s">
        <v>9179</v>
      </c>
      <c r="P164" s="1790">
        <v>3</v>
      </c>
      <c r="Q164" s="1495"/>
      <c r="R164" s="1495"/>
      <c r="S164" s="1495"/>
      <c r="T164" s="1909"/>
      <c r="U164" s="1548"/>
      <c r="V164" s="1548"/>
      <c r="W164" s="1548"/>
      <c r="X164" s="1493"/>
      <c r="Y164" s="1493"/>
      <c r="Z164" s="1493"/>
    </row>
    <row r="165" spans="1:26" s="2150" customFormat="1" ht="67.599999999999994" customHeight="1">
      <c r="A165" s="3770"/>
      <c r="B165" s="2051" t="str">
        <f t="shared" si="5"/>
        <v>2400001239</v>
      </c>
      <c r="C165" s="1493" t="s">
        <v>9174</v>
      </c>
      <c r="D165" s="1494"/>
      <c r="E165" s="1495"/>
      <c r="F165" s="1493" t="s">
        <v>40</v>
      </c>
      <c r="G165" s="1495"/>
      <c r="H165" s="1495"/>
      <c r="I165" s="1495" t="s">
        <v>65</v>
      </c>
      <c r="J165" s="1495" t="s">
        <v>9177</v>
      </c>
      <c r="K165" s="1547" t="s">
        <v>9182</v>
      </c>
      <c r="L165" s="2357"/>
      <c r="M165" s="2825" t="s">
        <v>5255</v>
      </c>
      <c r="N165" s="1493"/>
      <c r="O165" s="1775" t="s">
        <v>9179</v>
      </c>
      <c r="P165" s="1790">
        <v>3</v>
      </c>
      <c r="Q165" s="1495"/>
      <c r="R165" s="1495"/>
      <c r="S165" s="1495"/>
      <c r="T165" s="1909"/>
      <c r="U165" s="1548"/>
      <c r="V165" s="1548"/>
      <c r="W165" s="1548"/>
      <c r="X165" s="1493"/>
      <c r="Y165" s="1493"/>
      <c r="Z165" s="1493"/>
    </row>
    <row r="166" spans="1:26" s="2150" customFormat="1" ht="67.599999999999994" customHeight="1">
      <c r="A166" s="3770"/>
      <c r="B166" s="1543" t="str">
        <f t="shared" si="5"/>
        <v>2400001232</v>
      </c>
      <c r="C166" s="1493" t="s">
        <v>9174</v>
      </c>
      <c r="D166" s="1494">
        <f>SUM(L166:L169)</f>
        <v>4070</v>
      </c>
      <c r="E166" s="1495" t="s">
        <v>9175</v>
      </c>
      <c r="F166" s="1493" t="s">
        <v>40</v>
      </c>
      <c r="G166" s="1495"/>
      <c r="H166" s="1495"/>
      <c r="I166" s="1495" t="s">
        <v>65</v>
      </c>
      <c r="J166" s="1495" t="s">
        <v>9183</v>
      </c>
      <c r="K166" s="1547" t="s">
        <v>9184</v>
      </c>
      <c r="L166" s="2357">
        <v>1885</v>
      </c>
      <c r="M166" s="2825" t="s">
        <v>5255</v>
      </c>
      <c r="N166" s="1493"/>
      <c r="O166" s="1859" t="s">
        <v>9185</v>
      </c>
      <c r="P166" s="1790">
        <v>3</v>
      </c>
      <c r="Q166" s="1495"/>
      <c r="R166" s="1495"/>
      <c r="S166" s="1495"/>
      <c r="T166" s="1909"/>
      <c r="U166" s="1548"/>
      <c r="V166" s="1548"/>
      <c r="W166" s="1548"/>
      <c r="X166" s="1493"/>
      <c r="Y166" s="1493"/>
      <c r="Z166" s="1493"/>
    </row>
    <row r="167" spans="1:26" s="2150" customFormat="1" ht="67.599999999999994" customHeight="1">
      <c r="A167" s="3770"/>
      <c r="B167" s="2051" t="str">
        <f t="shared" si="5"/>
        <v>2400001233</v>
      </c>
      <c r="C167" s="1493" t="s">
        <v>9174</v>
      </c>
      <c r="D167" s="1494"/>
      <c r="E167" s="1495"/>
      <c r="F167" s="1493" t="s">
        <v>40</v>
      </c>
      <c r="G167" s="1495"/>
      <c r="H167" s="1495"/>
      <c r="I167" s="1495" t="s">
        <v>65</v>
      </c>
      <c r="J167" s="1495" t="s">
        <v>9183</v>
      </c>
      <c r="K167" s="1547" t="s">
        <v>9186</v>
      </c>
      <c r="L167" s="2357">
        <v>850</v>
      </c>
      <c r="M167" s="2825" t="s">
        <v>5255</v>
      </c>
      <c r="N167" s="1493"/>
      <c r="O167" s="1859" t="s">
        <v>9185</v>
      </c>
      <c r="P167" s="1790">
        <v>3</v>
      </c>
      <c r="Q167" s="1495"/>
      <c r="R167" s="1495"/>
      <c r="S167" s="1495"/>
      <c r="T167" s="1909"/>
      <c r="U167" s="1548"/>
      <c r="V167" s="1548"/>
      <c r="W167" s="1548"/>
      <c r="X167" s="1493"/>
      <c r="Y167" s="1493"/>
      <c r="Z167" s="1493"/>
    </row>
    <row r="168" spans="1:26" s="2150" customFormat="1" ht="67.599999999999994" customHeight="1">
      <c r="A168" s="3770"/>
      <c r="B168" s="2051" t="str">
        <f t="shared" si="5"/>
        <v>2400001234</v>
      </c>
      <c r="C168" s="1493" t="s">
        <v>9174</v>
      </c>
      <c r="D168" s="1494"/>
      <c r="E168" s="1495"/>
      <c r="F168" s="1493" t="s">
        <v>40</v>
      </c>
      <c r="G168" s="1495"/>
      <c r="H168" s="1495"/>
      <c r="I168" s="1495" t="s">
        <v>65</v>
      </c>
      <c r="J168" s="1495" t="s">
        <v>9183</v>
      </c>
      <c r="K168" s="1547" t="s">
        <v>9187</v>
      </c>
      <c r="L168" s="2357">
        <v>1005</v>
      </c>
      <c r="M168" s="2825" t="s">
        <v>5255</v>
      </c>
      <c r="N168" s="1493"/>
      <c r="O168" s="1859" t="s">
        <v>9185</v>
      </c>
      <c r="P168" s="1790">
        <v>3</v>
      </c>
      <c r="Q168" s="1495"/>
      <c r="R168" s="1495"/>
      <c r="S168" s="1495"/>
      <c r="T168" s="1909"/>
      <c r="U168" s="1548"/>
      <c r="V168" s="1548"/>
      <c r="W168" s="1548"/>
      <c r="X168" s="1493"/>
      <c r="Y168" s="1493"/>
      <c r="Z168" s="1493"/>
    </row>
    <row r="169" spans="1:26" s="2150" customFormat="1" ht="67.599999999999994" customHeight="1">
      <c r="A169" s="3769"/>
      <c r="B169" s="1543" t="str">
        <f t="shared" si="5"/>
        <v>2400001235</v>
      </c>
      <c r="C169" s="1493" t="s">
        <v>9174</v>
      </c>
      <c r="D169" s="1494"/>
      <c r="E169" s="1495"/>
      <c r="F169" s="1493" t="s">
        <v>40</v>
      </c>
      <c r="G169" s="1495"/>
      <c r="H169" s="1495"/>
      <c r="I169" s="1495" t="s">
        <v>65</v>
      </c>
      <c r="J169" s="1543" t="s">
        <v>9183</v>
      </c>
      <c r="K169" s="1547" t="s">
        <v>9188</v>
      </c>
      <c r="L169" s="2357">
        <v>330</v>
      </c>
      <c r="M169" s="2825" t="s">
        <v>5255</v>
      </c>
      <c r="N169" s="1493"/>
      <c r="O169" s="1859" t="s">
        <v>9185</v>
      </c>
      <c r="P169" s="1790">
        <v>3</v>
      </c>
      <c r="Q169" s="1495"/>
      <c r="R169" s="1495"/>
      <c r="S169" s="1495"/>
      <c r="T169" s="1909"/>
      <c r="U169" s="1548"/>
      <c r="V169" s="1548"/>
      <c r="W169" s="1548"/>
      <c r="X169" s="1493"/>
      <c r="Y169" s="1493"/>
      <c r="Z169" s="1493"/>
    </row>
    <row r="170" spans="1:26" s="2150" customFormat="1" ht="58.6" customHeight="1">
      <c r="A170" s="3768">
        <v>40</v>
      </c>
      <c r="B170" s="2419" t="str">
        <f t="shared" si="5"/>
        <v>2200002087</v>
      </c>
      <c r="C170" s="2263" t="s">
        <v>114</v>
      </c>
      <c r="D170" s="2456">
        <v>3720</v>
      </c>
      <c r="E170" s="2187" t="s">
        <v>9189</v>
      </c>
      <c r="F170" s="2263" t="s">
        <v>22</v>
      </c>
      <c r="G170" s="2187" t="s">
        <v>9190</v>
      </c>
      <c r="H170" s="2187"/>
      <c r="I170" s="2823" t="s">
        <v>65</v>
      </c>
      <c r="J170" s="1902" t="s">
        <v>1000</v>
      </c>
      <c r="K170" s="2824" t="s">
        <v>9191</v>
      </c>
      <c r="L170" s="2564">
        <v>2280</v>
      </c>
      <c r="M170" s="2196" t="s">
        <v>9044</v>
      </c>
      <c r="N170" s="2263"/>
      <c r="O170" s="2565"/>
      <c r="P170" s="1790">
        <v>3</v>
      </c>
      <c r="Q170" s="2187"/>
      <c r="R170" s="2187"/>
      <c r="S170" s="2187"/>
      <c r="T170" s="2261"/>
      <c r="U170" s="2127"/>
      <c r="V170" s="2127"/>
      <c r="W170" s="2127"/>
      <c r="X170" s="2263"/>
      <c r="Y170" s="2263"/>
      <c r="Z170" s="2263"/>
    </row>
    <row r="171" spans="1:26" s="2150" customFormat="1" ht="58.6" customHeight="1">
      <c r="A171" s="3770"/>
      <c r="B171" s="1900" t="str">
        <f t="shared" si="5"/>
        <v>2200002088</v>
      </c>
      <c r="C171" s="1545" t="s">
        <v>114</v>
      </c>
      <c r="D171" s="2613"/>
      <c r="E171" s="1543"/>
      <c r="F171" s="1545" t="s">
        <v>22</v>
      </c>
      <c r="G171" s="1543"/>
      <c r="H171" s="1543"/>
      <c r="I171" s="1493" t="s">
        <v>65</v>
      </c>
      <c r="J171" s="1902" t="s">
        <v>1000</v>
      </c>
      <c r="K171" s="1936" t="s">
        <v>9192</v>
      </c>
      <c r="L171" s="2543">
        <v>1516</v>
      </c>
      <c r="M171" s="2187" t="s">
        <v>9171</v>
      </c>
      <c r="N171" s="2263"/>
      <c r="O171" s="2565"/>
      <c r="P171" s="1790">
        <v>3</v>
      </c>
      <c r="Q171" s="2187"/>
      <c r="R171" s="2187"/>
      <c r="S171" s="2187"/>
      <c r="T171" s="2261"/>
      <c r="U171" s="2127"/>
      <c r="V171" s="2127"/>
      <c r="W171" s="2127"/>
      <c r="X171" s="2263"/>
      <c r="Y171" s="2263"/>
      <c r="Z171" s="2263"/>
    </row>
    <row r="172" spans="1:26" s="2150" customFormat="1" ht="58.6" customHeight="1">
      <c r="A172" s="3776">
        <v>41</v>
      </c>
      <c r="B172" s="2419" t="str">
        <f t="shared" si="5"/>
        <v>2000003113</v>
      </c>
      <c r="C172" s="1902" t="s">
        <v>247</v>
      </c>
      <c r="D172" s="2607">
        <v>4200</v>
      </c>
      <c r="E172" s="1921" t="s">
        <v>9193</v>
      </c>
      <c r="F172" s="1902" t="s">
        <v>18</v>
      </c>
      <c r="G172" s="1921" t="s">
        <v>9194</v>
      </c>
      <c r="H172" s="1921"/>
      <c r="I172" s="1902" t="s">
        <v>65</v>
      </c>
      <c r="J172" s="1921" t="s">
        <v>240</v>
      </c>
      <c r="K172" s="1911" t="s">
        <v>9195</v>
      </c>
      <c r="L172" s="2583">
        <v>3550</v>
      </c>
      <c r="M172" s="2196" t="s">
        <v>5238</v>
      </c>
      <c r="N172" s="1902"/>
      <c r="O172" s="1775"/>
      <c r="P172" s="1902">
        <v>3</v>
      </c>
      <c r="Q172" s="1921"/>
      <c r="R172" s="1921"/>
      <c r="S172" s="1921"/>
      <c r="T172" s="1909"/>
      <c r="X172" s="1902"/>
      <c r="Y172" s="1902"/>
      <c r="Z172" s="1902"/>
    </row>
    <row r="173" spans="1:26" s="2150" customFormat="1" ht="58.6" customHeight="1">
      <c r="A173" s="3776"/>
      <c r="B173" s="1900" t="str">
        <f t="shared" si="5"/>
        <v>2000003123</v>
      </c>
      <c r="C173" s="1493" t="s">
        <v>247</v>
      </c>
      <c r="D173" s="1494"/>
      <c r="E173" s="1495" t="s">
        <v>166</v>
      </c>
      <c r="F173" s="1493" t="s">
        <v>18</v>
      </c>
      <c r="G173" s="1495"/>
      <c r="H173" s="1495"/>
      <c r="I173" s="1493" t="s">
        <v>65</v>
      </c>
      <c r="J173" s="1495" t="s">
        <v>117</v>
      </c>
      <c r="K173" s="1600" t="s">
        <v>9196</v>
      </c>
      <c r="L173" s="2357">
        <v>700</v>
      </c>
      <c r="M173" s="1493" t="s">
        <v>5255</v>
      </c>
      <c r="N173" s="1493"/>
      <c r="O173" s="1859"/>
      <c r="P173" s="1790">
        <v>3</v>
      </c>
      <c r="Q173" s="1495"/>
      <c r="R173" s="1495"/>
      <c r="S173" s="1495"/>
      <c r="T173" s="1909"/>
      <c r="U173" s="1548"/>
      <c r="V173" s="1548"/>
      <c r="W173" s="1548"/>
      <c r="X173" s="1493"/>
      <c r="Y173" s="1493"/>
      <c r="Z173" s="1493"/>
    </row>
    <row r="174" spans="1:26" s="2150" customFormat="1" ht="71.349999999999994" customHeight="1">
      <c r="A174" s="3769">
        <v>42</v>
      </c>
      <c r="B174" s="2419" t="str">
        <f t="shared" si="5"/>
        <v>2000003117</v>
      </c>
      <c r="C174" s="1902" t="s">
        <v>5428</v>
      </c>
      <c r="D174" s="2607">
        <v>3250</v>
      </c>
      <c r="E174" s="1921" t="s">
        <v>9197</v>
      </c>
      <c r="F174" s="1902" t="s">
        <v>22</v>
      </c>
      <c r="G174" s="1909" t="s">
        <v>9198</v>
      </c>
      <c r="H174" s="1921"/>
      <c r="I174" s="1902" t="s">
        <v>65</v>
      </c>
      <c r="J174" s="1902" t="s">
        <v>117</v>
      </c>
      <c r="K174" s="1916" t="s">
        <v>9199</v>
      </c>
      <c r="L174" s="2179">
        <v>2950</v>
      </c>
      <c r="M174" s="1921" t="s">
        <v>9200</v>
      </c>
      <c r="N174" s="1902" t="s">
        <v>9201</v>
      </c>
      <c r="O174" s="1775"/>
      <c r="P174" s="2429">
        <v>3</v>
      </c>
      <c r="Q174" s="1921"/>
      <c r="R174" s="1921"/>
      <c r="S174" s="1921"/>
      <c r="T174" s="1909"/>
      <c r="X174" s="1902"/>
      <c r="Y174" s="1902"/>
      <c r="Z174" s="1902"/>
    </row>
    <row r="175" spans="1:26" s="2150" customFormat="1" ht="71.349999999999994" customHeight="1">
      <c r="A175" s="3776"/>
      <c r="B175" s="1900" t="str">
        <f t="shared" si="5"/>
        <v>2200002079</v>
      </c>
      <c r="C175" s="1493" t="s">
        <v>5428</v>
      </c>
      <c r="D175" s="1494"/>
      <c r="E175" s="1495"/>
      <c r="F175" s="1493" t="s">
        <v>22</v>
      </c>
      <c r="G175" s="1909"/>
      <c r="H175" s="1921"/>
      <c r="I175" s="1493" t="s">
        <v>65</v>
      </c>
      <c r="J175" s="1495" t="s">
        <v>142</v>
      </c>
      <c r="K175" s="1770" t="s">
        <v>9202</v>
      </c>
      <c r="L175" s="2183">
        <v>300</v>
      </c>
      <c r="M175" s="1921" t="s">
        <v>9203</v>
      </c>
      <c r="N175" s="1902"/>
      <c r="O175" s="1775"/>
      <c r="P175" s="2429"/>
      <c r="Q175" s="1921"/>
      <c r="R175" s="1921"/>
      <c r="S175" s="1921"/>
      <c r="T175" s="1909"/>
      <c r="X175" s="1902"/>
      <c r="Y175" s="1902"/>
      <c r="Z175" s="1902"/>
    </row>
    <row r="176" spans="1:26" s="2167" customFormat="1" ht="69.8" customHeight="1">
      <c r="A176" s="3893"/>
      <c r="B176" s="111" t="str">
        <f t="shared" si="5"/>
        <v>2400001259</v>
      </c>
      <c r="C176" s="102"/>
      <c r="D176" s="2826"/>
      <c r="E176" s="1216"/>
      <c r="F176" s="102" t="s">
        <v>22</v>
      </c>
      <c r="G176" s="3890" t="s">
        <v>9204</v>
      </c>
      <c r="H176" s="109" t="s">
        <v>9205</v>
      </c>
      <c r="I176" s="109" t="s">
        <v>65</v>
      </c>
      <c r="J176" s="1853" t="s">
        <v>9206</v>
      </c>
      <c r="K176" s="143" t="s">
        <v>9207</v>
      </c>
      <c r="L176" s="2827">
        <v>150</v>
      </c>
      <c r="M176" s="1772" t="s">
        <v>9208</v>
      </c>
      <c r="N176" s="2542"/>
      <c r="O176" s="1216" t="s">
        <v>9209</v>
      </c>
      <c r="P176" s="1853">
        <v>3</v>
      </c>
      <c r="Q176" s="1216"/>
      <c r="R176" s="1216"/>
      <c r="S176" s="1216"/>
      <c r="T176" s="1216"/>
      <c r="U176" s="2783"/>
      <c r="V176" s="2783"/>
      <c r="W176" s="2783"/>
      <c r="X176" s="2542"/>
      <c r="Y176" s="2542"/>
      <c r="Z176" s="2542"/>
    </row>
    <row r="177" spans="1:26" s="2167" customFormat="1" ht="69.8" customHeight="1">
      <c r="A177" s="3893"/>
      <c r="B177" s="2013" t="str">
        <f t="shared" si="5"/>
        <v>2400001211</v>
      </c>
      <c r="C177" s="102"/>
      <c r="D177" s="2826"/>
      <c r="E177" s="1216"/>
      <c r="F177" s="102" t="s">
        <v>22</v>
      </c>
      <c r="G177" s="3891"/>
      <c r="H177" s="109" t="s">
        <v>9205</v>
      </c>
      <c r="I177" s="109" t="s">
        <v>65</v>
      </c>
      <c r="J177" s="1853" t="s">
        <v>9206</v>
      </c>
      <c r="K177" s="143" t="s">
        <v>9210</v>
      </c>
      <c r="L177" s="2827">
        <v>75</v>
      </c>
      <c r="M177" s="1772" t="s">
        <v>9208</v>
      </c>
      <c r="N177" s="2542"/>
      <c r="O177" s="1216"/>
      <c r="P177" s="1853">
        <v>3</v>
      </c>
      <c r="Q177" s="1216"/>
      <c r="R177" s="1216"/>
      <c r="S177" s="1216"/>
      <c r="T177" s="1216"/>
      <c r="U177" s="2783"/>
      <c r="V177" s="2783"/>
      <c r="W177" s="2783"/>
      <c r="X177" s="2542"/>
      <c r="Y177" s="2542"/>
      <c r="Z177" s="2542"/>
    </row>
    <row r="178" spans="1:26" s="2167" customFormat="1" ht="69.8" customHeight="1">
      <c r="A178" s="3894"/>
      <c r="B178" s="2013" t="str">
        <f t="shared" si="5"/>
        <v>2400001240</v>
      </c>
      <c r="C178" s="102"/>
      <c r="D178" s="2826"/>
      <c r="E178" s="1216"/>
      <c r="F178" s="102" t="s">
        <v>22</v>
      </c>
      <c r="G178" s="3892"/>
      <c r="H178" s="109" t="s">
        <v>9205</v>
      </c>
      <c r="I178" s="109" t="s">
        <v>65</v>
      </c>
      <c r="J178" s="1853" t="s">
        <v>9206</v>
      </c>
      <c r="K178" s="143" t="s">
        <v>9211</v>
      </c>
      <c r="L178" s="2827">
        <v>125</v>
      </c>
      <c r="M178" s="1772" t="s">
        <v>9208</v>
      </c>
      <c r="N178" s="2542"/>
      <c r="O178" s="1216"/>
      <c r="P178" s="1853">
        <v>3</v>
      </c>
      <c r="Q178" s="1216"/>
      <c r="R178" s="1216"/>
      <c r="S178" s="1216"/>
      <c r="T178" s="1216"/>
      <c r="U178" s="2783"/>
      <c r="V178" s="2783"/>
      <c r="W178" s="2783"/>
      <c r="X178" s="2542"/>
      <c r="Y178" s="2542"/>
      <c r="Z178" s="2542"/>
    </row>
    <row r="179" spans="1:26" s="1777" customFormat="1" ht="58.6" customHeight="1">
      <c r="A179" s="2815"/>
      <c r="B179" s="2742" t="str">
        <f t="shared" ref="B179:B181" si="6">TEXT(LEFT(K179,10),"0000000000")</f>
        <v>2000003020</v>
      </c>
      <c r="C179" s="2771" t="s">
        <v>2509</v>
      </c>
      <c r="D179" s="2772">
        <v>200</v>
      </c>
      <c r="E179" s="2742"/>
      <c r="F179" s="2771" t="s">
        <v>24</v>
      </c>
      <c r="G179" s="2742"/>
      <c r="H179" s="2742"/>
      <c r="I179" s="2742" t="s">
        <v>65</v>
      </c>
      <c r="J179" s="2814" t="s">
        <v>1653</v>
      </c>
      <c r="K179" s="2773" t="s">
        <v>5550</v>
      </c>
      <c r="L179" s="2774">
        <v>200</v>
      </c>
      <c r="M179" s="2763" t="s">
        <v>5255</v>
      </c>
      <c r="N179" s="2771"/>
      <c r="O179" s="2775"/>
      <c r="P179" s="2763">
        <v>2</v>
      </c>
      <c r="Q179" s="2742"/>
      <c r="R179" s="2742"/>
      <c r="S179" s="2742"/>
      <c r="T179" s="2777"/>
      <c r="U179" s="2776"/>
      <c r="V179" s="2776"/>
      <c r="W179" s="2776"/>
      <c r="X179" s="2771"/>
      <c r="Y179" s="2771"/>
      <c r="Z179" s="2771"/>
    </row>
    <row r="180" spans="1:26" s="1777" customFormat="1" ht="58.6" customHeight="1">
      <c r="A180" s="2770"/>
      <c r="B180" s="2742" t="str">
        <f t="shared" si="6"/>
        <v>2000003031</v>
      </c>
      <c r="C180" s="2771" t="s">
        <v>2509</v>
      </c>
      <c r="D180" s="2772">
        <v>750</v>
      </c>
      <c r="E180" s="2742" t="s">
        <v>9212</v>
      </c>
      <c r="F180" s="2771" t="s">
        <v>24</v>
      </c>
      <c r="G180" s="2742"/>
      <c r="H180" s="2742"/>
      <c r="I180" s="2742" t="s">
        <v>65</v>
      </c>
      <c r="J180" s="2742" t="s">
        <v>275</v>
      </c>
      <c r="K180" s="2773" t="s">
        <v>9213</v>
      </c>
      <c r="L180" s="2774">
        <v>750</v>
      </c>
      <c r="M180" s="2787" t="s">
        <v>9214</v>
      </c>
      <c r="N180" s="2771"/>
      <c r="O180" s="2775"/>
      <c r="P180" s="2763">
        <v>2</v>
      </c>
      <c r="Q180" s="2742"/>
      <c r="R180" s="2742"/>
      <c r="S180" s="2742"/>
      <c r="T180" s="2777"/>
      <c r="U180" s="2776"/>
      <c r="V180" s="2776"/>
      <c r="W180" s="2776"/>
      <c r="X180" s="2771"/>
      <c r="Y180" s="2771"/>
      <c r="Z180" s="2771"/>
    </row>
    <row r="181" spans="1:26" s="1777" customFormat="1" ht="58.6" customHeight="1">
      <c r="A181" s="2770"/>
      <c r="B181" s="2742" t="str">
        <f t="shared" si="6"/>
        <v>2000003062</v>
      </c>
      <c r="C181" s="2771" t="s">
        <v>2509</v>
      </c>
      <c r="D181" s="2772">
        <v>750</v>
      </c>
      <c r="E181" s="2742"/>
      <c r="F181" s="2771" t="s">
        <v>24</v>
      </c>
      <c r="G181" s="2742"/>
      <c r="H181" s="2742"/>
      <c r="I181" s="2742" t="s">
        <v>65</v>
      </c>
      <c r="J181" s="2742" t="s">
        <v>275</v>
      </c>
      <c r="K181" s="2773" t="s">
        <v>9215</v>
      </c>
      <c r="L181" s="2774">
        <v>750</v>
      </c>
      <c r="M181" s="2787" t="s">
        <v>5255</v>
      </c>
      <c r="N181" s="2771"/>
      <c r="O181" s="2775"/>
      <c r="P181" s="2763">
        <v>2</v>
      </c>
      <c r="Q181" s="2742"/>
      <c r="R181" s="2742"/>
      <c r="S181" s="2742"/>
      <c r="T181" s="2777"/>
      <c r="U181" s="2776"/>
      <c r="V181" s="2776"/>
      <c r="W181" s="2776"/>
      <c r="X181" s="2771"/>
      <c r="Y181" s="2771"/>
      <c r="Z181" s="2771"/>
    </row>
    <row r="182" spans="1:26" s="1777" customFormat="1" ht="58.6" customHeight="1">
      <c r="A182" s="2770"/>
      <c r="B182" s="2742" t="str">
        <f t="shared" ref="B182:B188" si="7">TEXT(LEFT(K182,10),"0000000000")</f>
        <v>2200002050</v>
      </c>
      <c r="C182" s="2771" t="s">
        <v>2509</v>
      </c>
      <c r="D182" s="2772">
        <v>6670</v>
      </c>
      <c r="E182" s="2742" t="s">
        <v>9216</v>
      </c>
      <c r="F182" s="2771" t="s">
        <v>24</v>
      </c>
      <c r="G182" s="2742"/>
      <c r="H182" s="2742"/>
      <c r="I182" s="2742" t="s">
        <v>65</v>
      </c>
      <c r="J182" s="2742" t="s">
        <v>275</v>
      </c>
      <c r="K182" s="2773" t="s">
        <v>9217</v>
      </c>
      <c r="L182" s="2774">
        <v>6670</v>
      </c>
      <c r="M182" s="2787" t="s">
        <v>9218</v>
      </c>
      <c r="N182" s="2771"/>
      <c r="O182" s="2775"/>
      <c r="P182" s="2763">
        <v>1</v>
      </c>
      <c r="Q182" s="2742"/>
      <c r="R182" s="2742"/>
      <c r="S182" s="2742"/>
      <c r="T182" s="2777"/>
      <c r="U182" s="2776"/>
      <c r="V182" s="2776"/>
      <c r="W182" s="2776"/>
      <c r="X182" s="2771"/>
      <c r="Y182" s="2771"/>
      <c r="Z182" s="2771"/>
    </row>
    <row r="183" spans="1:26" s="1777" customFormat="1" ht="58.6" customHeight="1">
      <c r="A183" s="2770"/>
      <c r="B183" s="2742" t="str">
        <f t="shared" si="7"/>
        <v>2000003020</v>
      </c>
      <c r="C183" s="2771" t="s">
        <v>2509</v>
      </c>
      <c r="D183" s="2772">
        <v>150</v>
      </c>
      <c r="E183" s="2742" t="s">
        <v>9219</v>
      </c>
      <c r="F183" s="2771" t="s">
        <v>24</v>
      </c>
      <c r="G183" s="2742"/>
      <c r="H183" s="2742"/>
      <c r="I183" s="2742" t="s">
        <v>65</v>
      </c>
      <c r="J183" s="2742" t="s">
        <v>1653</v>
      </c>
      <c r="K183" s="2773" t="s">
        <v>9220</v>
      </c>
      <c r="L183" s="2774">
        <v>150</v>
      </c>
      <c r="M183" s="2787" t="s">
        <v>9221</v>
      </c>
      <c r="N183" s="2771"/>
      <c r="O183" s="2775"/>
      <c r="P183" s="2763">
        <v>2</v>
      </c>
      <c r="Q183" s="2742"/>
      <c r="R183" s="2742"/>
      <c r="S183" s="2742"/>
      <c r="T183" s="2777"/>
      <c r="U183" s="2776"/>
      <c r="V183" s="2776"/>
      <c r="W183" s="2776"/>
      <c r="X183" s="2771"/>
      <c r="Y183" s="2771"/>
      <c r="Z183" s="2771"/>
    </row>
    <row r="184" spans="1:26" s="2740" customFormat="1" ht="58.6" customHeight="1">
      <c r="A184" s="2732"/>
      <c r="B184" s="2742" t="str">
        <f t="shared" si="7"/>
        <v>2200002013</v>
      </c>
      <c r="C184" s="2733" t="s">
        <v>2509</v>
      </c>
      <c r="D184" s="2734">
        <v>1350</v>
      </c>
      <c r="E184" s="2735" t="s">
        <v>9222</v>
      </c>
      <c r="F184" s="2771" t="s">
        <v>24</v>
      </c>
      <c r="G184" s="2735"/>
      <c r="H184" s="2735"/>
      <c r="I184" s="2733" t="s">
        <v>65</v>
      </c>
      <c r="J184" s="2735" t="s">
        <v>275</v>
      </c>
      <c r="K184" s="2736" t="s">
        <v>5543</v>
      </c>
      <c r="L184" s="2737">
        <v>1350</v>
      </c>
      <c r="M184" s="2735" t="s">
        <v>9223</v>
      </c>
      <c r="N184" s="2733"/>
      <c r="O184" s="2738"/>
      <c r="P184" s="2739">
        <v>2</v>
      </c>
      <c r="Q184" s="2735"/>
      <c r="R184" s="2735"/>
      <c r="S184" s="2735"/>
      <c r="T184" s="2741"/>
      <c r="X184" s="2733"/>
      <c r="Y184" s="2733"/>
      <c r="Z184" s="2733"/>
    </row>
    <row r="185" spans="1:26" s="2740" customFormat="1" ht="58.6" customHeight="1">
      <c r="A185" s="2732"/>
      <c r="B185" s="2742" t="str">
        <f t="shared" si="7"/>
        <v>2200002061</v>
      </c>
      <c r="C185" s="2733" t="s">
        <v>2509</v>
      </c>
      <c r="D185" s="2734">
        <v>3179</v>
      </c>
      <c r="E185" s="2735" t="s">
        <v>9224</v>
      </c>
      <c r="F185" s="2771" t="s">
        <v>24</v>
      </c>
      <c r="G185" s="2735"/>
      <c r="H185" s="2735"/>
      <c r="I185" s="2733" t="s">
        <v>65</v>
      </c>
      <c r="J185" s="2735" t="s">
        <v>275</v>
      </c>
      <c r="K185" s="2736" t="s">
        <v>9225</v>
      </c>
      <c r="L185" s="2737">
        <v>3179</v>
      </c>
      <c r="M185" s="2733" t="s">
        <v>5255</v>
      </c>
      <c r="N185" s="2733"/>
      <c r="O185" s="2738"/>
      <c r="P185" s="2739">
        <v>2</v>
      </c>
      <c r="Q185" s="2735"/>
      <c r="R185" s="2735"/>
      <c r="S185" s="2735"/>
      <c r="T185" s="2741"/>
      <c r="X185" s="2733"/>
      <c r="Y185" s="2733"/>
      <c r="Z185" s="2733"/>
    </row>
    <row r="186" spans="1:26" s="2740" customFormat="1" ht="58.6" customHeight="1">
      <c r="A186" s="2732"/>
      <c r="B186" s="2742" t="str">
        <f t="shared" si="7"/>
        <v>2000003072</v>
      </c>
      <c r="C186" s="2733" t="s">
        <v>2509</v>
      </c>
      <c r="D186" s="2734">
        <v>300</v>
      </c>
      <c r="E186" s="2735"/>
      <c r="F186" s="2771" t="s">
        <v>24</v>
      </c>
      <c r="G186" s="2735"/>
      <c r="H186" s="2735"/>
      <c r="I186" s="2735" t="s">
        <v>65</v>
      </c>
      <c r="J186" s="2735" t="s">
        <v>275</v>
      </c>
      <c r="K186" s="2736" t="s">
        <v>9226</v>
      </c>
      <c r="L186" s="2737">
        <v>300</v>
      </c>
      <c r="M186" s="2739" t="s">
        <v>9227</v>
      </c>
      <c r="N186" s="2733"/>
      <c r="O186" s="2738"/>
      <c r="P186" s="2739">
        <v>3</v>
      </c>
      <c r="Q186" s="2735"/>
      <c r="R186" s="2735"/>
      <c r="S186" s="2735"/>
      <c r="T186" s="2741"/>
      <c r="X186" s="2733"/>
      <c r="Y186" s="2733"/>
      <c r="Z186" s="2733"/>
    </row>
    <row r="187" spans="1:26" s="2740" customFormat="1" ht="58.6" customHeight="1">
      <c r="A187" s="2732"/>
      <c r="B187" s="2742" t="str">
        <f t="shared" si="7"/>
        <v>2200002068</v>
      </c>
      <c r="C187" s="2733" t="s">
        <v>2509</v>
      </c>
      <c r="D187" s="2734">
        <v>2322</v>
      </c>
      <c r="E187" s="2735" t="s">
        <v>9228</v>
      </c>
      <c r="F187" s="2771" t="s">
        <v>24</v>
      </c>
      <c r="G187" s="2735"/>
      <c r="H187" s="2735"/>
      <c r="I187" s="2735" t="s">
        <v>65</v>
      </c>
      <c r="J187" s="2735" t="s">
        <v>275</v>
      </c>
      <c r="K187" s="2736" t="s">
        <v>9229</v>
      </c>
      <c r="L187" s="2737">
        <v>2322</v>
      </c>
      <c r="M187" s="2739" t="s">
        <v>9230</v>
      </c>
      <c r="N187" s="2733"/>
      <c r="O187" s="2738"/>
      <c r="P187" s="2739">
        <v>3</v>
      </c>
      <c r="Q187" s="2735"/>
      <c r="R187" s="2735"/>
      <c r="S187" s="2735"/>
      <c r="T187" s="2741"/>
      <c r="X187" s="2733"/>
      <c r="Y187" s="2733"/>
      <c r="Z187" s="2733"/>
    </row>
    <row r="188" spans="1:26" s="2776" customFormat="1" ht="58.6" customHeight="1">
      <c r="A188" s="2770"/>
      <c r="B188" s="2742" t="str">
        <f t="shared" si="7"/>
        <v>2200002071</v>
      </c>
      <c r="C188" s="2771" t="s">
        <v>2509</v>
      </c>
      <c r="D188" s="2772">
        <v>3043</v>
      </c>
      <c r="E188" s="2742" t="s">
        <v>9231</v>
      </c>
      <c r="F188" s="2771" t="s">
        <v>24</v>
      </c>
      <c r="G188" s="2742"/>
      <c r="H188" s="2742"/>
      <c r="I188" s="2742" t="s">
        <v>65</v>
      </c>
      <c r="J188" s="2742" t="s">
        <v>275</v>
      </c>
      <c r="K188" s="2773" t="s">
        <v>9232</v>
      </c>
      <c r="L188" s="2774">
        <v>3043</v>
      </c>
      <c r="M188" s="2818" t="s">
        <v>9044</v>
      </c>
      <c r="N188" s="2771"/>
      <c r="O188" s="2775"/>
      <c r="P188" s="2763">
        <v>3</v>
      </c>
      <c r="Q188" s="2742"/>
      <c r="R188" s="2742"/>
      <c r="S188" s="2742"/>
      <c r="T188" s="2777"/>
      <c r="X188" s="2771"/>
      <c r="Y188" s="2771"/>
      <c r="Z188" s="2771"/>
    </row>
    <row r="189" spans="1:26" s="2740" customFormat="1" ht="58.6" customHeight="1">
      <c r="A189" s="2733"/>
      <c r="B189" s="2733" t="str">
        <f>TEXT(LEFT(K189,10),"0000000000")</f>
        <v>2200002080</v>
      </c>
      <c r="C189" s="2733" t="s">
        <v>2509</v>
      </c>
      <c r="D189" s="2816">
        <v>2045</v>
      </c>
      <c r="E189" s="2733" t="s">
        <v>9233</v>
      </c>
      <c r="F189" s="2733" t="s">
        <v>24</v>
      </c>
      <c r="G189" s="2733"/>
      <c r="H189" s="2733"/>
      <c r="I189" s="2733" t="s">
        <v>65</v>
      </c>
      <c r="J189" s="2733" t="s">
        <v>275</v>
      </c>
      <c r="K189" s="2736" t="s">
        <v>9234</v>
      </c>
      <c r="L189" s="2816">
        <v>2045</v>
      </c>
      <c r="M189" s="2817" t="s">
        <v>9235</v>
      </c>
      <c r="N189" s="2733"/>
      <c r="O189" s="2733"/>
      <c r="P189" s="2733">
        <v>3</v>
      </c>
      <c r="Q189" s="2733"/>
      <c r="R189" s="2733"/>
      <c r="S189" s="2733"/>
      <c r="T189" s="2733"/>
      <c r="U189" s="2733"/>
      <c r="V189" s="2733"/>
      <c r="W189" s="2733"/>
      <c r="X189" s="2733"/>
      <c r="Y189" s="2733"/>
      <c r="Z189" s="2733"/>
    </row>
    <row r="190" spans="1:26" s="2740" customFormat="1" ht="58.6" customHeight="1">
      <c r="A190" s="2733"/>
      <c r="B190" s="2733" t="str">
        <f>TEXT(LEFT(K190,10),"0000000000")</f>
        <v>2000003062</v>
      </c>
      <c r="C190" s="2733" t="s">
        <v>2509</v>
      </c>
      <c r="D190" s="2816">
        <v>400</v>
      </c>
      <c r="E190" s="2733" t="s">
        <v>9236</v>
      </c>
      <c r="F190" s="2733" t="s">
        <v>24</v>
      </c>
      <c r="G190" s="2733"/>
      <c r="H190" s="2733"/>
      <c r="I190" s="2733" t="s">
        <v>65</v>
      </c>
      <c r="J190" s="2733" t="s">
        <v>275</v>
      </c>
      <c r="K190" s="2736" t="s">
        <v>9237</v>
      </c>
      <c r="L190" s="2816">
        <v>400</v>
      </c>
      <c r="M190" s="2817" t="s">
        <v>9238</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topRight"/>
      <selection pane="bottomLeft" activeCell="A4" sqref="A4"/>
      <selection pane="bottomRight"/>
    </sheetView>
  </sheetViews>
  <sheetFormatPr defaultColWidth="32.125" defaultRowHeight="58.6"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375" style="271" customWidth="1"/>
    <col min="11" max="11" width="90.37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777" t="s">
        <v>9239</v>
      </c>
      <c r="B1" s="3777"/>
      <c r="C1" s="3777"/>
      <c r="D1" s="3777"/>
      <c r="E1" s="3777"/>
      <c r="F1" s="3777"/>
      <c r="G1" s="3777"/>
      <c r="H1" s="3777"/>
      <c r="I1" s="3777"/>
      <c r="J1" s="3777"/>
      <c r="K1" s="3777"/>
      <c r="L1" s="3777"/>
      <c r="M1" s="3777"/>
      <c r="N1" s="3777"/>
      <c r="O1" s="3777"/>
      <c r="P1" s="3777"/>
      <c r="Q1" s="2882"/>
    </row>
    <row r="2" spans="1:26" ht="58.6" customHeight="1">
      <c r="A2" s="3793" t="s">
        <v>5208</v>
      </c>
      <c r="B2" s="3793"/>
      <c r="C2" s="3793"/>
      <c r="D2" s="2215">
        <f>SUBTOTAL(9,D3:D335)</f>
        <v>413677</v>
      </c>
      <c r="E2" s="2820"/>
      <c r="F2" s="2092"/>
      <c r="G2" s="2269" t="s">
        <v>5209</v>
      </c>
      <c r="H2" s="1932"/>
      <c r="I2" s="1932"/>
      <c r="J2" s="2765"/>
      <c r="K2" s="2762">
        <f ca="1">TODAY()</f>
        <v>45988</v>
      </c>
      <c r="L2" s="2272">
        <f>SUBTOTAL(9,L4:L518)</f>
        <v>413456</v>
      </c>
      <c r="M2" s="2339" t="s">
        <v>7235</v>
      </c>
      <c r="N2" s="2272">
        <f>SUBTOTAL(9,N4:N518)</f>
        <v>0</v>
      </c>
      <c r="O2" s="2099" t="s">
        <v>5211</v>
      </c>
      <c r="P2" s="2786" t="s">
        <v>0</v>
      </c>
      <c r="Q2" s="2786"/>
    </row>
    <row r="3" spans="1:26" s="2709" customFormat="1" ht="58.6" customHeight="1">
      <c r="A3" s="2812" t="s">
        <v>48</v>
      </c>
      <c r="B3" s="2704" t="s">
        <v>5213</v>
      </c>
      <c r="C3" s="2707" t="s">
        <v>5214</v>
      </c>
      <c r="D3" s="2706" t="s">
        <v>5215</v>
      </c>
      <c r="E3" s="2707" t="s">
        <v>3430</v>
      </c>
      <c r="F3" s="2705" t="s">
        <v>52</v>
      </c>
      <c r="G3" s="2707" t="s">
        <v>3431</v>
      </c>
      <c r="H3" s="2707" t="s">
        <v>5216</v>
      </c>
      <c r="I3" s="2707" t="s">
        <v>55</v>
      </c>
      <c r="J3" s="2707" t="s">
        <v>56</v>
      </c>
      <c r="K3" s="2707" t="s">
        <v>8893</v>
      </c>
      <c r="L3" s="2711" t="s">
        <v>5218</v>
      </c>
      <c r="M3" s="2710" t="s">
        <v>5219</v>
      </c>
      <c r="N3" s="2755" t="s">
        <v>5220</v>
      </c>
      <c r="O3" s="2704" t="s">
        <v>58</v>
      </c>
      <c r="P3" s="2794" t="s">
        <v>5221</v>
      </c>
      <c r="Q3" s="2794"/>
    </row>
    <row r="4" spans="1:26" s="2643" customFormat="1" ht="58.6" customHeight="1">
      <c r="A4" s="1902">
        <v>1</v>
      </c>
      <c r="B4" s="1900" t="str">
        <f t="shared" ref="B4:B20" si="0">TEXT(LEFT(K4,10),"0000000000")</f>
        <v>2000003117</v>
      </c>
      <c r="C4" s="1902" t="s">
        <v>134</v>
      </c>
      <c r="D4" s="2179">
        <v>2950</v>
      </c>
      <c r="E4" s="1921" t="s">
        <v>9240</v>
      </c>
      <c r="F4" s="1902" t="s">
        <v>22</v>
      </c>
      <c r="G4" s="1921" t="s">
        <v>9241</v>
      </c>
      <c r="H4" s="1909" t="s">
        <v>9242</v>
      </c>
      <c r="I4" s="1902" t="s">
        <v>65</v>
      </c>
      <c r="J4" s="1902" t="s">
        <v>117</v>
      </c>
      <c r="K4" s="2150" t="s">
        <v>9243</v>
      </c>
      <c r="L4" s="2179">
        <v>2950</v>
      </c>
      <c r="M4" s="2429" t="s">
        <v>9244</v>
      </c>
      <c r="N4" s="2150"/>
      <c r="O4" s="1775"/>
      <c r="P4" s="1790">
        <v>1</v>
      </c>
      <c r="Q4" s="1790"/>
    </row>
    <row r="5" spans="1:26" s="2643" customFormat="1" ht="94.6" customHeight="1">
      <c r="A5" s="2436">
        <v>2</v>
      </c>
      <c r="B5" s="1900" t="str">
        <f t="shared" si="0"/>
        <v>2000003120</v>
      </c>
      <c r="C5" s="1902" t="s">
        <v>4824</v>
      </c>
      <c r="D5" s="2624">
        <v>5460</v>
      </c>
      <c r="E5" s="1921" t="s">
        <v>9245</v>
      </c>
      <c r="F5" s="1902" t="s">
        <v>14</v>
      </c>
      <c r="G5" s="1921" t="s">
        <v>9246</v>
      </c>
      <c r="H5" s="1921"/>
      <c r="I5" s="1902" t="s">
        <v>65</v>
      </c>
      <c r="J5" s="1921" t="s">
        <v>294</v>
      </c>
      <c r="K5" s="1845" t="s">
        <v>9247</v>
      </c>
      <c r="L5" s="2583">
        <v>5562</v>
      </c>
      <c r="M5" s="1921" t="s">
        <v>9248</v>
      </c>
      <c r="N5" s="1902"/>
      <c r="O5" s="1862" t="s">
        <v>9249</v>
      </c>
      <c r="P5" s="1790">
        <v>1</v>
      </c>
      <c r="Q5" s="1790"/>
    </row>
    <row r="6" spans="1:26" s="2643" customFormat="1" ht="58.6" customHeight="1">
      <c r="A6" s="3799">
        <v>3</v>
      </c>
      <c r="B6" s="1900" t="str">
        <f t="shared" si="0"/>
        <v>2000003117</v>
      </c>
      <c r="C6" s="1902" t="s">
        <v>3499</v>
      </c>
      <c r="D6" s="2179">
        <v>4000</v>
      </c>
      <c r="E6" s="1921" t="s">
        <v>9250</v>
      </c>
      <c r="F6" s="1902" t="s">
        <v>20</v>
      </c>
      <c r="G6" s="1902" t="s">
        <v>9251</v>
      </c>
      <c r="H6" s="1902" t="s">
        <v>9252</v>
      </c>
      <c r="I6" s="1902" t="s">
        <v>65</v>
      </c>
      <c r="J6" s="1902" t="s">
        <v>117</v>
      </c>
      <c r="K6" s="2150" t="s">
        <v>9253</v>
      </c>
      <c r="L6" s="2179">
        <v>3900</v>
      </c>
      <c r="M6" s="1909" t="s">
        <v>9254</v>
      </c>
      <c r="N6" s="2150"/>
      <c r="O6" s="1775"/>
      <c r="P6" s="1790">
        <v>1</v>
      </c>
      <c r="Q6" s="1790"/>
    </row>
    <row r="7" spans="1:26" s="1467" customFormat="1" ht="58.6" customHeight="1">
      <c r="A7" s="3799"/>
      <c r="B7" s="1900" t="str">
        <f t="shared" si="0"/>
        <v>2400001259</v>
      </c>
      <c r="C7" s="1493" t="s">
        <v>3499</v>
      </c>
      <c r="D7" s="2183"/>
      <c r="E7" s="1495"/>
      <c r="F7" s="1493" t="s">
        <v>20</v>
      </c>
      <c r="G7" s="1493"/>
      <c r="H7" s="1493"/>
      <c r="I7" s="1493" t="s">
        <v>65</v>
      </c>
      <c r="J7" s="1493" t="s">
        <v>164</v>
      </c>
      <c r="K7" s="1548" t="s">
        <v>9255</v>
      </c>
      <c r="L7" s="2183">
        <v>50</v>
      </c>
      <c r="M7" s="1493" t="s">
        <v>5392</v>
      </c>
      <c r="N7" s="1548"/>
      <c r="O7" s="1859"/>
      <c r="P7" s="1790">
        <v>1</v>
      </c>
      <c r="Q7" s="1790"/>
    </row>
    <row r="8" spans="1:26" s="1467" customFormat="1" ht="58.6" customHeight="1">
      <c r="A8" s="3799"/>
      <c r="B8" s="1900" t="str">
        <f t="shared" si="0"/>
        <v>2400001258</v>
      </c>
      <c r="C8" s="1493" t="s">
        <v>3499</v>
      </c>
      <c r="D8" s="2183"/>
      <c r="E8" s="1495"/>
      <c r="F8" s="1493" t="s">
        <v>20</v>
      </c>
      <c r="G8" s="1493"/>
      <c r="H8" s="1493"/>
      <c r="I8" s="1493" t="s">
        <v>65</v>
      </c>
      <c r="J8" s="1493" t="s">
        <v>164</v>
      </c>
      <c r="K8" s="1548" t="s">
        <v>9256</v>
      </c>
      <c r="L8" s="2183">
        <v>50</v>
      </c>
      <c r="M8" s="1493" t="s">
        <v>5392</v>
      </c>
      <c r="N8" s="1548"/>
      <c r="O8" s="1859"/>
      <c r="P8" s="1790">
        <v>1</v>
      </c>
      <c r="Q8" s="1790"/>
    </row>
    <row r="9" spans="1:26" s="2643" customFormat="1" ht="68.3" customHeight="1">
      <c r="A9" s="3771">
        <v>4</v>
      </c>
      <c r="B9" s="1900" t="str">
        <f t="shared" si="0"/>
        <v>2000003133</v>
      </c>
      <c r="C9" s="2263" t="s">
        <v>153</v>
      </c>
      <c r="D9" s="2624">
        <v>9400</v>
      </c>
      <c r="E9" s="1921" t="s">
        <v>9257</v>
      </c>
      <c r="F9" s="1902" t="s">
        <v>22</v>
      </c>
      <c r="G9" s="1921" t="s">
        <v>9258</v>
      </c>
      <c r="H9" s="1921"/>
      <c r="I9" s="1902" t="s">
        <v>65</v>
      </c>
      <c r="J9" s="1921" t="s">
        <v>1179</v>
      </c>
      <c r="K9" s="1911" t="s">
        <v>9259</v>
      </c>
      <c r="L9" s="2583">
        <v>4800</v>
      </c>
      <c r="M9" s="1921" t="s">
        <v>5392</v>
      </c>
      <c r="N9" s="1902"/>
      <c r="O9" s="1859"/>
      <c r="P9" s="1790">
        <v>1</v>
      </c>
      <c r="Q9" s="1790"/>
    </row>
    <row r="10" spans="1:26" s="2643" customFormat="1" ht="68.3" customHeight="1">
      <c r="A10" s="3771"/>
      <c r="B10" s="1900" t="str">
        <f t="shared" si="0"/>
        <v>2200002074</v>
      </c>
      <c r="C10" s="1545" t="s">
        <v>153</v>
      </c>
      <c r="D10" s="2183"/>
      <c r="E10" s="1493" t="s">
        <v>166</v>
      </c>
      <c r="F10" s="1493" t="s">
        <v>22</v>
      </c>
      <c r="G10" s="1493"/>
      <c r="H10" s="1493"/>
      <c r="I10" s="1493" t="s">
        <v>65</v>
      </c>
      <c r="J10" s="1495" t="s">
        <v>1179</v>
      </c>
      <c r="K10" s="1548" t="s">
        <v>9260</v>
      </c>
      <c r="L10" s="2183">
        <v>2150</v>
      </c>
      <c r="M10" s="2196" t="s">
        <v>5230</v>
      </c>
      <c r="N10" s="1548"/>
      <c r="O10" s="1548"/>
      <c r="P10" s="1790">
        <v>1</v>
      </c>
      <c r="Q10" s="1790"/>
      <c r="R10" s="1548"/>
      <c r="S10" s="1548"/>
      <c r="T10" s="1548"/>
      <c r="U10" s="1548"/>
      <c r="V10" s="1548"/>
      <c r="W10" s="1548"/>
      <c r="X10" s="1548"/>
      <c r="Y10" s="1548"/>
      <c r="Z10" s="1548"/>
    </row>
    <row r="11" spans="1:26" s="2643" customFormat="1" ht="68.3" customHeight="1">
      <c r="A11" s="3771"/>
      <c r="B11" s="1900" t="str">
        <f t="shared" si="0"/>
        <v>2200002083</v>
      </c>
      <c r="C11" s="1545" t="s">
        <v>153</v>
      </c>
      <c r="D11" s="2183"/>
      <c r="E11" s="1493"/>
      <c r="F11" s="1493" t="s">
        <v>22</v>
      </c>
      <c r="G11" s="1493"/>
      <c r="H11" s="1493"/>
      <c r="I11" s="1493" t="s">
        <v>65</v>
      </c>
      <c r="J11" s="1495" t="s">
        <v>1179</v>
      </c>
      <c r="K11" s="1548" t="s">
        <v>9261</v>
      </c>
      <c r="L11" s="2183">
        <v>2330</v>
      </c>
      <c r="M11" s="1790" t="s">
        <v>7499</v>
      </c>
      <c r="N11" s="1548"/>
      <c r="O11" s="1548"/>
      <c r="P11" s="1790">
        <v>1</v>
      </c>
      <c r="Q11" s="1790"/>
      <c r="R11" s="1548"/>
      <c r="S11" s="1548"/>
      <c r="T11" s="1548"/>
      <c r="U11" s="1548"/>
      <c r="V11" s="1548"/>
      <c r="W11" s="1548"/>
      <c r="X11" s="1548"/>
      <c r="Y11" s="1548"/>
      <c r="Z11" s="1548"/>
    </row>
    <row r="12" spans="1:26" s="2643" customFormat="1" ht="68.3" customHeight="1">
      <c r="A12" s="3768">
        <v>5</v>
      </c>
      <c r="B12" s="1900" t="str">
        <f t="shared" si="0"/>
        <v>2000003121</v>
      </c>
      <c r="C12" s="1902" t="s">
        <v>3538</v>
      </c>
      <c r="D12" s="2656">
        <v>8800</v>
      </c>
      <c r="E12" s="2118" t="s">
        <v>9262</v>
      </c>
      <c r="F12" s="1902" t="s">
        <v>16</v>
      </c>
      <c r="G12" s="2118" t="s">
        <v>9263</v>
      </c>
      <c r="H12" s="2118"/>
      <c r="I12" s="1902" t="s">
        <v>65</v>
      </c>
      <c r="J12" s="1921" t="s">
        <v>164</v>
      </c>
      <c r="K12" s="1845" t="s">
        <v>9264</v>
      </c>
      <c r="L12" s="2583">
        <v>2763</v>
      </c>
      <c r="M12" s="2196" t="s">
        <v>5230</v>
      </c>
      <c r="N12" s="1902"/>
      <c r="O12" s="1775"/>
      <c r="P12" s="1790">
        <v>1</v>
      </c>
      <c r="Q12" s="1790"/>
      <c r="R12" s="1467"/>
      <c r="S12" s="1467"/>
      <c r="T12" s="1467"/>
      <c r="U12" s="1467"/>
      <c r="V12" s="1467"/>
      <c r="W12" s="1467"/>
      <c r="X12" s="1467"/>
      <c r="Y12" s="1467"/>
      <c r="Z12" s="1467"/>
    </row>
    <row r="13" spans="1:26" s="2643" customFormat="1" ht="68.3" customHeight="1">
      <c r="A13" s="3768"/>
      <c r="B13" s="1900" t="str">
        <f t="shared" si="0"/>
        <v>2000003129</v>
      </c>
      <c r="C13" s="1493" t="s">
        <v>3538</v>
      </c>
      <c r="D13" s="2183"/>
      <c r="E13" s="1493"/>
      <c r="F13" s="1493" t="s">
        <v>16</v>
      </c>
      <c r="G13" s="1493"/>
      <c r="H13" s="1493"/>
      <c r="I13" s="1493" t="s">
        <v>65</v>
      </c>
      <c r="J13" s="1493" t="s">
        <v>106</v>
      </c>
      <c r="K13" s="1770" t="s">
        <v>9265</v>
      </c>
      <c r="L13" s="2183">
        <v>2138</v>
      </c>
      <c r="M13" s="1748" t="s">
        <v>5392</v>
      </c>
      <c r="N13" s="1548"/>
      <c r="O13" s="1548"/>
      <c r="P13" s="1493">
        <v>1</v>
      </c>
      <c r="Q13" s="1493"/>
    </row>
    <row r="14" spans="1:26" s="2643" customFormat="1" ht="68.3" customHeight="1">
      <c r="A14" s="3768"/>
      <c r="B14" s="1900" t="str">
        <f t="shared" si="0"/>
        <v>2000003144</v>
      </c>
      <c r="C14" s="1493" t="s">
        <v>3538</v>
      </c>
      <c r="D14" s="2183"/>
      <c r="E14" s="1493"/>
      <c r="F14" s="1493" t="s">
        <v>16</v>
      </c>
      <c r="G14" s="1493"/>
      <c r="H14" s="1493"/>
      <c r="I14" s="1493" t="s">
        <v>65</v>
      </c>
      <c r="J14" s="1493" t="s">
        <v>106</v>
      </c>
      <c r="K14" s="1770" t="s">
        <v>9266</v>
      </c>
      <c r="L14" s="2183">
        <v>650</v>
      </c>
      <c r="M14" s="1748" t="s">
        <v>5392</v>
      </c>
      <c r="N14" s="1548"/>
      <c r="O14" s="1548"/>
      <c r="P14" s="1493">
        <v>1</v>
      </c>
      <c r="Q14" s="1493"/>
    </row>
    <row r="15" spans="1:26" s="2643" customFormat="1" ht="68.3" customHeight="1">
      <c r="A15" s="3768"/>
      <c r="B15" s="1900" t="str">
        <f t="shared" si="0"/>
        <v>2000003130</v>
      </c>
      <c r="C15" s="1493" t="s">
        <v>3538</v>
      </c>
      <c r="D15" s="2183"/>
      <c r="E15" s="1493"/>
      <c r="F15" s="1493" t="s">
        <v>16</v>
      </c>
      <c r="G15" s="1493"/>
      <c r="H15" s="1493"/>
      <c r="I15" s="1493" t="s">
        <v>65</v>
      </c>
      <c r="J15" s="1493" t="s">
        <v>106</v>
      </c>
      <c r="K15" s="1770" t="s">
        <v>9267</v>
      </c>
      <c r="L15" s="2183">
        <v>2600</v>
      </c>
      <c r="M15" s="2196" t="s">
        <v>9268</v>
      </c>
      <c r="N15" s="1548"/>
      <c r="O15" s="1548"/>
      <c r="P15" s="1493">
        <v>1</v>
      </c>
      <c r="Q15" s="1493"/>
    </row>
    <row r="16" spans="1:26" s="2643" customFormat="1" ht="68.3" customHeight="1">
      <c r="A16" s="3768"/>
      <c r="B16" s="1900" t="str">
        <f t="shared" si="0"/>
        <v>2000003157</v>
      </c>
      <c r="C16" s="1493" t="s">
        <v>3538</v>
      </c>
      <c r="D16" s="1826"/>
      <c r="E16" s="1495"/>
      <c r="F16" s="1493" t="s">
        <v>16</v>
      </c>
      <c r="G16" s="1495"/>
      <c r="H16" s="1495"/>
      <c r="I16" s="2844" t="s">
        <v>65</v>
      </c>
      <c r="J16" s="1495" t="s">
        <v>106</v>
      </c>
      <c r="K16" s="1771" t="s">
        <v>9269</v>
      </c>
      <c r="L16" s="2357">
        <v>717</v>
      </c>
      <c r="M16" s="2196" t="s">
        <v>5230</v>
      </c>
      <c r="N16" s="1493"/>
      <c r="O16" s="1859"/>
      <c r="P16" s="1790">
        <v>1</v>
      </c>
      <c r="Q16" s="1790"/>
      <c r="R16" s="1467"/>
      <c r="S16" s="1467"/>
      <c r="T16" s="1467"/>
      <c r="U16" s="1467"/>
      <c r="V16" s="1467"/>
      <c r="W16" s="1467"/>
      <c r="X16" s="1467"/>
      <c r="Y16" s="1467"/>
      <c r="Z16" s="1467"/>
    </row>
    <row r="17" spans="1:26" s="2643" customFormat="1" ht="68.3" customHeight="1">
      <c r="A17" s="2436">
        <v>6</v>
      </c>
      <c r="B17" s="1900" t="str">
        <f t="shared" si="0"/>
        <v>2200002072</v>
      </c>
      <c r="C17" s="1921" t="s">
        <v>9270</v>
      </c>
      <c r="D17" s="2607">
        <v>1400</v>
      </c>
      <c r="E17" s="1921" t="s">
        <v>9271</v>
      </c>
      <c r="F17" s="1902" t="s">
        <v>24</v>
      </c>
      <c r="G17" s="1921" t="s">
        <v>9272</v>
      </c>
      <c r="H17" s="1921" t="s">
        <v>9273</v>
      </c>
      <c r="I17" s="1902" t="s">
        <v>65</v>
      </c>
      <c r="J17" s="1921" t="s">
        <v>142</v>
      </c>
      <c r="K17" s="2845" t="s">
        <v>9274</v>
      </c>
      <c r="L17" s="2583">
        <v>1400</v>
      </c>
      <c r="M17" s="2196" t="s">
        <v>9044</v>
      </c>
      <c r="N17" s="1902"/>
      <c r="O17" s="1775"/>
      <c r="P17" s="1790">
        <v>1</v>
      </c>
      <c r="Q17" s="1790"/>
      <c r="R17" s="1921"/>
      <c r="S17" s="1921"/>
      <c r="T17" s="1909"/>
      <c r="U17" s="2150"/>
      <c r="V17" s="2150"/>
      <c r="W17" s="2150"/>
      <c r="X17" s="1902"/>
      <c r="Y17" s="1902"/>
      <c r="Z17" s="1902"/>
    </row>
    <row r="18" spans="1:26" s="2643" customFormat="1" ht="58.6" customHeight="1">
      <c r="A18" s="3768">
        <v>7</v>
      </c>
      <c r="B18" s="1900" t="str">
        <f t="shared" si="0"/>
        <v>2400001229</v>
      </c>
      <c r="C18" s="1902" t="s">
        <v>9275</v>
      </c>
      <c r="D18" s="2624">
        <v>35000</v>
      </c>
      <c r="E18" s="1921" t="s">
        <v>9276</v>
      </c>
      <c r="F18" s="1902" t="s">
        <v>39</v>
      </c>
      <c r="G18" s="1921" t="s">
        <v>9277</v>
      </c>
      <c r="H18" s="1921"/>
      <c r="I18" s="1921" t="s">
        <v>65</v>
      </c>
      <c r="J18" s="1921" t="s">
        <v>9278</v>
      </c>
      <c r="K18" s="1911" t="s">
        <v>9279</v>
      </c>
      <c r="L18" s="2583">
        <v>4500</v>
      </c>
      <c r="M18" s="2196" t="s">
        <v>9280</v>
      </c>
      <c r="N18" s="1902" t="s">
        <v>9281</v>
      </c>
      <c r="O18" s="1775" t="s">
        <v>9282</v>
      </c>
      <c r="P18" s="1790">
        <v>1</v>
      </c>
      <c r="Q18" s="1790"/>
      <c r="R18" s="1921"/>
      <c r="S18" s="1921"/>
      <c r="T18" s="1909"/>
      <c r="U18" s="2150"/>
      <c r="V18" s="2150"/>
      <c r="W18" s="2150"/>
      <c r="X18" s="1902"/>
      <c r="Y18" s="1902"/>
      <c r="Z18" s="1902"/>
    </row>
    <row r="19" spans="1:26" s="2643" customFormat="1" ht="58.6" customHeight="1">
      <c r="A19" s="3768"/>
      <c r="B19" s="1900" t="str">
        <f t="shared" si="0"/>
        <v>2400001237</v>
      </c>
      <c r="C19" s="1493" t="s">
        <v>9275</v>
      </c>
      <c r="D19" s="1826"/>
      <c r="E19" s="1495"/>
      <c r="F19" s="1493" t="s">
        <v>39</v>
      </c>
      <c r="G19" s="1495"/>
      <c r="H19" s="1495"/>
      <c r="I19" s="1495" t="s">
        <v>65</v>
      </c>
      <c r="J19" s="1495" t="s">
        <v>9278</v>
      </c>
      <c r="K19" s="1547" t="s">
        <v>9283</v>
      </c>
      <c r="L19" s="2357">
        <v>4000</v>
      </c>
      <c r="M19" s="2825" t="s">
        <v>5392</v>
      </c>
      <c r="N19" s="1493" t="s">
        <v>9281</v>
      </c>
      <c r="O19" s="1843" t="s">
        <v>9282</v>
      </c>
      <c r="P19" s="1790">
        <v>1</v>
      </c>
      <c r="Q19" s="1790"/>
      <c r="R19" s="1495"/>
      <c r="S19" s="1495"/>
      <c r="T19" s="1909"/>
      <c r="U19" s="1548"/>
      <c r="V19" s="1548"/>
      <c r="W19" s="1548"/>
      <c r="X19" s="1493"/>
      <c r="Y19" s="1493"/>
      <c r="Z19" s="1493"/>
    </row>
    <row r="20" spans="1:26" s="2643" customFormat="1" ht="58.6" customHeight="1">
      <c r="A20" s="3768"/>
      <c r="B20" s="1900" t="str">
        <f t="shared" si="0"/>
        <v>2400001230</v>
      </c>
      <c r="C20" s="1493" t="s">
        <v>9275</v>
      </c>
      <c r="D20" s="1826"/>
      <c r="E20" s="1495"/>
      <c r="F20" s="1493" t="s">
        <v>39</v>
      </c>
      <c r="G20" s="1495"/>
      <c r="H20" s="1495"/>
      <c r="I20" s="1495" t="s">
        <v>65</v>
      </c>
      <c r="J20" s="1495" t="s">
        <v>9278</v>
      </c>
      <c r="K20" s="1547" t="s">
        <v>9284</v>
      </c>
      <c r="L20" s="2357">
        <f>35000-8500</f>
        <v>26500</v>
      </c>
      <c r="M20" s="2825" t="s">
        <v>9285</v>
      </c>
      <c r="N20" s="1493" t="s">
        <v>9281</v>
      </c>
      <c r="O20" s="1859"/>
      <c r="P20" s="1790">
        <v>1</v>
      </c>
      <c r="Q20" s="1790"/>
      <c r="R20" s="1495"/>
      <c r="S20" s="1495"/>
      <c r="T20" s="1909"/>
      <c r="U20" s="1548"/>
      <c r="V20" s="1548"/>
      <c r="W20" s="1548"/>
      <c r="X20" s="1493"/>
      <c r="Y20" s="1493"/>
      <c r="Z20" s="1493"/>
    </row>
    <row r="21" spans="1:26" s="2643" customFormat="1" ht="58.6" customHeight="1">
      <c r="A21" s="3771">
        <v>8</v>
      </c>
      <c r="B21" s="1900">
        <v>2200002083</v>
      </c>
      <c r="C21" s="1921" t="s">
        <v>7719</v>
      </c>
      <c r="D21" s="2179">
        <v>4450</v>
      </c>
      <c r="E21" s="1921" t="s">
        <v>9286</v>
      </c>
      <c r="F21" s="1902" t="s">
        <v>26</v>
      </c>
      <c r="G21" s="1902" t="s">
        <v>9287</v>
      </c>
      <c r="H21" s="1902"/>
      <c r="I21" s="1902" t="s">
        <v>65</v>
      </c>
      <c r="J21" s="1902" t="s">
        <v>1000</v>
      </c>
      <c r="K21" s="2150" t="s">
        <v>9261</v>
      </c>
      <c r="L21" s="2846">
        <v>570</v>
      </c>
      <c r="M21" s="2429" t="s">
        <v>7499</v>
      </c>
      <c r="N21" s="2150"/>
      <c r="O21" s="1548"/>
      <c r="P21" s="1790">
        <v>1</v>
      </c>
      <c r="Q21" s="1790"/>
      <c r="R21" s="1467"/>
      <c r="S21" s="1467"/>
      <c r="T21" s="1467"/>
      <c r="U21" s="1467"/>
      <c r="V21" s="1467"/>
      <c r="W21" s="1467"/>
      <c r="X21" s="1467"/>
      <c r="Y21" s="1467"/>
      <c r="Z21" s="1467"/>
    </row>
    <row r="22" spans="1:26" s="2643" customFormat="1" ht="58.6" customHeight="1">
      <c r="A22" s="3771"/>
      <c r="B22" s="1900">
        <v>2200002086</v>
      </c>
      <c r="C22" s="1495" t="s">
        <v>7719</v>
      </c>
      <c r="D22" s="2183"/>
      <c r="E22" s="1493"/>
      <c r="F22" s="1493" t="s">
        <v>26</v>
      </c>
      <c r="G22" s="1493"/>
      <c r="H22" s="1493"/>
      <c r="I22" s="1493" t="s">
        <v>65</v>
      </c>
      <c r="J22" s="1493" t="s">
        <v>1000</v>
      </c>
      <c r="K22" s="1774" t="s">
        <v>9288</v>
      </c>
      <c r="L22" s="2847">
        <v>2827</v>
      </c>
      <c r="M22" s="2196" t="s">
        <v>5230</v>
      </c>
      <c r="N22" s="1548"/>
      <c r="O22" s="1548"/>
      <c r="P22" s="1790">
        <v>1</v>
      </c>
      <c r="Q22" s="1790"/>
      <c r="R22" s="1467"/>
      <c r="S22" s="1467"/>
      <c r="T22" s="1467"/>
      <c r="U22" s="1467"/>
      <c r="V22" s="1467"/>
      <c r="W22" s="1467"/>
      <c r="X22" s="1467"/>
      <c r="Y22" s="1467"/>
      <c r="Z22" s="1467"/>
    </row>
    <row r="23" spans="1:26" s="2643" customFormat="1" ht="102.1" customHeight="1">
      <c r="A23" s="3771"/>
      <c r="B23" s="1900">
        <v>2200002065</v>
      </c>
      <c r="C23" s="1495" t="s">
        <v>7719</v>
      </c>
      <c r="D23" s="2183"/>
      <c r="E23" s="1493"/>
      <c r="F23" s="1493" t="s">
        <v>26</v>
      </c>
      <c r="G23" s="1493"/>
      <c r="H23" s="1493"/>
      <c r="I23" s="1493" t="s">
        <v>65</v>
      </c>
      <c r="J23" s="1493" t="s">
        <v>1000</v>
      </c>
      <c r="K23" s="1774" t="s">
        <v>9289</v>
      </c>
      <c r="L23" s="2847">
        <v>758</v>
      </c>
      <c r="M23" s="2848" t="s">
        <v>5392</v>
      </c>
      <c r="N23" s="1548"/>
      <c r="O23" s="1548"/>
      <c r="P23" s="1790">
        <v>1</v>
      </c>
      <c r="Q23" s="1790"/>
      <c r="R23" s="1467"/>
      <c r="S23" s="1467"/>
      <c r="T23" s="1467"/>
      <c r="U23" s="1467"/>
      <c r="V23" s="1467"/>
      <c r="W23" s="1467"/>
      <c r="X23" s="1467"/>
      <c r="Y23" s="1467"/>
      <c r="Z23" s="1467"/>
    </row>
    <row r="24" spans="1:26" s="2643" customFormat="1" ht="58.6" customHeight="1">
      <c r="A24" s="3771"/>
      <c r="B24" s="1900">
        <v>2200002066</v>
      </c>
      <c r="C24" s="1495" t="s">
        <v>7719</v>
      </c>
      <c r="D24" s="2849"/>
      <c r="E24" s="1493"/>
      <c r="F24" s="1493" t="s">
        <v>26</v>
      </c>
      <c r="G24" s="1493"/>
      <c r="H24" s="1495"/>
      <c r="I24" s="1493" t="s">
        <v>65</v>
      </c>
      <c r="J24" s="1493" t="s">
        <v>1000</v>
      </c>
      <c r="K24" s="1821" t="s">
        <v>9290</v>
      </c>
      <c r="L24" s="2847">
        <v>178</v>
      </c>
      <c r="M24" s="2055" t="s">
        <v>9291</v>
      </c>
      <c r="N24" s="1548"/>
      <c r="O24" s="1548"/>
      <c r="P24" s="1790">
        <v>1</v>
      </c>
      <c r="Q24" s="1790"/>
      <c r="R24" s="1467"/>
      <c r="S24" s="1467"/>
      <c r="T24" s="1467"/>
      <c r="U24" s="1467"/>
      <c r="V24" s="1467"/>
      <c r="W24" s="1467"/>
      <c r="X24" s="1467"/>
      <c r="Y24" s="1467"/>
      <c r="Z24" s="1467"/>
    </row>
    <row r="25" spans="1:26" s="2643" customFormat="1" ht="58.6" customHeight="1">
      <c r="A25" s="3771"/>
      <c r="B25" s="1900">
        <v>2200002069</v>
      </c>
      <c r="C25" s="1495" t="s">
        <v>7719</v>
      </c>
      <c r="D25" s="2849"/>
      <c r="E25" s="1493"/>
      <c r="F25" s="1493" t="s">
        <v>26</v>
      </c>
      <c r="G25" s="1493"/>
      <c r="H25" s="1495"/>
      <c r="I25" s="1493" t="s">
        <v>65</v>
      </c>
      <c r="J25" s="1493" t="s">
        <v>1000</v>
      </c>
      <c r="K25" s="2871" t="s">
        <v>9292</v>
      </c>
      <c r="L25" s="2183">
        <v>110</v>
      </c>
      <c r="M25" s="2055" t="s">
        <v>9291</v>
      </c>
      <c r="N25" s="1548"/>
      <c r="O25" s="1548"/>
      <c r="P25" s="1790">
        <v>1</v>
      </c>
      <c r="Q25" s="1790"/>
      <c r="R25" s="1467"/>
      <c r="S25" s="1467"/>
      <c r="T25" s="1467"/>
      <c r="U25" s="1467"/>
      <c r="V25" s="1467"/>
      <c r="W25" s="1467"/>
      <c r="X25" s="1467"/>
      <c r="Y25" s="1467"/>
      <c r="Z25" s="1467"/>
    </row>
    <row r="26" spans="1:26" s="2643" customFormat="1" ht="54" customHeight="1">
      <c r="A26" s="3768">
        <v>9</v>
      </c>
      <c r="B26" s="1900" t="str">
        <f>TEXT(LEFT(K26,10),"0000000000")</f>
        <v>2000003103</v>
      </c>
      <c r="C26" s="1902" t="s">
        <v>5896</v>
      </c>
      <c r="D26" s="2624">
        <v>11900</v>
      </c>
      <c r="E26" s="1921" t="s">
        <v>9293</v>
      </c>
      <c r="F26" s="1902" t="s">
        <v>16</v>
      </c>
      <c r="G26" s="1921" t="s">
        <v>9294</v>
      </c>
      <c r="H26" s="1921"/>
      <c r="I26" s="1921" t="s">
        <v>65</v>
      </c>
      <c r="J26" s="1561" t="s">
        <v>164</v>
      </c>
      <c r="K26" s="2402" t="s">
        <v>9295</v>
      </c>
      <c r="L26" s="2508">
        <v>1110</v>
      </c>
      <c r="M26" s="2196" t="s">
        <v>5230</v>
      </c>
      <c r="N26" s="1495"/>
      <c r="O26" s="1859"/>
      <c r="P26" s="1790">
        <v>1</v>
      </c>
      <c r="Q26" s="1790"/>
      <c r="R26" s="1467"/>
      <c r="S26" s="1467"/>
      <c r="T26" s="1467"/>
      <c r="U26" s="1467"/>
      <c r="V26" s="1467"/>
      <c r="W26" s="1467"/>
      <c r="X26" s="1467"/>
      <c r="Y26" s="1467"/>
      <c r="Z26" s="1467"/>
    </row>
    <row r="27" spans="1:26" s="2643" customFormat="1" ht="50.3" customHeight="1">
      <c r="A27" s="3768"/>
      <c r="B27" s="1900" t="str">
        <f>TEXT(LEFT(K27,10),"0000000000")</f>
        <v>2200002098</v>
      </c>
      <c r="C27" s="1493" t="s">
        <v>5896</v>
      </c>
      <c r="D27" s="1826"/>
      <c r="E27" s="1495"/>
      <c r="F27" s="1493" t="s">
        <v>16</v>
      </c>
      <c r="G27" s="1495"/>
      <c r="H27" s="1851"/>
      <c r="I27" s="1495" t="s">
        <v>65</v>
      </c>
      <c r="J27" s="1495" t="s">
        <v>106</v>
      </c>
      <c r="K27" s="1605" t="s">
        <v>9296</v>
      </c>
      <c r="L27" s="2543">
        <v>185</v>
      </c>
      <c r="M27" s="1748" t="s">
        <v>9297</v>
      </c>
      <c r="N27" s="1493"/>
      <c r="O27" s="1859"/>
      <c r="P27" s="1790">
        <v>1</v>
      </c>
      <c r="Q27" s="1790"/>
      <c r="R27" s="1467"/>
      <c r="S27" s="1467"/>
      <c r="T27" s="1467"/>
      <c r="U27" s="1467"/>
      <c r="V27" s="1467"/>
      <c r="W27" s="1467"/>
      <c r="X27" s="1467"/>
      <c r="Y27" s="1467"/>
      <c r="Z27" s="1467"/>
    </row>
    <row r="28" spans="1:26" s="2643" customFormat="1" ht="58.6" customHeight="1">
      <c r="A28" s="3768"/>
      <c r="B28" s="1900">
        <v>2000003136</v>
      </c>
      <c r="C28" s="1493" t="s">
        <v>5896</v>
      </c>
      <c r="D28" s="1826"/>
      <c r="E28" s="1495"/>
      <c r="F28" s="1493" t="s">
        <v>16</v>
      </c>
      <c r="G28" s="1495"/>
      <c r="H28" s="1495"/>
      <c r="I28" s="1493" t="s">
        <v>65</v>
      </c>
      <c r="J28" s="1495" t="s">
        <v>106</v>
      </c>
      <c r="K28" s="1600" t="s">
        <v>9298</v>
      </c>
      <c r="L28" s="2357">
        <v>4812</v>
      </c>
      <c r="M28" s="1495" t="s">
        <v>9299</v>
      </c>
      <c r="N28" s="1493"/>
      <c r="O28" s="1859"/>
      <c r="P28" s="1790">
        <v>1</v>
      </c>
      <c r="Q28" s="1790"/>
      <c r="R28" s="1467"/>
      <c r="S28" s="1467"/>
      <c r="T28" s="1467"/>
      <c r="U28" s="1467"/>
      <c r="V28" s="1467"/>
      <c r="W28" s="1467"/>
      <c r="X28" s="1467"/>
      <c r="Y28" s="1467"/>
      <c r="Z28" s="1467"/>
    </row>
    <row r="29" spans="1:26" s="2643" customFormat="1" ht="58.6" customHeight="1">
      <c r="A29" s="3768"/>
      <c r="B29" s="1900" t="str">
        <f t="shared" ref="B29:B60" si="1">TEXT(LEFT(K29,10),"0000000000")</f>
        <v>2000003081</v>
      </c>
      <c r="C29" s="1493" t="s">
        <v>5896</v>
      </c>
      <c r="D29" s="1826"/>
      <c r="E29" s="1495"/>
      <c r="F29" s="1493" t="s">
        <v>16</v>
      </c>
      <c r="G29" s="1495"/>
      <c r="H29" s="1495"/>
      <c r="I29" s="1495" t="s">
        <v>65</v>
      </c>
      <c r="J29" s="1495" t="s">
        <v>106</v>
      </c>
      <c r="K29" s="1600" t="s">
        <v>9300</v>
      </c>
      <c r="L29" s="2357">
        <v>4412</v>
      </c>
      <c r="M29" s="1748" t="s">
        <v>9301</v>
      </c>
      <c r="N29" s="1493"/>
      <c r="O29" s="1859"/>
      <c r="P29" s="1790">
        <v>1</v>
      </c>
      <c r="Q29" s="1790"/>
      <c r="R29" s="1467"/>
      <c r="S29" s="1467"/>
      <c r="T29" s="1467"/>
      <c r="U29" s="1467"/>
      <c r="V29" s="1467"/>
      <c r="W29" s="1467"/>
      <c r="X29" s="1467"/>
      <c r="Y29" s="1467"/>
      <c r="Z29" s="1467"/>
    </row>
    <row r="30" spans="1:26" s="2643" customFormat="1" ht="58.6" customHeight="1">
      <c r="A30" s="3768"/>
      <c r="B30" s="1900" t="str">
        <f t="shared" si="1"/>
        <v>2000003145</v>
      </c>
      <c r="C30" s="1493" t="s">
        <v>5896</v>
      </c>
      <c r="D30" s="1826"/>
      <c r="E30" s="1495"/>
      <c r="F30" s="1493" t="s">
        <v>16</v>
      </c>
      <c r="G30" s="1495"/>
      <c r="H30" s="1495"/>
      <c r="I30" s="1495" t="s">
        <v>65</v>
      </c>
      <c r="J30" s="1495" t="s">
        <v>106</v>
      </c>
      <c r="K30" s="1600" t="s">
        <v>9302</v>
      </c>
      <c r="L30" s="2357">
        <v>92</v>
      </c>
      <c r="M30" s="1748" t="s">
        <v>5392</v>
      </c>
      <c r="N30" s="1493"/>
      <c r="O30" s="1859"/>
      <c r="P30" s="1790">
        <v>1</v>
      </c>
      <c r="Q30" s="1790"/>
      <c r="R30" s="1467"/>
      <c r="S30" s="1467"/>
      <c r="T30" s="1467"/>
      <c r="U30" s="1467"/>
      <c r="V30" s="1467"/>
      <c r="W30" s="1467"/>
      <c r="X30" s="1467"/>
      <c r="Y30" s="1467"/>
      <c r="Z30" s="1467"/>
    </row>
    <row r="31" spans="1:26" s="2643" customFormat="1" ht="58.6" customHeight="1">
      <c r="A31" s="3768"/>
      <c r="B31" s="1900" t="str">
        <f t="shared" si="1"/>
        <v>2000003174</v>
      </c>
      <c r="C31" s="1493" t="s">
        <v>5896</v>
      </c>
      <c r="D31" s="1826"/>
      <c r="E31" s="1495"/>
      <c r="F31" s="1493" t="s">
        <v>16</v>
      </c>
      <c r="G31" s="1495"/>
      <c r="H31" s="1495"/>
      <c r="I31" s="1495" t="s">
        <v>65</v>
      </c>
      <c r="J31" s="1495" t="s">
        <v>106</v>
      </c>
      <c r="K31" s="1600" t="s">
        <v>9303</v>
      </c>
      <c r="L31" s="2357">
        <v>506</v>
      </c>
      <c r="M31" s="1748" t="s">
        <v>7499</v>
      </c>
      <c r="N31" s="1493"/>
      <c r="O31" s="1859"/>
      <c r="P31" s="1790">
        <v>1</v>
      </c>
      <c r="Q31" s="1790"/>
      <c r="R31" s="1467"/>
      <c r="S31" s="1467"/>
      <c r="T31" s="1467"/>
      <c r="U31" s="1467"/>
      <c r="V31" s="1467"/>
      <c r="W31" s="1467"/>
      <c r="X31" s="1467"/>
      <c r="Y31" s="1467"/>
      <c r="Z31" s="1467"/>
    </row>
    <row r="32" spans="1:26" s="2643" customFormat="1" ht="58.6" customHeight="1">
      <c r="A32" s="3768"/>
      <c r="B32" s="1900" t="str">
        <f t="shared" si="1"/>
        <v>2000003084</v>
      </c>
      <c r="C32" s="1493" t="s">
        <v>5896</v>
      </c>
      <c r="D32" s="1826"/>
      <c r="E32" s="1495"/>
      <c r="F32" s="1493" t="s">
        <v>16</v>
      </c>
      <c r="G32" s="1495"/>
      <c r="H32" s="1495"/>
      <c r="I32" s="1495" t="s">
        <v>65</v>
      </c>
      <c r="J32" s="1495" t="s">
        <v>106</v>
      </c>
      <c r="K32" s="1600" t="s">
        <v>9304</v>
      </c>
      <c r="L32" s="2357">
        <v>14</v>
      </c>
      <c r="M32" s="1790" t="s">
        <v>9305</v>
      </c>
      <c r="N32" s="1493"/>
      <c r="O32" s="1859"/>
      <c r="P32" s="1790">
        <v>1</v>
      </c>
      <c r="Q32" s="1790"/>
      <c r="R32" s="1467"/>
      <c r="S32" s="1467"/>
      <c r="T32" s="1467"/>
      <c r="U32" s="1467"/>
      <c r="V32" s="1467"/>
      <c r="W32" s="1467"/>
      <c r="X32" s="1467"/>
      <c r="Y32" s="1467"/>
      <c r="Z32" s="1467"/>
    </row>
    <row r="33" spans="1:26" s="2643" customFormat="1" ht="58.6" customHeight="1">
      <c r="A33" s="3768"/>
      <c r="B33" s="1900" t="str">
        <f t="shared" si="1"/>
        <v>2000003172</v>
      </c>
      <c r="C33" s="1493" t="s">
        <v>5896</v>
      </c>
      <c r="D33" s="1826"/>
      <c r="E33" s="1495"/>
      <c r="F33" s="1493" t="s">
        <v>16</v>
      </c>
      <c r="G33" s="1495"/>
      <c r="H33" s="1495"/>
      <c r="I33" s="1495" t="s">
        <v>65</v>
      </c>
      <c r="J33" s="1495" t="s">
        <v>106</v>
      </c>
      <c r="K33" s="1600" t="s">
        <v>9306</v>
      </c>
      <c r="L33" s="2357">
        <v>43</v>
      </c>
      <c r="M33" s="1790" t="s">
        <v>5392</v>
      </c>
      <c r="N33" s="1493"/>
      <c r="O33" s="1859"/>
      <c r="P33" s="1790">
        <v>1</v>
      </c>
      <c r="Q33" s="1790"/>
      <c r="R33" s="1467"/>
      <c r="S33" s="1467"/>
      <c r="T33" s="1467"/>
      <c r="U33" s="1467"/>
      <c r="V33" s="1467"/>
      <c r="W33" s="1467"/>
      <c r="X33" s="1467"/>
      <c r="Y33" s="1467"/>
      <c r="Z33" s="1467"/>
    </row>
    <row r="34" spans="1:26" s="2643" customFormat="1" ht="58.6" customHeight="1">
      <c r="A34" s="3768"/>
      <c r="B34" s="1900" t="str">
        <f t="shared" si="1"/>
        <v>2200002094</v>
      </c>
      <c r="C34" s="1493" t="s">
        <v>5896</v>
      </c>
      <c r="D34" s="1826"/>
      <c r="E34" s="1495"/>
      <c r="F34" s="1493" t="s">
        <v>16</v>
      </c>
      <c r="G34" s="1495"/>
      <c r="H34" s="1495"/>
      <c r="I34" s="1495" t="s">
        <v>65</v>
      </c>
      <c r="J34" s="1495" t="s">
        <v>106</v>
      </c>
      <c r="K34" s="1605" t="s">
        <v>9307</v>
      </c>
      <c r="L34" s="2543">
        <v>202</v>
      </c>
      <c r="M34" s="1790" t="s">
        <v>5392</v>
      </c>
      <c r="N34" s="1493"/>
      <c r="O34" s="1859"/>
      <c r="P34" s="1790">
        <v>1</v>
      </c>
      <c r="Q34" s="1790"/>
      <c r="R34" s="1467"/>
      <c r="S34" s="1467"/>
      <c r="T34" s="1467"/>
      <c r="U34" s="1467"/>
      <c r="V34" s="1467"/>
      <c r="W34" s="1467"/>
      <c r="X34" s="1467"/>
      <c r="Y34" s="1467"/>
      <c r="Z34" s="1467"/>
    </row>
    <row r="35" spans="1:26" s="2643" customFormat="1" ht="81" customHeight="1">
      <c r="A35" s="3768"/>
      <c r="B35" s="1900" t="str">
        <f t="shared" si="1"/>
        <v>2000003150</v>
      </c>
      <c r="C35" s="1493" t="s">
        <v>5896</v>
      </c>
      <c r="D35" s="1868"/>
      <c r="E35" s="1851"/>
      <c r="F35" s="1493" t="s">
        <v>16</v>
      </c>
      <c r="G35" s="1851"/>
      <c r="H35" s="1851"/>
      <c r="I35" s="1495" t="s">
        <v>65</v>
      </c>
      <c r="J35" s="1495" t="s">
        <v>106</v>
      </c>
      <c r="K35" s="1774" t="s">
        <v>9308</v>
      </c>
      <c r="L35" s="2847">
        <v>500</v>
      </c>
      <c r="M35" s="1748" t="s">
        <v>5392</v>
      </c>
      <c r="N35" s="1493"/>
      <c r="O35" s="1859"/>
      <c r="P35" s="1790">
        <v>1</v>
      </c>
      <c r="Q35" s="1790"/>
      <c r="R35" s="1467"/>
      <c r="S35" s="1467"/>
      <c r="T35" s="1467"/>
      <c r="U35" s="1467"/>
      <c r="V35" s="1467"/>
      <c r="W35" s="1467"/>
      <c r="X35" s="1467"/>
      <c r="Y35" s="1467"/>
      <c r="Z35" s="1467"/>
    </row>
    <row r="36" spans="1:26" s="1467" customFormat="1" ht="58.6" customHeight="1">
      <c r="A36" s="3768">
        <v>10</v>
      </c>
      <c r="B36" s="1900" t="str">
        <f t="shared" si="1"/>
        <v>2000003156</v>
      </c>
      <c r="C36" s="1902" t="s">
        <v>3668</v>
      </c>
      <c r="D36" s="2624">
        <v>24000</v>
      </c>
      <c r="E36" s="1921" t="s">
        <v>9309</v>
      </c>
      <c r="F36" s="1902" t="s">
        <v>14</v>
      </c>
      <c r="G36" s="1561" t="s">
        <v>9310</v>
      </c>
      <c r="H36" s="2861"/>
      <c r="I36" s="2279" t="s">
        <v>65</v>
      </c>
      <c r="J36" s="1561" t="s">
        <v>66</v>
      </c>
      <c r="K36" s="1845" t="s">
        <v>9311</v>
      </c>
      <c r="L36" s="2583">
        <v>9600</v>
      </c>
      <c r="M36" s="2196" t="s">
        <v>5230</v>
      </c>
      <c r="N36" s="1921"/>
      <c r="O36" s="1859"/>
      <c r="P36" s="1790">
        <v>1</v>
      </c>
      <c r="Q36" s="1790"/>
    </row>
    <row r="37" spans="1:26" s="2643" customFormat="1" ht="58.6" customHeight="1">
      <c r="A37" s="3768"/>
      <c r="B37" s="1900" t="str">
        <f t="shared" si="1"/>
        <v>2200002085</v>
      </c>
      <c r="C37" s="1493" t="s">
        <v>3668</v>
      </c>
      <c r="D37" s="2183"/>
      <c r="E37" s="1493"/>
      <c r="F37" s="1493" t="s">
        <v>14</v>
      </c>
      <c r="G37" s="1769"/>
      <c r="H37" s="2861"/>
      <c r="I37" s="1626" t="s">
        <v>65</v>
      </c>
      <c r="J37" s="1493" t="s">
        <v>1000</v>
      </c>
      <c r="K37" s="1770" t="s">
        <v>9312</v>
      </c>
      <c r="L37" s="2183">
        <v>3500</v>
      </c>
      <c r="M37" s="1748" t="s">
        <v>5392</v>
      </c>
      <c r="N37" s="1548"/>
      <c r="O37" s="1770" t="s">
        <v>9313</v>
      </c>
      <c r="P37" s="1790">
        <v>1</v>
      </c>
      <c r="Q37" s="1790"/>
      <c r="R37" s="1548"/>
      <c r="S37" s="1548"/>
      <c r="T37" s="1548"/>
      <c r="U37" s="1548"/>
      <c r="V37" s="1548"/>
      <c r="W37" s="1548"/>
      <c r="X37" s="1548"/>
      <c r="Y37" s="1548"/>
      <c r="Z37" s="1548"/>
    </row>
    <row r="38" spans="1:26" s="2643" customFormat="1" ht="72" customHeight="1">
      <c r="A38" s="3768"/>
      <c r="B38" s="1900" t="str">
        <f t="shared" si="1"/>
        <v>2200002065</v>
      </c>
      <c r="C38" s="1493" t="s">
        <v>3668</v>
      </c>
      <c r="D38" s="1855"/>
      <c r="E38" s="1495"/>
      <c r="F38" s="1493" t="s">
        <v>14</v>
      </c>
      <c r="G38" s="1773"/>
      <c r="H38" s="2861"/>
      <c r="I38" s="1626" t="s">
        <v>65</v>
      </c>
      <c r="J38" s="1493" t="s">
        <v>1000</v>
      </c>
      <c r="K38" s="1600" t="s">
        <v>9314</v>
      </c>
      <c r="L38" s="2357">
        <v>4800</v>
      </c>
      <c r="M38" s="1748" t="s">
        <v>5392</v>
      </c>
      <c r="N38" s="1493"/>
      <c r="O38" s="1859" t="s">
        <v>9315</v>
      </c>
      <c r="P38" s="1790">
        <v>1</v>
      </c>
      <c r="Q38" s="1790"/>
    </row>
    <row r="39" spans="1:26" s="2643" customFormat="1" ht="58.6" customHeight="1">
      <c r="A39" s="3768"/>
      <c r="B39" s="1900" t="str">
        <f t="shared" si="1"/>
        <v>2200002086</v>
      </c>
      <c r="C39" s="1493" t="s">
        <v>3668</v>
      </c>
      <c r="D39" s="1855"/>
      <c r="E39" s="1495"/>
      <c r="F39" s="1493" t="s">
        <v>14</v>
      </c>
      <c r="G39" s="1773"/>
      <c r="H39" s="2861"/>
      <c r="I39" s="1626" t="s">
        <v>65</v>
      </c>
      <c r="J39" s="1493" t="s">
        <v>1000</v>
      </c>
      <c r="K39" s="1774" t="s">
        <v>9173</v>
      </c>
      <c r="L39" s="2847">
        <v>758</v>
      </c>
      <c r="M39" s="2196" t="s">
        <v>9044</v>
      </c>
      <c r="N39" s="1493"/>
      <c r="O39" s="1859"/>
      <c r="P39" s="1790">
        <v>1</v>
      </c>
      <c r="Q39" s="1790"/>
    </row>
    <row r="40" spans="1:26" s="2643" customFormat="1" ht="91.55" customHeight="1">
      <c r="A40" s="3768"/>
      <c r="B40" s="1900" t="str">
        <f t="shared" si="1"/>
        <v>2000003132</v>
      </c>
      <c r="C40" s="1493" t="s">
        <v>3668</v>
      </c>
      <c r="D40" s="1826"/>
      <c r="E40" s="1495"/>
      <c r="F40" s="1493" t="s">
        <v>14</v>
      </c>
      <c r="G40" s="1773"/>
      <c r="H40" s="2861"/>
      <c r="I40" s="1626" t="s">
        <v>65</v>
      </c>
      <c r="J40" s="1493" t="s">
        <v>1000</v>
      </c>
      <c r="K40" s="1600" t="s">
        <v>9316</v>
      </c>
      <c r="L40" s="2357">
        <v>5334</v>
      </c>
      <c r="M40" s="2196" t="s">
        <v>9317</v>
      </c>
      <c r="N40" s="1493"/>
      <c r="O40" s="1859"/>
      <c r="P40" s="1790">
        <v>1</v>
      </c>
      <c r="Q40" s="1790"/>
      <c r="R40" s="1467"/>
      <c r="S40" s="1467"/>
      <c r="T40" s="1467"/>
      <c r="U40" s="1467"/>
      <c r="V40" s="1467"/>
      <c r="W40" s="1467"/>
      <c r="X40" s="1467"/>
      <c r="Y40" s="1467"/>
      <c r="Z40" s="1467"/>
    </row>
    <row r="41" spans="1:26" s="2643" customFormat="1" ht="66.75" customHeight="1">
      <c r="A41" s="3768">
        <v>11</v>
      </c>
      <c r="B41" s="1900" t="str">
        <f t="shared" si="1"/>
        <v>2000003149</v>
      </c>
      <c r="C41" s="1902" t="s">
        <v>3963</v>
      </c>
      <c r="D41" s="2624">
        <v>7200</v>
      </c>
      <c r="E41" s="1921" t="s">
        <v>9318</v>
      </c>
      <c r="F41" s="1902" t="s">
        <v>16</v>
      </c>
      <c r="G41" s="1495" t="s">
        <v>9319</v>
      </c>
      <c r="H41" s="1921"/>
      <c r="I41" s="1902" t="s">
        <v>65</v>
      </c>
      <c r="J41" s="1921" t="s">
        <v>164</v>
      </c>
      <c r="K41" s="1845" t="s">
        <v>9320</v>
      </c>
      <c r="L41" s="2583">
        <v>2200</v>
      </c>
      <c r="M41" s="2196" t="s">
        <v>5230</v>
      </c>
      <c r="N41" s="1493"/>
      <c r="O41" s="1859"/>
      <c r="P41" s="1790">
        <v>1</v>
      </c>
      <c r="Q41" s="1790"/>
      <c r="R41" s="1467"/>
      <c r="S41" s="1467"/>
      <c r="T41" s="1467"/>
      <c r="U41" s="1467"/>
      <c r="V41" s="1467"/>
      <c r="W41" s="1467"/>
      <c r="X41" s="1467"/>
      <c r="Y41" s="1467"/>
      <c r="Z41" s="1467"/>
    </row>
    <row r="42" spans="1:26" s="2643" customFormat="1" ht="59.95" customHeight="1">
      <c r="A42" s="3768"/>
      <c r="B42" s="1900" t="str">
        <f t="shared" si="1"/>
        <v>2000003153</v>
      </c>
      <c r="C42" s="1493" t="s">
        <v>3963</v>
      </c>
      <c r="D42" s="1826"/>
      <c r="E42" s="1495"/>
      <c r="F42" s="1493" t="s">
        <v>16</v>
      </c>
      <c r="H42" s="1495"/>
      <c r="I42" s="1495" t="s">
        <v>65</v>
      </c>
      <c r="J42" s="1773" t="s">
        <v>164</v>
      </c>
      <c r="K42" s="1547" t="s">
        <v>9321</v>
      </c>
      <c r="L42" s="2357">
        <v>5000</v>
      </c>
      <c r="M42" s="2584" t="s">
        <v>9322</v>
      </c>
      <c r="N42" s="1493"/>
      <c r="O42" s="1859"/>
      <c r="P42" s="1790">
        <v>1</v>
      </c>
      <c r="Q42" s="1790"/>
      <c r="R42" s="1467"/>
      <c r="S42" s="1467"/>
      <c r="T42" s="1467"/>
      <c r="U42" s="1467"/>
      <c r="V42" s="1467"/>
      <c r="W42" s="1467"/>
      <c r="X42" s="1467"/>
      <c r="Y42" s="1467"/>
      <c r="Z42" s="1467"/>
    </row>
    <row r="43" spans="1:26" s="2643" customFormat="1" ht="59.95" customHeight="1">
      <c r="A43" s="3768">
        <v>12</v>
      </c>
      <c r="B43" s="1900" t="str">
        <f t="shared" si="1"/>
        <v>2200002092</v>
      </c>
      <c r="C43" s="1902" t="s">
        <v>6893</v>
      </c>
      <c r="D43" s="2624">
        <v>4150</v>
      </c>
      <c r="E43" s="1921" t="s">
        <v>9293</v>
      </c>
      <c r="F43" s="1902" t="s">
        <v>24</v>
      </c>
      <c r="G43" s="1921" t="s">
        <v>9323</v>
      </c>
      <c r="H43" s="1909"/>
      <c r="I43" s="2601" t="s">
        <v>65</v>
      </c>
      <c r="J43" s="1561" t="s">
        <v>1179</v>
      </c>
      <c r="K43" s="1845" t="s">
        <v>9324</v>
      </c>
      <c r="L43" s="2850">
        <v>429</v>
      </c>
      <c r="M43" s="1909" t="s">
        <v>5392</v>
      </c>
      <c r="N43" s="1902" t="s">
        <v>5324</v>
      </c>
      <c r="O43" s="1909" t="s">
        <v>9325</v>
      </c>
      <c r="P43" s="1790">
        <v>1</v>
      </c>
      <c r="Q43" s="1790"/>
    </row>
    <row r="44" spans="1:26" s="2643" customFormat="1" ht="59.95" customHeight="1">
      <c r="A44" s="3768"/>
      <c r="B44" s="1900" t="str">
        <f t="shared" si="1"/>
        <v>2200002093</v>
      </c>
      <c r="C44" s="1493" t="s">
        <v>6893</v>
      </c>
      <c r="D44" s="1826"/>
      <c r="E44" s="1495"/>
      <c r="F44" s="1493" t="s">
        <v>24</v>
      </c>
      <c r="G44" s="1495"/>
      <c r="H44" s="1748"/>
      <c r="I44" s="1601" t="s">
        <v>65</v>
      </c>
      <c r="J44" s="1773" t="s">
        <v>1179</v>
      </c>
      <c r="K44" s="1600" t="s">
        <v>9326</v>
      </c>
      <c r="L44" s="2796">
        <v>666</v>
      </c>
      <c r="M44" s="1748" t="s">
        <v>9327</v>
      </c>
      <c r="N44" s="1493"/>
      <c r="O44" s="1748" t="s">
        <v>9325</v>
      </c>
      <c r="P44" s="1790">
        <v>1</v>
      </c>
      <c r="Q44" s="1790"/>
      <c r="R44" s="1467"/>
      <c r="S44" s="1467"/>
      <c r="T44" s="1467"/>
      <c r="U44" s="1467"/>
      <c r="V44" s="1467"/>
      <c r="W44" s="1467"/>
      <c r="X44" s="1467"/>
      <c r="Y44" s="1467"/>
      <c r="Z44" s="1467"/>
    </row>
    <row r="45" spans="1:26" s="2643" customFormat="1" ht="59.95" customHeight="1">
      <c r="A45" s="3768"/>
      <c r="B45" s="1900" t="str">
        <f t="shared" si="1"/>
        <v>2200002099</v>
      </c>
      <c r="C45" s="1493" t="s">
        <v>6893</v>
      </c>
      <c r="D45" s="1826"/>
      <c r="E45" s="1495"/>
      <c r="F45" s="1493" t="s">
        <v>24</v>
      </c>
      <c r="G45" s="1748"/>
      <c r="H45" s="1495"/>
      <c r="I45" s="1601" t="s">
        <v>65</v>
      </c>
      <c r="J45" s="1773" t="s">
        <v>1179</v>
      </c>
      <c r="K45" s="1496" t="s">
        <v>9328</v>
      </c>
      <c r="L45" s="2357">
        <v>2205</v>
      </c>
      <c r="M45" s="2196" t="s">
        <v>9329</v>
      </c>
      <c r="N45" s="1493"/>
      <c r="O45" s="1859"/>
      <c r="P45" s="1790">
        <v>1</v>
      </c>
      <c r="Q45" s="1790"/>
      <c r="R45" s="1467"/>
      <c r="S45" s="1467"/>
      <c r="T45" s="1467"/>
      <c r="U45" s="1467"/>
      <c r="V45" s="1467"/>
      <c r="W45" s="1467"/>
      <c r="X45" s="1467"/>
      <c r="Y45" s="1467"/>
      <c r="Z45" s="1467"/>
    </row>
    <row r="46" spans="1:26" s="2643" customFormat="1" ht="59.95" customHeight="1">
      <c r="A46" s="3768"/>
      <c r="B46" s="1900" t="str">
        <f t="shared" si="1"/>
        <v>2200002100</v>
      </c>
      <c r="C46" s="1493" t="s">
        <v>6893</v>
      </c>
      <c r="D46" s="1826"/>
      <c r="E46" s="1495"/>
      <c r="F46" s="1493" t="s">
        <v>24</v>
      </c>
      <c r="G46" s="1748"/>
      <c r="H46" s="1495"/>
      <c r="I46" s="1601" t="s">
        <v>65</v>
      </c>
      <c r="J46" s="1773" t="s">
        <v>1179</v>
      </c>
      <c r="K46" s="1496" t="s">
        <v>9330</v>
      </c>
      <c r="L46" s="2361">
        <v>850</v>
      </c>
      <c r="M46" s="2196" t="s">
        <v>9329</v>
      </c>
      <c r="N46" s="1493"/>
      <c r="O46" s="1859"/>
      <c r="P46" s="1790">
        <v>1</v>
      </c>
      <c r="Q46" s="1790"/>
      <c r="R46" s="1467"/>
      <c r="S46" s="1467"/>
      <c r="T46" s="1467"/>
      <c r="U46" s="1467"/>
      <c r="V46" s="1467"/>
      <c r="W46" s="1467"/>
      <c r="X46" s="1467"/>
      <c r="Y46" s="1467"/>
      <c r="Z46" s="1467"/>
    </row>
    <row r="47" spans="1:26" s="2643" customFormat="1" ht="59.3" customHeight="1">
      <c r="A47" s="3768">
        <v>13</v>
      </c>
      <c r="B47" s="1900" t="str">
        <f t="shared" si="1"/>
        <v>2000003128</v>
      </c>
      <c r="C47" s="1902" t="s">
        <v>5335</v>
      </c>
      <c r="D47" s="2624">
        <v>4300</v>
      </c>
      <c r="E47" s="1921" t="s">
        <v>9331</v>
      </c>
      <c r="F47" s="1902" t="s">
        <v>24</v>
      </c>
      <c r="G47" s="1495" t="s">
        <v>9332</v>
      </c>
      <c r="H47" s="2187"/>
      <c r="I47" s="2851" t="s">
        <v>65</v>
      </c>
      <c r="J47" s="1921" t="s">
        <v>164</v>
      </c>
      <c r="K47" s="2852" t="s">
        <v>9333</v>
      </c>
      <c r="L47" s="2583">
        <v>2000</v>
      </c>
      <c r="M47" s="2506" t="s">
        <v>5701</v>
      </c>
      <c r="N47" s="1493"/>
      <c r="O47" s="1859"/>
      <c r="P47" s="1790">
        <v>1</v>
      </c>
      <c r="Q47" s="1790"/>
      <c r="R47" s="1467"/>
      <c r="S47" s="1467"/>
      <c r="T47" s="1467"/>
      <c r="U47" s="1467"/>
      <c r="V47" s="1467"/>
      <c r="W47" s="1467"/>
      <c r="X47" s="1467"/>
      <c r="Y47" s="1467"/>
      <c r="Z47" s="1467"/>
    </row>
    <row r="48" spans="1:26" s="2643" customFormat="1" ht="59.3" customHeight="1">
      <c r="A48" s="3768"/>
      <c r="B48" s="1900" t="str">
        <f t="shared" si="1"/>
        <v>2000003103</v>
      </c>
      <c r="C48" s="1545" t="s">
        <v>5335</v>
      </c>
      <c r="D48" s="1827"/>
      <c r="E48" s="1543"/>
      <c r="F48" s="1493" t="s">
        <v>24</v>
      </c>
      <c r="G48" s="1899"/>
      <c r="H48" s="1495"/>
      <c r="I48" s="2844" t="s">
        <v>65</v>
      </c>
      <c r="J48" s="1899" t="s">
        <v>164</v>
      </c>
      <c r="K48" s="1990" t="s">
        <v>9334</v>
      </c>
      <c r="L48" s="2543">
        <v>2500</v>
      </c>
      <c r="M48" s="2196" t="s">
        <v>5230</v>
      </c>
      <c r="N48" s="1493"/>
      <c r="O48" s="1859"/>
      <c r="P48" s="1790">
        <v>1</v>
      </c>
      <c r="Q48" s="1790"/>
    </row>
    <row r="49" spans="1:26" s="2643" customFormat="1" ht="59.3" customHeight="1">
      <c r="A49" s="3768">
        <v>14</v>
      </c>
      <c r="B49" s="1900" t="str">
        <f t="shared" si="1"/>
        <v>2000003164</v>
      </c>
      <c r="C49" s="1902" t="s">
        <v>4824</v>
      </c>
      <c r="D49" s="2624">
        <v>5820</v>
      </c>
      <c r="E49" s="1921" t="s">
        <v>9335</v>
      </c>
      <c r="F49" s="1902" t="s">
        <v>14</v>
      </c>
      <c r="G49" s="1909" t="s">
        <v>9336</v>
      </c>
      <c r="H49" s="1921"/>
      <c r="I49" s="2601" t="s">
        <v>65</v>
      </c>
      <c r="J49" s="1561" t="s">
        <v>1179</v>
      </c>
      <c r="K49" s="2686" t="s">
        <v>9337</v>
      </c>
      <c r="L49" s="2583">
        <v>2641</v>
      </c>
      <c r="M49" s="2848" t="s">
        <v>5392</v>
      </c>
      <c r="N49" s="1902" t="s">
        <v>5320</v>
      </c>
      <c r="O49" s="1775"/>
      <c r="P49" s="1790">
        <v>1</v>
      </c>
      <c r="Q49" s="1790"/>
    </row>
    <row r="50" spans="1:26" s="2643" customFormat="1" ht="59.3" customHeight="1">
      <c r="A50" s="3768"/>
      <c r="B50" s="1900" t="str">
        <f t="shared" si="1"/>
        <v>2200002100</v>
      </c>
      <c r="C50" s="1493" t="s">
        <v>4824</v>
      </c>
      <c r="D50" s="1826"/>
      <c r="E50" s="1495"/>
      <c r="F50" s="1493" t="s">
        <v>14</v>
      </c>
      <c r="G50" s="1748"/>
      <c r="H50" s="1543"/>
      <c r="I50" s="1601" t="s">
        <v>65</v>
      </c>
      <c r="J50" s="1773" t="s">
        <v>1179</v>
      </c>
      <c r="K50" s="1496" t="s">
        <v>9330</v>
      </c>
      <c r="L50" s="2361">
        <v>1175</v>
      </c>
      <c r="M50" s="2196" t="s">
        <v>9329</v>
      </c>
      <c r="N50" s="1902"/>
      <c r="O50" s="1775"/>
      <c r="P50" s="1790">
        <v>1</v>
      </c>
      <c r="Q50" s="1790"/>
    </row>
    <row r="51" spans="1:26" s="2643" customFormat="1" ht="59.3" customHeight="1">
      <c r="A51" s="3768"/>
      <c r="B51" s="1900" t="str">
        <f t="shared" si="1"/>
        <v>2200002101</v>
      </c>
      <c r="C51" s="1493" t="s">
        <v>4824</v>
      </c>
      <c r="D51" s="1826"/>
      <c r="E51" s="1495"/>
      <c r="F51" s="1493" t="s">
        <v>14</v>
      </c>
      <c r="G51" s="2208"/>
      <c r="H51" s="1495"/>
      <c r="I51" s="1601" t="s">
        <v>65</v>
      </c>
      <c r="J51" s="1773" t="s">
        <v>1179</v>
      </c>
      <c r="K51" s="1496" t="s">
        <v>9338</v>
      </c>
      <c r="L51" s="2361">
        <v>1781</v>
      </c>
      <c r="M51" s="2196" t="s">
        <v>9329</v>
      </c>
      <c r="N51" s="1902"/>
      <c r="O51" s="1775"/>
      <c r="P51" s="1790">
        <v>1</v>
      </c>
      <c r="Q51" s="1790"/>
    </row>
    <row r="52" spans="1:26" s="2643" customFormat="1" ht="59.3" customHeight="1">
      <c r="A52" s="3768"/>
      <c r="B52" s="1900" t="str">
        <f t="shared" si="1"/>
        <v>2200002104</v>
      </c>
      <c r="C52" s="1493" t="s">
        <v>4824</v>
      </c>
      <c r="D52" s="1826"/>
      <c r="E52" s="1495"/>
      <c r="F52" s="1493" t="s">
        <v>14</v>
      </c>
      <c r="G52" s="2208"/>
      <c r="H52" s="1773"/>
      <c r="I52" s="1493" t="s">
        <v>65</v>
      </c>
      <c r="J52" s="1937" t="s">
        <v>1179</v>
      </c>
      <c r="K52" s="1496" t="s">
        <v>9339</v>
      </c>
      <c r="L52" s="2361">
        <v>355</v>
      </c>
      <c r="M52" s="2385" t="s">
        <v>9340</v>
      </c>
      <c r="N52" s="1902"/>
      <c r="O52" s="1775"/>
      <c r="P52" s="1790">
        <v>1</v>
      </c>
      <c r="Q52" s="1790"/>
    </row>
    <row r="53" spans="1:26" s="2643" customFormat="1" ht="59.3" customHeight="1">
      <c r="A53" s="3768">
        <v>15</v>
      </c>
      <c r="B53" s="1900" t="str">
        <f t="shared" si="1"/>
        <v>2000003165</v>
      </c>
      <c r="C53" s="1902" t="s">
        <v>3508</v>
      </c>
      <c r="D53" s="2656">
        <v>4280</v>
      </c>
      <c r="E53" s="2118" t="s">
        <v>9341</v>
      </c>
      <c r="F53" s="2391" t="s">
        <v>18</v>
      </c>
      <c r="G53" s="1632" t="s">
        <v>9342</v>
      </c>
      <c r="H53" s="2118"/>
      <c r="I53" s="2118" t="s">
        <v>65</v>
      </c>
      <c r="J53" s="1773" t="s">
        <v>117</v>
      </c>
      <c r="K53" s="2422" t="s">
        <v>9343</v>
      </c>
      <c r="L53" s="2860">
        <v>3600</v>
      </c>
      <c r="M53" s="2506" t="s">
        <v>5701</v>
      </c>
      <c r="N53" s="1493"/>
      <c r="O53" s="1859"/>
      <c r="P53" s="1790">
        <v>1</v>
      </c>
      <c r="Q53" s="1790"/>
      <c r="R53" s="1467"/>
      <c r="S53" s="1467"/>
      <c r="T53" s="1467"/>
      <c r="U53" s="1467"/>
      <c r="V53" s="1467"/>
      <c r="W53" s="1467"/>
      <c r="X53" s="1467"/>
      <c r="Y53" s="1467"/>
      <c r="Z53" s="1467"/>
    </row>
    <row r="54" spans="1:26" s="2643" customFormat="1" ht="59.3" customHeight="1">
      <c r="A54" s="3768"/>
      <c r="B54" s="1900" t="str">
        <f t="shared" si="1"/>
        <v>2000003166</v>
      </c>
      <c r="C54" s="1630" t="s">
        <v>3508</v>
      </c>
      <c r="D54" s="2624"/>
      <c r="E54" s="1921"/>
      <c r="F54" s="1630" t="s">
        <v>18</v>
      </c>
      <c r="G54" s="1921"/>
      <c r="H54" s="1921"/>
      <c r="I54" s="1543" t="s">
        <v>65</v>
      </c>
      <c r="J54" s="1773" t="s">
        <v>117</v>
      </c>
      <c r="K54" s="1995" t="s">
        <v>9344</v>
      </c>
      <c r="L54" s="2610">
        <v>680</v>
      </c>
      <c r="M54" s="2506" t="s">
        <v>5230</v>
      </c>
      <c r="N54" s="2563"/>
      <c r="O54" s="1775"/>
      <c r="P54" s="1790">
        <v>1</v>
      </c>
      <c r="Q54" s="1790"/>
    </row>
    <row r="55" spans="1:26" s="1467" customFormat="1" ht="58.6" customHeight="1">
      <c r="A55" s="3768">
        <v>16</v>
      </c>
      <c r="B55" s="1900" t="str">
        <f t="shared" si="1"/>
        <v>2000003156</v>
      </c>
      <c r="C55" s="1902" t="s">
        <v>3747</v>
      </c>
      <c r="D55" s="2624">
        <v>5800</v>
      </c>
      <c r="E55" s="1921" t="s">
        <v>9345</v>
      </c>
      <c r="F55" s="1902" t="s">
        <v>14</v>
      </c>
      <c r="G55" s="1921" t="s">
        <v>9346</v>
      </c>
      <c r="H55" s="2118"/>
      <c r="I55" s="1921" t="s">
        <v>65</v>
      </c>
      <c r="J55" s="1561" t="s">
        <v>66</v>
      </c>
      <c r="K55" s="2617" t="s">
        <v>9347</v>
      </c>
      <c r="L55" s="2583">
        <v>4800</v>
      </c>
      <c r="M55" s="2196" t="s">
        <v>9348</v>
      </c>
      <c r="N55" s="1921"/>
      <c r="O55" s="1859"/>
      <c r="P55" s="1790">
        <v>1</v>
      </c>
      <c r="Q55" s="1790"/>
    </row>
    <row r="56" spans="1:26" s="2643" customFormat="1" ht="58.6" customHeight="1">
      <c r="A56" s="3768"/>
      <c r="B56" s="1900" t="str">
        <f t="shared" si="1"/>
        <v>2000003158</v>
      </c>
      <c r="C56" s="1493" t="s">
        <v>3747</v>
      </c>
      <c r="D56" s="1827"/>
      <c r="E56" s="1543"/>
      <c r="F56" s="1493" t="s">
        <v>14</v>
      </c>
      <c r="G56" s="1543"/>
      <c r="H56" s="1543"/>
      <c r="I56" s="1543" t="s">
        <v>65</v>
      </c>
      <c r="J56" s="1773" t="s">
        <v>66</v>
      </c>
      <c r="K56" s="1600" t="s">
        <v>9349</v>
      </c>
      <c r="L56" s="2636">
        <v>1000</v>
      </c>
      <c r="M56" s="2506" t="s">
        <v>9350</v>
      </c>
      <c r="N56" s="2263"/>
      <c r="O56" s="2565"/>
      <c r="P56" s="1852">
        <v>1</v>
      </c>
      <c r="Q56" s="1852"/>
    </row>
    <row r="57" spans="1:26" s="2643" customFormat="1" ht="58.6" customHeight="1">
      <c r="A57" s="3768">
        <v>17</v>
      </c>
      <c r="B57" s="1900" t="str">
        <f t="shared" si="1"/>
        <v>2000003159</v>
      </c>
      <c r="C57" s="1921" t="s">
        <v>5278</v>
      </c>
      <c r="D57" s="2857">
        <v>4350</v>
      </c>
      <c r="E57" s="1921" t="s">
        <v>9351</v>
      </c>
      <c r="F57" s="2563" t="s">
        <v>18</v>
      </c>
      <c r="G57" s="1921" t="s">
        <v>9352</v>
      </c>
      <c r="H57" s="1921"/>
      <c r="I57" s="2851" t="s">
        <v>65</v>
      </c>
      <c r="J57" s="1561" t="s">
        <v>1179</v>
      </c>
      <c r="K57" s="2858" t="s">
        <v>9353</v>
      </c>
      <c r="L57" s="2583">
        <v>1066</v>
      </c>
      <c r="M57" s="2848" t="s">
        <v>9354</v>
      </c>
      <c r="N57" s="1495" t="s">
        <v>8419</v>
      </c>
      <c r="O57" s="1859"/>
      <c r="P57" s="1790">
        <v>1</v>
      </c>
      <c r="Q57" s="1790"/>
      <c r="R57" s="1467"/>
      <c r="S57" s="1467"/>
      <c r="T57" s="1467"/>
      <c r="U57" s="1467"/>
      <c r="V57" s="1467"/>
      <c r="W57" s="1467"/>
      <c r="X57" s="1467"/>
      <c r="Y57" s="1467"/>
      <c r="Z57" s="1467"/>
    </row>
    <row r="58" spans="1:26" s="2643" customFormat="1" ht="58.6" customHeight="1">
      <c r="A58" s="3768"/>
      <c r="B58" s="1900" t="str">
        <f t="shared" si="1"/>
        <v>2200002091</v>
      </c>
      <c r="C58" s="1543" t="s">
        <v>5278</v>
      </c>
      <c r="D58" s="1827"/>
      <c r="E58" s="1543"/>
      <c r="F58" s="1601" t="s">
        <v>18</v>
      </c>
      <c r="G58" s="1543"/>
      <c r="H58" s="2051"/>
      <c r="I58" s="1601" t="s">
        <v>65</v>
      </c>
      <c r="J58" s="1899" t="s">
        <v>1179</v>
      </c>
      <c r="K58" s="1605" t="s">
        <v>9355</v>
      </c>
      <c r="L58" s="2859">
        <v>3300</v>
      </c>
      <c r="M58" s="2506" t="s">
        <v>5230</v>
      </c>
      <c r="N58" s="1545"/>
      <c r="O58" s="2051" t="s">
        <v>9325</v>
      </c>
      <c r="P58" s="1852">
        <v>1</v>
      </c>
      <c r="Q58" s="1852"/>
      <c r="R58" s="1467"/>
      <c r="S58" s="1467"/>
      <c r="T58" s="1467"/>
      <c r="U58" s="1467"/>
      <c r="V58" s="1467"/>
      <c r="W58" s="1467"/>
      <c r="X58" s="1467"/>
      <c r="Y58" s="1467"/>
      <c r="Z58" s="1467"/>
    </row>
    <row r="59" spans="1:26" s="2150" customFormat="1" ht="58.6" customHeight="1">
      <c r="A59" s="3799">
        <v>18</v>
      </c>
      <c r="B59" s="1900" t="str">
        <f t="shared" si="1"/>
        <v>2000003090</v>
      </c>
      <c r="C59" s="1902" t="s">
        <v>8173</v>
      </c>
      <c r="D59" s="2853">
        <v>3550</v>
      </c>
      <c r="E59" s="1921" t="s">
        <v>9356</v>
      </c>
      <c r="F59" s="1902" t="s">
        <v>26</v>
      </c>
      <c r="G59" s="1902" t="s">
        <v>9357</v>
      </c>
      <c r="H59" s="1902"/>
      <c r="I59" s="1902" t="s">
        <v>65</v>
      </c>
      <c r="J59" s="1902" t="s">
        <v>142</v>
      </c>
      <c r="K59" s="1916" t="s">
        <v>9358</v>
      </c>
      <c r="L59" s="2179">
        <v>2500</v>
      </c>
      <c r="M59" s="2196" t="s">
        <v>9359</v>
      </c>
      <c r="N59" s="1493" t="s">
        <v>5324</v>
      </c>
      <c r="O59" s="1548"/>
      <c r="P59" s="1790">
        <v>1</v>
      </c>
      <c r="Q59" s="1790"/>
      <c r="R59" s="1548"/>
      <c r="S59" s="1548"/>
      <c r="T59" s="1548"/>
      <c r="U59" s="1548"/>
      <c r="V59" s="1548"/>
      <c r="W59" s="1548"/>
      <c r="X59" s="1548"/>
      <c r="Y59" s="1548"/>
      <c r="Z59" s="1548"/>
    </row>
    <row r="60" spans="1:26" s="1548" customFormat="1" ht="68.95" customHeight="1">
      <c r="A60" s="3799"/>
      <c r="B60" s="1900" t="str">
        <f t="shared" si="1"/>
        <v>2000003163</v>
      </c>
      <c r="C60" s="1493" t="s">
        <v>8173</v>
      </c>
      <c r="D60" s="1855"/>
      <c r="E60" s="1495"/>
      <c r="F60" s="1493" t="s">
        <v>26</v>
      </c>
      <c r="G60" s="1495"/>
      <c r="H60" s="1495"/>
      <c r="I60" s="1493" t="s">
        <v>65</v>
      </c>
      <c r="J60" s="1495" t="s">
        <v>117</v>
      </c>
      <c r="K60" s="1600" t="s">
        <v>9360</v>
      </c>
      <c r="L60" s="2357">
        <v>1000</v>
      </c>
      <c r="M60" s="1790" t="s">
        <v>5392</v>
      </c>
      <c r="N60" s="1493"/>
      <c r="O60" s="1859"/>
      <c r="P60" s="1790">
        <v>1</v>
      </c>
      <c r="Q60" s="1790"/>
    </row>
    <row r="61" spans="1:26" s="1467" customFormat="1" ht="58.6" customHeight="1">
      <c r="A61" s="3768">
        <v>19</v>
      </c>
      <c r="B61" s="1900" t="str">
        <f t="shared" ref="B61:B92" si="2">TEXT(LEFT(K61,10),"0000000000")</f>
        <v>2000003166</v>
      </c>
      <c r="C61" s="2391" t="s">
        <v>6985</v>
      </c>
      <c r="D61" s="2656">
        <v>4250</v>
      </c>
      <c r="E61" s="2118" t="s">
        <v>9361</v>
      </c>
      <c r="F61" s="2391" t="s">
        <v>22</v>
      </c>
      <c r="G61" s="2854" t="s">
        <v>9362</v>
      </c>
      <c r="H61" s="2118"/>
      <c r="I61" s="2184" t="s">
        <v>65</v>
      </c>
      <c r="J61" s="2120" t="s">
        <v>117</v>
      </c>
      <c r="K61" s="2331" t="s">
        <v>9363</v>
      </c>
      <c r="L61" s="2713">
        <v>4120</v>
      </c>
      <c r="M61" s="2190" t="s">
        <v>5230</v>
      </c>
      <c r="N61" s="1941"/>
      <c r="O61" s="2576"/>
      <c r="P61" s="1882">
        <v>1</v>
      </c>
      <c r="Q61" s="1882"/>
    </row>
    <row r="62" spans="1:26" s="1467" customFormat="1" ht="58.6" customHeight="1">
      <c r="A62" s="3768"/>
      <c r="B62" s="1900" t="str">
        <f t="shared" si="2"/>
        <v>2200002107</v>
      </c>
      <c r="C62" s="1493" t="s">
        <v>6985</v>
      </c>
      <c r="D62" s="1826"/>
      <c r="E62" s="1495"/>
      <c r="F62" s="1493" t="s">
        <v>22</v>
      </c>
      <c r="G62" s="1495"/>
      <c r="H62" s="1495"/>
      <c r="I62" s="1543" t="s">
        <v>65</v>
      </c>
      <c r="J62" s="1773" t="s">
        <v>117</v>
      </c>
      <c r="K62" s="2348" t="s">
        <v>9364</v>
      </c>
      <c r="L62" s="2855">
        <v>46</v>
      </c>
      <c r="M62" s="2856" t="s">
        <v>9365</v>
      </c>
      <c r="N62" s="2563"/>
      <c r="O62" s="1775"/>
      <c r="P62" s="1790">
        <v>2</v>
      </c>
      <c r="Q62" s="1790"/>
      <c r="R62" s="2643"/>
      <c r="S62" s="2643"/>
      <c r="T62" s="2643"/>
      <c r="U62" s="2643"/>
      <c r="V62" s="2643"/>
      <c r="W62" s="2643"/>
      <c r="X62" s="2643"/>
      <c r="Y62" s="2643"/>
      <c r="Z62" s="2643"/>
    </row>
    <row r="63" spans="1:26" s="1467" customFormat="1" ht="58.6" customHeight="1">
      <c r="A63" s="3768">
        <v>20</v>
      </c>
      <c r="B63" s="1900" t="str">
        <f t="shared" si="2"/>
        <v>2200002105</v>
      </c>
      <c r="C63" s="1902" t="s">
        <v>252</v>
      </c>
      <c r="D63" s="2624">
        <v>4000</v>
      </c>
      <c r="E63" s="1921" t="s">
        <v>9366</v>
      </c>
      <c r="F63" s="1902" t="s">
        <v>20</v>
      </c>
      <c r="G63" s="1921" t="s">
        <v>9367</v>
      </c>
      <c r="H63" s="1921"/>
      <c r="I63" s="1902" t="s">
        <v>65</v>
      </c>
      <c r="J63" s="1902" t="s">
        <v>1000</v>
      </c>
      <c r="K63" s="2331" t="s">
        <v>9368</v>
      </c>
      <c r="L63" s="2713">
        <v>1537</v>
      </c>
      <c r="M63" s="2684" t="s">
        <v>9369</v>
      </c>
      <c r="N63" s="2563"/>
      <c r="O63" s="1775"/>
      <c r="P63" s="1790">
        <v>2</v>
      </c>
      <c r="Q63" s="1790"/>
      <c r="R63" s="2643"/>
      <c r="S63" s="2643"/>
      <c r="T63" s="2643"/>
      <c r="U63" s="2643"/>
      <c r="V63" s="2643"/>
      <c r="W63" s="2643"/>
      <c r="X63" s="2643"/>
      <c r="Y63" s="2643"/>
      <c r="Z63" s="2643"/>
    </row>
    <row r="64" spans="1:26" s="1467" customFormat="1" ht="58.6" customHeight="1">
      <c r="A64" s="3768"/>
      <c r="B64" s="1900" t="str">
        <f t="shared" si="2"/>
        <v>2200002074</v>
      </c>
      <c r="C64" s="1493" t="s">
        <v>252</v>
      </c>
      <c r="D64" s="1548"/>
      <c r="E64" s="1548"/>
      <c r="F64" s="1493" t="s">
        <v>20</v>
      </c>
      <c r="G64" s="1548"/>
      <c r="H64" s="1548"/>
      <c r="I64" s="1493" t="s">
        <v>65</v>
      </c>
      <c r="J64" s="1493" t="s">
        <v>1000</v>
      </c>
      <c r="K64" s="1548" t="s">
        <v>9260</v>
      </c>
      <c r="L64" s="2183">
        <v>2500</v>
      </c>
      <c r="M64" s="2196" t="s">
        <v>5230</v>
      </c>
      <c r="N64" s="1548"/>
      <c r="O64" s="1548"/>
      <c r="P64" s="1790">
        <v>1</v>
      </c>
      <c r="Q64" s="1790"/>
      <c r="R64" s="1548"/>
      <c r="S64" s="1548"/>
      <c r="T64" s="1548"/>
      <c r="U64" s="1548"/>
      <c r="V64" s="1548"/>
      <c r="W64" s="1548"/>
      <c r="X64" s="1548"/>
      <c r="Y64" s="1548"/>
      <c r="Z64" s="1548"/>
    </row>
    <row r="65" spans="1:26" s="1467" customFormat="1" ht="58.6" customHeight="1">
      <c r="A65" s="3768">
        <v>21</v>
      </c>
      <c r="B65" s="1900" t="str">
        <f t="shared" si="2"/>
        <v>2200002106</v>
      </c>
      <c r="C65" s="1902" t="s">
        <v>4868</v>
      </c>
      <c r="D65" s="2624">
        <v>4300</v>
      </c>
      <c r="E65" s="1921" t="s">
        <v>9370</v>
      </c>
      <c r="F65" s="1902" t="s">
        <v>20</v>
      </c>
      <c r="G65" s="1921" t="s">
        <v>9371</v>
      </c>
      <c r="H65" s="1921"/>
      <c r="I65" s="1902" t="s">
        <v>65</v>
      </c>
      <c r="J65" s="1902" t="s">
        <v>1179</v>
      </c>
      <c r="K65" s="2331" t="s">
        <v>9372</v>
      </c>
      <c r="L65" s="2713">
        <v>459</v>
      </c>
      <c r="M65" s="2684" t="s">
        <v>9373</v>
      </c>
      <c r="N65" s="2563"/>
      <c r="O65" s="1775"/>
      <c r="P65" s="1790">
        <v>2</v>
      </c>
      <c r="Q65" s="1790"/>
      <c r="R65" s="2643"/>
      <c r="S65" s="2643"/>
      <c r="T65" s="2643"/>
      <c r="U65" s="2643"/>
      <c r="V65" s="2643"/>
      <c r="W65" s="2643"/>
      <c r="X65" s="2643"/>
      <c r="Y65" s="2643"/>
      <c r="Z65" s="2643"/>
    </row>
    <row r="66" spans="1:26" s="1467" customFormat="1" ht="58.6" customHeight="1">
      <c r="A66" s="3768"/>
      <c r="B66" s="1900" t="str">
        <f t="shared" si="2"/>
        <v>2200002108</v>
      </c>
      <c r="C66" s="1902" t="s">
        <v>4868</v>
      </c>
      <c r="D66" s="1826"/>
      <c r="E66" s="1495"/>
      <c r="F66" s="1493" t="s">
        <v>20</v>
      </c>
      <c r="G66" s="1495"/>
      <c r="H66" s="1495"/>
      <c r="I66" s="1493" t="s">
        <v>65</v>
      </c>
      <c r="J66" s="1493" t="s">
        <v>1179</v>
      </c>
      <c r="K66" s="2348" t="s">
        <v>9374</v>
      </c>
      <c r="L66" s="2855">
        <v>3349</v>
      </c>
      <c r="M66" s="2856" t="s">
        <v>9375</v>
      </c>
      <c r="N66" s="2563"/>
      <c r="O66" s="1775"/>
      <c r="P66" s="1790">
        <v>2</v>
      </c>
      <c r="Q66" s="1790"/>
      <c r="R66" s="2643"/>
      <c r="S66" s="2643"/>
      <c r="T66" s="2643"/>
      <c r="U66" s="2643"/>
      <c r="V66" s="2643"/>
      <c r="W66" s="2643"/>
      <c r="X66" s="2643"/>
      <c r="Y66" s="2643"/>
      <c r="Z66" s="2643"/>
    </row>
    <row r="67" spans="1:26" s="1467" customFormat="1" ht="58.6" customHeight="1">
      <c r="A67" s="3768"/>
      <c r="B67" s="1900" t="str">
        <f t="shared" si="2"/>
        <v>2000003033</v>
      </c>
      <c r="C67" s="1902" t="s">
        <v>4868</v>
      </c>
      <c r="D67" s="1826"/>
      <c r="E67" s="1495"/>
      <c r="F67" s="1493" t="s">
        <v>20</v>
      </c>
      <c r="G67" s="1495"/>
      <c r="H67" s="1495"/>
      <c r="I67" s="1493" t="s">
        <v>65</v>
      </c>
      <c r="J67" s="1493" t="s">
        <v>1179</v>
      </c>
      <c r="K67" s="2348" t="s">
        <v>9376</v>
      </c>
      <c r="L67" s="2855">
        <v>100</v>
      </c>
      <c r="M67" s="2856" t="s">
        <v>6549</v>
      </c>
      <c r="N67" s="2563"/>
      <c r="O67" s="1775"/>
      <c r="P67" s="1790">
        <v>2</v>
      </c>
      <c r="Q67" s="1790"/>
      <c r="R67" s="2643"/>
      <c r="S67" s="2643"/>
      <c r="T67" s="2643"/>
      <c r="U67" s="2643"/>
      <c r="V67" s="2643"/>
      <c r="W67" s="2643"/>
      <c r="X67" s="2643"/>
      <c r="Y67" s="2643"/>
      <c r="Z67" s="2643"/>
    </row>
    <row r="68" spans="1:26" s="1467" customFormat="1" ht="58.6" customHeight="1">
      <c r="A68" s="3768"/>
      <c r="B68" s="1900" t="str">
        <f t="shared" si="2"/>
        <v>2200002065</v>
      </c>
      <c r="C68" s="1902" t="s">
        <v>4868</v>
      </c>
      <c r="D68" s="1826"/>
      <c r="E68" s="1495"/>
      <c r="F68" s="1493" t="s">
        <v>20</v>
      </c>
      <c r="G68" s="1495"/>
      <c r="H68" s="1495"/>
      <c r="I68" s="1493" t="s">
        <v>65</v>
      </c>
      <c r="J68" s="1493" t="s">
        <v>1179</v>
      </c>
      <c r="K68" s="2348" t="s">
        <v>9377</v>
      </c>
      <c r="L68" s="2855">
        <v>423</v>
      </c>
      <c r="M68" s="2856" t="s">
        <v>9378</v>
      </c>
      <c r="N68" s="2563"/>
      <c r="O68" s="1775"/>
      <c r="P68" s="1790">
        <v>2</v>
      </c>
      <c r="Q68" s="1790"/>
      <c r="R68" s="2643"/>
      <c r="S68" s="2643"/>
      <c r="T68" s="2643"/>
      <c r="U68" s="2643"/>
      <c r="V68" s="2643"/>
      <c r="W68" s="2643"/>
      <c r="X68" s="2643"/>
      <c r="Y68" s="2643"/>
      <c r="Z68" s="2643"/>
    </row>
    <row r="69" spans="1:26" s="1467" customFormat="1" ht="58.6" customHeight="1">
      <c r="A69" s="3768">
        <v>22</v>
      </c>
      <c r="B69" s="1900" t="str">
        <f t="shared" si="2"/>
        <v>2000003103</v>
      </c>
      <c r="C69" s="1902" t="s">
        <v>3316</v>
      </c>
      <c r="D69" s="2624">
        <v>10500</v>
      </c>
      <c r="E69" s="1921" t="s">
        <v>9379</v>
      </c>
      <c r="F69" s="1902" t="s">
        <v>16</v>
      </c>
      <c r="G69" s="1921" t="s">
        <v>9380</v>
      </c>
      <c r="H69" s="1921"/>
      <c r="I69" s="1921" t="s">
        <v>65</v>
      </c>
      <c r="J69" s="1561" t="s">
        <v>164</v>
      </c>
      <c r="K69" s="2402" t="s">
        <v>9381</v>
      </c>
      <c r="L69" s="2508">
        <v>400</v>
      </c>
      <c r="M69" s="2506" t="s">
        <v>5230</v>
      </c>
      <c r="N69" s="1921" t="s">
        <v>5320</v>
      </c>
      <c r="O69" s="1775"/>
      <c r="P69" s="1790">
        <v>2</v>
      </c>
      <c r="Q69" s="1790"/>
    </row>
    <row r="70" spans="1:26" s="1467" customFormat="1" ht="67.599999999999994" customHeight="1">
      <c r="A70" s="3768"/>
      <c r="B70" s="1900" t="str">
        <f t="shared" si="2"/>
        <v>2000003143</v>
      </c>
      <c r="C70" s="1493" t="s">
        <v>3316</v>
      </c>
      <c r="D70" s="1494"/>
      <c r="E70" s="1543"/>
      <c r="F70" s="1493" t="s">
        <v>16</v>
      </c>
      <c r="G70" s="1495"/>
      <c r="H70" s="1495"/>
      <c r="I70" s="1493" t="s">
        <v>65</v>
      </c>
      <c r="J70" s="1495" t="s">
        <v>164</v>
      </c>
      <c r="K70" s="1600" t="s">
        <v>9382</v>
      </c>
      <c r="L70" s="2357">
        <v>2500</v>
      </c>
      <c r="M70" s="2196" t="s">
        <v>5230</v>
      </c>
      <c r="N70" s="1493"/>
      <c r="O70" s="1859"/>
      <c r="P70" s="1790">
        <v>2</v>
      </c>
      <c r="Q70" s="1790"/>
    </row>
    <row r="71" spans="1:26" s="1467" customFormat="1" ht="67.599999999999994" customHeight="1">
      <c r="A71" s="3768"/>
      <c r="B71" s="1900" t="str">
        <f t="shared" si="2"/>
        <v>2000003190</v>
      </c>
      <c r="C71" s="1493" t="s">
        <v>3316</v>
      </c>
      <c r="D71" s="2624"/>
      <c r="E71" s="1921"/>
      <c r="F71" s="1493" t="s">
        <v>16</v>
      </c>
      <c r="G71" s="1921"/>
      <c r="H71" s="1921"/>
      <c r="I71" s="1493" t="s">
        <v>65</v>
      </c>
      <c r="J71" s="1495" t="s">
        <v>164</v>
      </c>
      <c r="K71" s="1600" t="s">
        <v>9383</v>
      </c>
      <c r="L71" s="2583">
        <v>2500</v>
      </c>
      <c r="M71" s="2196" t="s">
        <v>9384</v>
      </c>
      <c r="N71" s="1493"/>
      <c r="O71" s="1859"/>
      <c r="P71" s="1790">
        <v>2</v>
      </c>
      <c r="Q71" s="1790"/>
      <c r="R71" s="2643"/>
      <c r="S71" s="2643"/>
      <c r="T71" s="2643"/>
      <c r="U71" s="2643"/>
      <c r="V71" s="2643"/>
      <c r="W71" s="2643"/>
      <c r="X71" s="2643"/>
      <c r="Y71" s="2643"/>
      <c r="Z71" s="2643"/>
    </row>
    <row r="72" spans="1:26" s="1467" customFormat="1" ht="50.95" customHeight="1">
      <c r="A72" s="3768"/>
      <c r="B72" s="1900" t="str">
        <f t="shared" si="2"/>
        <v>2000003145</v>
      </c>
      <c r="C72" s="1493" t="s">
        <v>3316</v>
      </c>
      <c r="D72" s="1826"/>
      <c r="E72" s="1495"/>
      <c r="F72" s="1493" t="s">
        <v>16</v>
      </c>
      <c r="G72" s="1495"/>
      <c r="H72" s="1748"/>
      <c r="I72" s="1495" t="s">
        <v>65</v>
      </c>
      <c r="J72" s="1495" t="s">
        <v>106</v>
      </c>
      <c r="K72" s="1600" t="s">
        <v>9385</v>
      </c>
      <c r="L72" s="2357">
        <v>330</v>
      </c>
      <c r="M72" s="1790" t="s">
        <v>5392</v>
      </c>
      <c r="N72" s="1493"/>
      <c r="O72" s="1859"/>
      <c r="P72" s="1790">
        <v>2</v>
      </c>
      <c r="Q72" s="1790"/>
      <c r="R72" s="2643"/>
      <c r="S72" s="2643"/>
      <c r="T72" s="2643"/>
      <c r="U72" s="2643"/>
      <c r="V72" s="2643"/>
      <c r="W72" s="2643"/>
      <c r="X72" s="2643"/>
      <c r="Y72" s="2643"/>
      <c r="Z72" s="2643"/>
    </row>
    <row r="73" spans="1:26" s="1467" customFormat="1" ht="50.95" customHeight="1">
      <c r="A73" s="3768"/>
      <c r="B73" s="1900" t="str">
        <f t="shared" si="2"/>
        <v>2000003173</v>
      </c>
      <c r="C73" s="1493" t="s">
        <v>3316</v>
      </c>
      <c r="D73" s="1826"/>
      <c r="E73" s="1495"/>
      <c r="F73" s="1493" t="s">
        <v>16</v>
      </c>
      <c r="G73" s="1495"/>
      <c r="H73" s="1748"/>
      <c r="I73" s="1495" t="s">
        <v>65</v>
      </c>
      <c r="J73" s="1495" t="s">
        <v>106</v>
      </c>
      <c r="K73" s="1600" t="s">
        <v>9386</v>
      </c>
      <c r="L73" s="2357">
        <v>645</v>
      </c>
      <c r="M73" s="1790" t="s">
        <v>5392</v>
      </c>
      <c r="N73" s="1493"/>
      <c r="O73" s="1859"/>
      <c r="P73" s="1790">
        <v>2</v>
      </c>
      <c r="Q73" s="1790"/>
      <c r="R73" s="2643"/>
      <c r="S73" s="2643"/>
      <c r="T73" s="2643"/>
      <c r="U73" s="2643"/>
      <c r="V73" s="2643"/>
      <c r="W73" s="2643"/>
      <c r="X73" s="2643"/>
      <c r="Y73" s="2643"/>
      <c r="Z73" s="2643"/>
    </row>
    <row r="74" spans="1:26" s="1467" customFormat="1" ht="50.95" customHeight="1">
      <c r="A74" s="3768"/>
      <c r="B74" s="1900" t="str">
        <f t="shared" si="2"/>
        <v>2000003129</v>
      </c>
      <c r="C74" s="1493" t="s">
        <v>3316</v>
      </c>
      <c r="D74" s="1826"/>
      <c r="E74" s="1495"/>
      <c r="F74" s="1493" t="s">
        <v>16</v>
      </c>
      <c r="G74" s="1495"/>
      <c r="H74" s="1495"/>
      <c r="I74" s="1495" t="s">
        <v>65</v>
      </c>
      <c r="J74" s="1495" t="s">
        <v>106</v>
      </c>
      <c r="K74" s="1770" t="s">
        <v>9387</v>
      </c>
      <c r="L74" s="1548">
        <v>88</v>
      </c>
      <c r="M74" s="1748" t="s">
        <v>5392</v>
      </c>
      <c r="N74" s="1493"/>
      <c r="O74" s="1859"/>
      <c r="P74" s="1790">
        <v>2</v>
      </c>
      <c r="Q74" s="1790"/>
      <c r="R74" s="2643"/>
      <c r="S74" s="2643"/>
      <c r="T74" s="2643"/>
      <c r="U74" s="2643"/>
      <c r="V74" s="2643"/>
      <c r="W74" s="2643"/>
      <c r="X74" s="2643"/>
      <c r="Y74" s="2643"/>
      <c r="Z74" s="2643"/>
    </row>
    <row r="75" spans="1:26" s="1467" customFormat="1" ht="50.95" customHeight="1">
      <c r="A75" s="3768"/>
      <c r="B75" s="1900" t="str">
        <f t="shared" si="2"/>
        <v>2000003130</v>
      </c>
      <c r="C75" s="1493" t="s">
        <v>3316</v>
      </c>
      <c r="D75" s="1826"/>
      <c r="E75" s="1495"/>
      <c r="F75" s="1493" t="s">
        <v>16</v>
      </c>
      <c r="G75" s="1495"/>
      <c r="H75" s="1495"/>
      <c r="I75" s="1495" t="s">
        <v>65</v>
      </c>
      <c r="J75" s="1495" t="s">
        <v>106</v>
      </c>
      <c r="K75" s="1770" t="s">
        <v>9388</v>
      </c>
      <c r="L75" s="1548">
        <v>258</v>
      </c>
      <c r="M75" s="2196" t="s">
        <v>9389</v>
      </c>
      <c r="N75" s="1493"/>
      <c r="O75" s="1859"/>
      <c r="P75" s="1790">
        <v>2</v>
      </c>
      <c r="Q75" s="1790"/>
      <c r="R75" s="2643"/>
      <c r="S75" s="2643"/>
      <c r="T75" s="2643"/>
      <c r="U75" s="2643"/>
      <c r="V75" s="2643"/>
      <c r="W75" s="2643"/>
      <c r="X75" s="2643"/>
      <c r="Y75" s="2643"/>
      <c r="Z75" s="2643"/>
    </row>
    <row r="76" spans="1:26" s="1467" customFormat="1" ht="50.95" customHeight="1">
      <c r="A76" s="3768"/>
      <c r="B76" s="1900" t="str">
        <f t="shared" si="2"/>
        <v>2200002109</v>
      </c>
      <c r="C76" s="1493" t="s">
        <v>3316</v>
      </c>
      <c r="D76" s="1826"/>
      <c r="E76" s="1495"/>
      <c r="F76" s="1493" t="s">
        <v>16</v>
      </c>
      <c r="G76" s="1495"/>
      <c r="H76" s="1495"/>
      <c r="I76" s="1495" t="s">
        <v>65</v>
      </c>
      <c r="J76" s="1495" t="s">
        <v>106</v>
      </c>
      <c r="K76" s="1770" t="s">
        <v>9390</v>
      </c>
      <c r="L76" s="1548">
        <v>93</v>
      </c>
      <c r="M76" s="2196" t="s">
        <v>9365</v>
      </c>
      <c r="N76" s="1493"/>
      <c r="O76" s="1859"/>
      <c r="P76" s="1790">
        <v>2</v>
      </c>
      <c r="Q76" s="1790"/>
      <c r="R76" s="2643"/>
      <c r="S76" s="2643"/>
      <c r="T76" s="2643"/>
      <c r="U76" s="2643"/>
      <c r="V76" s="2643"/>
      <c r="W76" s="2643"/>
      <c r="X76" s="2643"/>
      <c r="Y76" s="2643"/>
      <c r="Z76" s="2643"/>
    </row>
    <row r="77" spans="1:26" s="1467" customFormat="1" ht="68.95" customHeight="1">
      <c r="A77" s="3768"/>
      <c r="B77" s="1900" t="str">
        <f t="shared" si="2"/>
        <v>2000003082</v>
      </c>
      <c r="C77" s="1493" t="s">
        <v>3316</v>
      </c>
      <c r="D77" s="1826"/>
      <c r="E77" s="1495"/>
      <c r="F77" s="1493" t="s">
        <v>16</v>
      </c>
      <c r="G77" s="1495"/>
      <c r="H77" s="1748"/>
      <c r="I77" s="1601" t="s">
        <v>65</v>
      </c>
      <c r="J77" s="1495" t="s">
        <v>106</v>
      </c>
      <c r="K77" s="1600" t="s">
        <v>9391</v>
      </c>
      <c r="L77" s="2796">
        <v>3500</v>
      </c>
      <c r="M77" s="1748" t="s">
        <v>5392</v>
      </c>
      <c r="N77" s="1493"/>
      <c r="O77" s="1859"/>
      <c r="P77" s="1790">
        <v>2</v>
      </c>
      <c r="Q77" s="1790"/>
    </row>
    <row r="78" spans="1:26" s="1467" customFormat="1" ht="79.5" customHeight="1">
      <c r="A78" s="3768"/>
      <c r="B78" s="1900" t="str">
        <f t="shared" si="2"/>
        <v>2000003174</v>
      </c>
      <c r="C78" s="1493" t="s">
        <v>3316</v>
      </c>
      <c r="D78" s="1826"/>
      <c r="E78" s="1495"/>
      <c r="F78" s="1493" t="s">
        <v>16</v>
      </c>
      <c r="G78" s="1495"/>
      <c r="H78" s="1748"/>
      <c r="I78" s="1601" t="s">
        <v>65</v>
      </c>
      <c r="J78" s="1495" t="s">
        <v>106</v>
      </c>
      <c r="K78" s="1600" t="s">
        <v>9392</v>
      </c>
      <c r="L78" s="2564">
        <v>28</v>
      </c>
      <c r="M78" s="2261" t="s">
        <v>7572</v>
      </c>
      <c r="N78" s="1493"/>
      <c r="O78" s="1859"/>
      <c r="P78" s="1790">
        <v>2</v>
      </c>
      <c r="Q78" s="1790"/>
    </row>
    <row r="79" spans="1:26" s="1467" customFormat="1" ht="55.55" customHeight="1">
      <c r="A79" s="3768">
        <v>23</v>
      </c>
      <c r="B79" s="1900" t="str">
        <f t="shared" si="2"/>
        <v>2200002108</v>
      </c>
      <c r="C79" s="2263" t="s">
        <v>3494</v>
      </c>
      <c r="D79" s="2624">
        <v>8800</v>
      </c>
      <c r="E79" s="1921" t="s">
        <v>9393</v>
      </c>
      <c r="F79" s="1902" t="s">
        <v>16</v>
      </c>
      <c r="G79" s="1921" t="s">
        <v>9394</v>
      </c>
      <c r="H79" s="1921"/>
      <c r="I79" s="1902" t="s">
        <v>65</v>
      </c>
      <c r="J79" s="1921" t="s">
        <v>1179</v>
      </c>
      <c r="K79" s="2331" t="s">
        <v>9374</v>
      </c>
      <c r="L79" s="2583">
        <v>1183</v>
      </c>
      <c r="M79" s="2196" t="s">
        <v>9375</v>
      </c>
      <c r="N79" s="1493"/>
      <c r="O79" s="1859"/>
      <c r="P79" s="1790">
        <v>2</v>
      </c>
      <c r="Q79" s="1790"/>
      <c r="R79" s="2643"/>
      <c r="S79" s="2643"/>
      <c r="T79" s="2643"/>
      <c r="U79" s="2643"/>
      <c r="V79" s="2643"/>
      <c r="W79" s="2643"/>
      <c r="X79" s="2643"/>
      <c r="Y79" s="2643"/>
      <c r="Z79" s="2643"/>
    </row>
    <row r="80" spans="1:26" s="1467" customFormat="1" ht="55.55" customHeight="1">
      <c r="A80" s="3768"/>
      <c r="B80" s="1900" t="str">
        <f t="shared" si="2"/>
        <v>2200002074</v>
      </c>
      <c r="C80" s="1545" t="s">
        <v>3494</v>
      </c>
      <c r="D80" s="1826"/>
      <c r="E80" s="1495"/>
      <c r="F80" s="1493" t="s">
        <v>16</v>
      </c>
      <c r="G80" s="1495"/>
      <c r="H80" s="1495"/>
      <c r="I80" s="1493" t="s">
        <v>65</v>
      </c>
      <c r="J80" s="1495" t="s">
        <v>1179</v>
      </c>
      <c r="K80" s="2348" t="s">
        <v>9260</v>
      </c>
      <c r="L80" s="2357">
        <v>182</v>
      </c>
      <c r="M80" s="2196" t="s">
        <v>9395</v>
      </c>
      <c r="N80" s="1493"/>
      <c r="O80" s="1859"/>
      <c r="P80" s="1790">
        <v>2</v>
      </c>
      <c r="Q80" s="1790"/>
      <c r="R80" s="2643"/>
      <c r="S80" s="2643"/>
      <c r="T80" s="2643"/>
      <c r="U80" s="2643"/>
      <c r="V80" s="2643"/>
      <c r="W80" s="2643"/>
      <c r="X80" s="2643"/>
      <c r="Y80" s="2643"/>
      <c r="Z80" s="2643"/>
    </row>
    <row r="81" spans="1:26" s="1467" customFormat="1" ht="55.55" customHeight="1">
      <c r="A81" s="3768"/>
      <c r="B81" s="1900" t="str">
        <f t="shared" si="2"/>
        <v>2200002091</v>
      </c>
      <c r="C81" s="1545" t="s">
        <v>3494</v>
      </c>
      <c r="D81" s="1826"/>
      <c r="E81" s="1495"/>
      <c r="F81" s="1493" t="s">
        <v>16</v>
      </c>
      <c r="G81" s="1495"/>
      <c r="H81" s="1495"/>
      <c r="I81" s="1493" t="s">
        <v>65</v>
      </c>
      <c r="J81" s="1495" t="s">
        <v>1179</v>
      </c>
      <c r="K81" s="2348" t="s">
        <v>9396</v>
      </c>
      <c r="L81" s="2357">
        <v>410</v>
      </c>
      <c r="M81" s="2196" t="s">
        <v>9395</v>
      </c>
      <c r="N81" s="1493"/>
      <c r="O81" s="1859"/>
      <c r="P81" s="1790">
        <v>2</v>
      </c>
      <c r="Q81" s="1790"/>
      <c r="R81" s="2643"/>
      <c r="S81" s="2643"/>
      <c r="T81" s="2643"/>
      <c r="U81" s="2643"/>
      <c r="V81" s="2643"/>
      <c r="W81" s="2643"/>
      <c r="X81" s="2643"/>
      <c r="Y81" s="2643"/>
      <c r="Z81" s="2643"/>
    </row>
    <row r="82" spans="1:26" s="1467" customFormat="1" ht="55.55" customHeight="1">
      <c r="A82" s="3768"/>
      <c r="B82" s="1900" t="str">
        <f t="shared" si="2"/>
        <v>2200002101</v>
      </c>
      <c r="C82" s="1545" t="s">
        <v>3494</v>
      </c>
      <c r="D82" s="1826"/>
      <c r="E82" s="1495"/>
      <c r="F82" s="1493" t="s">
        <v>16</v>
      </c>
      <c r="G82" s="1495"/>
      <c r="H82" s="1495"/>
      <c r="I82" s="1493" t="s">
        <v>65</v>
      </c>
      <c r="J82" s="1495" t="s">
        <v>1179</v>
      </c>
      <c r="K82" s="2348" t="s">
        <v>9397</v>
      </c>
      <c r="L82" s="2357">
        <v>108</v>
      </c>
      <c r="M82" s="2196" t="s">
        <v>9395</v>
      </c>
      <c r="N82" s="1493"/>
      <c r="O82" s="1859"/>
      <c r="P82" s="1790">
        <v>2</v>
      </c>
      <c r="Q82" s="1790"/>
      <c r="R82" s="2643"/>
      <c r="S82" s="2643"/>
      <c r="T82" s="2643"/>
      <c r="U82" s="2643"/>
      <c r="V82" s="2643"/>
      <c r="W82" s="2643"/>
      <c r="X82" s="2643"/>
      <c r="Y82" s="2643"/>
      <c r="Z82" s="2643"/>
    </row>
    <row r="83" spans="1:26" s="1467" customFormat="1" ht="55.55" customHeight="1">
      <c r="A83" s="3768"/>
      <c r="B83" s="1900" t="str">
        <f t="shared" si="2"/>
        <v>2200002115</v>
      </c>
      <c r="C83" s="1545" t="s">
        <v>3494</v>
      </c>
      <c r="D83" s="1826"/>
      <c r="E83" s="1495"/>
      <c r="F83" s="1493" t="s">
        <v>16</v>
      </c>
      <c r="G83" s="1495"/>
      <c r="H83" s="1495"/>
      <c r="I83" s="1493" t="s">
        <v>65</v>
      </c>
      <c r="J83" s="1495" t="s">
        <v>1179</v>
      </c>
      <c r="K83" s="2348" t="s">
        <v>9398</v>
      </c>
      <c r="L83" s="2357">
        <v>2411</v>
      </c>
      <c r="M83" s="2196" t="s">
        <v>9399</v>
      </c>
      <c r="N83" s="1493"/>
      <c r="O83" s="1859"/>
      <c r="P83" s="1790">
        <v>2</v>
      </c>
      <c r="Q83" s="1790"/>
      <c r="R83" s="2643"/>
      <c r="S83" s="2643"/>
      <c r="T83" s="2643"/>
      <c r="U83" s="2643"/>
      <c r="V83" s="2643"/>
      <c r="W83" s="2643"/>
      <c r="X83" s="2643"/>
      <c r="Y83" s="2643"/>
      <c r="Z83" s="2643"/>
    </row>
    <row r="84" spans="1:26" s="1467" customFormat="1" ht="55.55" customHeight="1">
      <c r="A84" s="3768"/>
      <c r="B84" s="1900" t="str">
        <f t="shared" si="2"/>
        <v>2200002116</v>
      </c>
      <c r="C84" s="1545" t="s">
        <v>3494</v>
      </c>
      <c r="D84" s="1826"/>
      <c r="E84" s="1495"/>
      <c r="F84" s="1493" t="s">
        <v>16</v>
      </c>
      <c r="G84" s="1495"/>
      <c r="H84" s="1495"/>
      <c r="I84" s="1493" t="s">
        <v>65</v>
      </c>
      <c r="J84" s="1495" t="s">
        <v>1179</v>
      </c>
      <c r="K84" s="2348" t="s">
        <v>9400</v>
      </c>
      <c r="L84" s="2357">
        <v>2127</v>
      </c>
      <c r="M84" s="2196" t="s">
        <v>9401</v>
      </c>
      <c r="N84" s="1493"/>
      <c r="O84" s="1859"/>
      <c r="P84" s="1790">
        <v>2</v>
      </c>
      <c r="Q84" s="1790"/>
      <c r="R84" s="2643"/>
      <c r="S84" s="2643"/>
      <c r="T84" s="2643"/>
      <c r="U84" s="2643"/>
      <c r="V84" s="2643"/>
      <c r="W84" s="2643"/>
      <c r="X84" s="2643"/>
      <c r="Y84" s="2643"/>
      <c r="Z84" s="2643"/>
    </row>
    <row r="85" spans="1:26" s="1467" customFormat="1" ht="55.55" customHeight="1">
      <c r="A85" s="3768"/>
      <c r="B85" s="1900" t="str">
        <f t="shared" si="2"/>
        <v>2200002117</v>
      </c>
      <c r="C85" s="1545" t="s">
        <v>3494</v>
      </c>
      <c r="D85" s="1826"/>
      <c r="E85" s="1495"/>
      <c r="F85" s="1493" t="s">
        <v>16</v>
      </c>
      <c r="G85" s="1495"/>
      <c r="H85" s="1495"/>
      <c r="I85" s="1493" t="s">
        <v>65</v>
      </c>
      <c r="J85" s="1495" t="s">
        <v>1179</v>
      </c>
      <c r="K85" s="2348" t="s">
        <v>9402</v>
      </c>
      <c r="L85" s="2357">
        <v>1801</v>
      </c>
      <c r="M85" s="2196" t="s">
        <v>9399</v>
      </c>
      <c r="N85" s="1493"/>
      <c r="O85" s="1859"/>
      <c r="P85" s="1790">
        <v>2</v>
      </c>
      <c r="Q85" s="1790"/>
      <c r="R85" s="2643"/>
      <c r="S85" s="2643"/>
      <c r="T85" s="2643"/>
      <c r="U85" s="2643"/>
      <c r="V85" s="2643"/>
      <c r="W85" s="2643"/>
      <c r="X85" s="2643"/>
      <c r="Y85" s="2643"/>
      <c r="Z85" s="2643"/>
    </row>
    <row r="86" spans="1:26" s="1467" customFormat="1" ht="55.55" customHeight="1">
      <c r="A86" s="3768"/>
      <c r="B86" s="1900" t="str">
        <f t="shared" si="2"/>
        <v>2200002118</v>
      </c>
      <c r="C86" s="1545" t="s">
        <v>3494</v>
      </c>
      <c r="D86" s="1826"/>
      <c r="E86" s="1495"/>
      <c r="F86" s="1493" t="s">
        <v>16</v>
      </c>
      <c r="G86" s="1495"/>
      <c r="H86" s="1495"/>
      <c r="I86" s="1493" t="s">
        <v>65</v>
      </c>
      <c r="J86" s="1495" t="s">
        <v>1179</v>
      </c>
      <c r="K86" s="2348" t="s">
        <v>9403</v>
      </c>
      <c r="L86" s="2357">
        <v>600</v>
      </c>
      <c r="M86" s="2196" t="s">
        <v>9365</v>
      </c>
      <c r="N86" s="1493"/>
      <c r="O86" s="1859"/>
      <c r="P86" s="1790">
        <v>2</v>
      </c>
      <c r="Q86" s="1790"/>
      <c r="R86" s="2643"/>
      <c r="S86" s="2643"/>
      <c r="T86" s="2643"/>
      <c r="U86" s="2643"/>
      <c r="V86" s="2643"/>
      <c r="W86" s="2643"/>
      <c r="X86" s="2643"/>
      <c r="Y86" s="2643"/>
      <c r="Z86" s="2643"/>
    </row>
    <row r="87" spans="1:26" s="1467" customFormat="1" ht="55.55" customHeight="1">
      <c r="A87" s="3772">
        <v>24</v>
      </c>
      <c r="B87" s="1900" t="str">
        <f t="shared" si="2"/>
        <v>2200002110</v>
      </c>
      <c r="C87" s="1902" t="s">
        <v>97</v>
      </c>
      <c r="D87" s="2624">
        <v>4620</v>
      </c>
      <c r="E87" s="1921" t="s">
        <v>9404</v>
      </c>
      <c r="F87" s="1902" t="s">
        <v>18</v>
      </c>
      <c r="G87" s="1921" t="s">
        <v>3845</v>
      </c>
      <c r="H87" s="1921"/>
      <c r="I87" s="1921" t="s">
        <v>65</v>
      </c>
      <c r="J87" s="1921" t="s">
        <v>117</v>
      </c>
      <c r="K87" s="2150" t="s">
        <v>9405</v>
      </c>
      <c r="L87" s="2179">
        <v>187</v>
      </c>
      <c r="M87" s="1921" t="s">
        <v>9406</v>
      </c>
      <c r="N87" s="1493"/>
      <c r="O87" s="1859"/>
      <c r="P87" s="1790">
        <v>2</v>
      </c>
      <c r="Q87" s="1790"/>
    </row>
    <row r="88" spans="1:26" s="1467" customFormat="1" ht="55.55" customHeight="1">
      <c r="A88" s="3772"/>
      <c r="B88" s="1900" t="str">
        <f t="shared" si="2"/>
        <v>2000003177</v>
      </c>
      <c r="C88" s="1493" t="s">
        <v>97</v>
      </c>
      <c r="D88" s="1826"/>
      <c r="E88" s="1495"/>
      <c r="F88" s="1493" t="s">
        <v>18</v>
      </c>
      <c r="G88" s="1495"/>
      <c r="H88" s="1748"/>
      <c r="I88" s="1495" t="s">
        <v>65</v>
      </c>
      <c r="J88" s="1495" t="s">
        <v>117</v>
      </c>
      <c r="K88" s="1600" t="s">
        <v>9407</v>
      </c>
      <c r="L88" s="2357">
        <v>2175</v>
      </c>
      <c r="M88" s="2196" t="s">
        <v>5701</v>
      </c>
      <c r="N88" s="1493"/>
      <c r="O88" s="1859"/>
      <c r="P88" s="1790">
        <v>2</v>
      </c>
      <c r="Q88" s="1790"/>
      <c r="R88" s="2643"/>
      <c r="S88" s="2643"/>
      <c r="T88" s="2643"/>
      <c r="U88" s="2643"/>
      <c r="V88" s="2643"/>
      <c r="W88" s="2643"/>
      <c r="X88" s="2643"/>
      <c r="Y88" s="2643"/>
      <c r="Z88" s="2643"/>
    </row>
    <row r="89" spans="1:26" s="1467" customFormat="1" ht="55.55" customHeight="1">
      <c r="A89" s="3772"/>
      <c r="B89" s="1900" t="str">
        <f t="shared" si="2"/>
        <v>2000003165</v>
      </c>
      <c r="C89" s="1493" t="s">
        <v>97</v>
      </c>
      <c r="D89" s="1868"/>
      <c r="E89" s="1851"/>
      <c r="F89" s="1493" t="s">
        <v>18</v>
      </c>
      <c r="G89" s="1851"/>
      <c r="H89" s="1872"/>
      <c r="I89" s="1495" t="s">
        <v>65</v>
      </c>
      <c r="J89" s="1937" t="s">
        <v>117</v>
      </c>
      <c r="K89" s="1966" t="s">
        <v>9408</v>
      </c>
      <c r="L89" s="2867">
        <v>1000</v>
      </c>
      <c r="M89" s="2506" t="s">
        <v>5230</v>
      </c>
      <c r="N89" s="1493"/>
      <c r="O89" s="1859"/>
      <c r="P89" s="1790">
        <v>2</v>
      </c>
      <c r="Q89" s="1790"/>
    </row>
    <row r="90" spans="1:26" s="1467" customFormat="1" ht="55.55" customHeight="1">
      <c r="A90" s="3772"/>
      <c r="B90" s="1900" t="str">
        <f t="shared" si="2"/>
        <v>2000003166</v>
      </c>
      <c r="C90" s="1493" t="s">
        <v>97</v>
      </c>
      <c r="D90" s="1868"/>
      <c r="E90" s="1851"/>
      <c r="F90" s="1493" t="s">
        <v>18</v>
      </c>
      <c r="G90" s="1921"/>
      <c r="H90" s="1921"/>
      <c r="I90" s="1875" t="s">
        <v>65</v>
      </c>
      <c r="J90" s="1773" t="s">
        <v>117</v>
      </c>
      <c r="K90" s="1995" t="s">
        <v>9409</v>
      </c>
      <c r="L90" s="2610">
        <v>1000</v>
      </c>
      <c r="M90" s="2506" t="s">
        <v>5230</v>
      </c>
      <c r="N90" s="2563"/>
      <c r="O90" s="1775"/>
      <c r="P90" s="1790">
        <v>2</v>
      </c>
      <c r="Q90" s="1790"/>
      <c r="R90" s="2643"/>
      <c r="S90" s="2643"/>
      <c r="T90" s="2643"/>
      <c r="U90" s="2643"/>
      <c r="V90" s="2643"/>
      <c r="W90" s="2643"/>
      <c r="X90" s="2643"/>
      <c r="Y90" s="2643"/>
      <c r="Z90" s="2643"/>
    </row>
    <row r="91" spans="1:26" s="2643" customFormat="1" ht="50.3" customHeight="1">
      <c r="A91" s="3771">
        <v>25</v>
      </c>
      <c r="B91" s="1900" t="str">
        <f t="shared" si="2"/>
        <v>2000003155</v>
      </c>
      <c r="C91" s="1902" t="s">
        <v>3454</v>
      </c>
      <c r="D91" s="2624">
        <v>24000</v>
      </c>
      <c r="E91" s="1921" t="s">
        <v>9410</v>
      </c>
      <c r="F91" s="1902" t="s">
        <v>14</v>
      </c>
      <c r="G91" s="1921" t="s">
        <v>9411</v>
      </c>
      <c r="H91" s="1921"/>
      <c r="I91" s="1921" t="s">
        <v>65</v>
      </c>
      <c r="J91" s="1921" t="s">
        <v>294</v>
      </c>
      <c r="K91" s="1845" t="s">
        <v>9412</v>
      </c>
      <c r="L91" s="2583">
        <v>5644</v>
      </c>
      <c r="M91" s="2506" t="s">
        <v>5230</v>
      </c>
      <c r="N91" s="1902"/>
      <c r="O91" s="1775"/>
      <c r="P91" s="1790">
        <v>2</v>
      </c>
      <c r="Q91" s="1790"/>
    </row>
    <row r="92" spans="1:26" s="1467" customFormat="1" ht="61.5" customHeight="1">
      <c r="A92" s="3771"/>
      <c r="B92" s="1900" t="str">
        <f t="shared" si="2"/>
        <v>2000003142</v>
      </c>
      <c r="C92" s="1493" t="s">
        <v>3454</v>
      </c>
      <c r="D92" s="1494"/>
      <c r="E92" s="1495"/>
      <c r="F92" s="1493" t="s">
        <v>14</v>
      </c>
      <c r="G92" s="1495"/>
      <c r="H92" s="1495"/>
      <c r="I92" s="1493" t="s">
        <v>65</v>
      </c>
      <c r="J92" s="1495" t="s">
        <v>164</v>
      </c>
      <c r="K92" s="1600" t="s">
        <v>9413</v>
      </c>
      <c r="L92" s="2543">
        <v>2834</v>
      </c>
      <c r="M92" s="2506" t="s">
        <v>5230</v>
      </c>
      <c r="N92" s="1493"/>
      <c r="O92" s="1859"/>
      <c r="P92" s="1790">
        <v>2</v>
      </c>
      <c r="Q92" s="1790"/>
    </row>
    <row r="93" spans="1:26" s="1467" customFormat="1" ht="52.5" customHeight="1">
      <c r="A93" s="3771"/>
      <c r="B93" s="1900" t="str">
        <f t="shared" ref="B93:B124" si="3">TEXT(LEFT(K93,10),"0000000000")</f>
        <v>2200002095</v>
      </c>
      <c r="C93" s="1493" t="s">
        <v>3454</v>
      </c>
      <c r="D93" s="1826"/>
      <c r="E93" s="1495"/>
      <c r="F93" s="1493" t="s">
        <v>14</v>
      </c>
      <c r="G93" s="1495"/>
      <c r="H93" s="1495"/>
      <c r="I93" s="1495" t="s">
        <v>65</v>
      </c>
      <c r="J93" s="1495" t="s">
        <v>164</v>
      </c>
      <c r="K93" s="2903" t="s">
        <v>9414</v>
      </c>
      <c r="L93" s="2637">
        <v>438</v>
      </c>
      <c r="M93" s="2055" t="s">
        <v>9415</v>
      </c>
      <c r="N93" s="1493"/>
      <c r="O93" s="1859"/>
      <c r="P93" s="1790">
        <v>2</v>
      </c>
      <c r="Q93" s="1790"/>
    </row>
    <row r="94" spans="1:26" s="1467" customFormat="1" ht="52.5" customHeight="1">
      <c r="A94" s="3771"/>
      <c r="B94" s="1900" t="str">
        <f t="shared" si="3"/>
        <v>2200002097</v>
      </c>
      <c r="C94" s="1493" t="s">
        <v>3454</v>
      </c>
      <c r="D94" s="1826"/>
      <c r="E94" s="1495"/>
      <c r="F94" s="1493" t="s">
        <v>14</v>
      </c>
      <c r="G94" s="1495"/>
      <c r="H94" s="1495"/>
      <c r="I94" s="1495" t="s">
        <v>65</v>
      </c>
      <c r="J94" s="1495" t="s">
        <v>164</v>
      </c>
      <c r="K94" s="2903" t="s">
        <v>9416</v>
      </c>
      <c r="L94" s="2637">
        <v>562</v>
      </c>
      <c r="M94" s="2055" t="s">
        <v>9417</v>
      </c>
      <c r="N94" s="1493"/>
      <c r="O94" s="1859"/>
      <c r="P94" s="1790">
        <v>2</v>
      </c>
      <c r="Q94" s="1790"/>
    </row>
    <row r="95" spans="1:26" s="1467" customFormat="1" ht="67.599999999999994" customHeight="1">
      <c r="A95" s="3771"/>
      <c r="B95" s="1900" t="str">
        <f t="shared" si="3"/>
        <v>2000003095</v>
      </c>
      <c r="C95" s="1493" t="s">
        <v>3454</v>
      </c>
      <c r="D95" s="1826"/>
      <c r="E95" s="1495"/>
      <c r="F95" s="1493" t="s">
        <v>14</v>
      </c>
      <c r="G95" s="1495"/>
      <c r="H95" s="1495"/>
      <c r="I95" s="1493" t="s">
        <v>65</v>
      </c>
      <c r="J95" s="1495" t="s">
        <v>164</v>
      </c>
      <c r="K95" s="1598" t="s">
        <v>9418</v>
      </c>
      <c r="L95" s="2361">
        <v>3118</v>
      </c>
      <c r="M95" s="2506" t="s">
        <v>5230</v>
      </c>
      <c r="N95" s="1493"/>
      <c r="O95" s="1859"/>
      <c r="P95" s="1790">
        <v>2</v>
      </c>
      <c r="Q95" s="1790"/>
    </row>
    <row r="96" spans="1:26" s="1467" customFormat="1" ht="67.599999999999994" customHeight="1">
      <c r="A96" s="3771"/>
      <c r="B96" s="1900" t="str">
        <f t="shared" si="3"/>
        <v>2000003127</v>
      </c>
      <c r="C96" s="1493" t="s">
        <v>3454</v>
      </c>
      <c r="D96" s="1826"/>
      <c r="E96" s="1495"/>
      <c r="F96" s="1493" t="s">
        <v>14</v>
      </c>
      <c r="G96" s="1495"/>
      <c r="H96" s="1495"/>
      <c r="I96" s="1495" t="s">
        <v>65</v>
      </c>
      <c r="J96" s="1495" t="s">
        <v>164</v>
      </c>
      <c r="K96" s="1600" t="s">
        <v>9419</v>
      </c>
      <c r="L96" s="2357">
        <v>11230</v>
      </c>
      <c r="M96" s="2506" t="s">
        <v>5230</v>
      </c>
      <c r="N96" s="1493"/>
      <c r="O96" s="1859"/>
      <c r="P96" s="1790">
        <v>2</v>
      </c>
      <c r="Q96" s="1790"/>
    </row>
    <row r="97" spans="1:26" s="1467" customFormat="1" ht="67.599999999999994" customHeight="1">
      <c r="A97" s="3771">
        <v>26</v>
      </c>
      <c r="B97" s="1900" t="str">
        <f t="shared" si="3"/>
        <v>2000003127</v>
      </c>
      <c r="C97" s="1902" t="s">
        <v>87</v>
      </c>
      <c r="D97" s="2624">
        <v>5950</v>
      </c>
      <c r="E97" s="1921" t="s">
        <v>9420</v>
      </c>
      <c r="F97" s="1902" t="s">
        <v>16</v>
      </c>
      <c r="G97" s="1921" t="s">
        <v>9421</v>
      </c>
      <c r="H97" s="1921"/>
      <c r="I97" s="1921" t="s">
        <v>65</v>
      </c>
      <c r="J97" s="1921" t="s">
        <v>164</v>
      </c>
      <c r="K97" s="1845" t="s">
        <v>9422</v>
      </c>
      <c r="L97" s="2583">
        <v>3000</v>
      </c>
      <c r="M97" s="2196" t="s">
        <v>5230</v>
      </c>
      <c r="N97" s="1493"/>
      <c r="O97" s="1859"/>
      <c r="P97" s="1790">
        <v>2</v>
      </c>
      <c r="Q97" s="1790"/>
    </row>
    <row r="98" spans="1:26" s="1467" customFormat="1" ht="67.599999999999994" customHeight="1">
      <c r="A98" s="3771"/>
      <c r="B98" s="1900" t="str">
        <f t="shared" si="3"/>
        <v>2000003169</v>
      </c>
      <c r="C98" s="1493" t="s">
        <v>87</v>
      </c>
      <c r="D98" s="1826"/>
      <c r="E98" s="1495"/>
      <c r="F98" s="1493" t="s">
        <v>16</v>
      </c>
      <c r="G98" s="1495"/>
      <c r="H98" s="1495"/>
      <c r="I98" s="1493" t="s">
        <v>65</v>
      </c>
      <c r="J98" s="1495" t="s">
        <v>164</v>
      </c>
      <c r="K98" s="1770" t="s">
        <v>9423</v>
      </c>
      <c r="L98" s="2483">
        <v>3000</v>
      </c>
      <c r="M98" s="2196" t="s">
        <v>5392</v>
      </c>
      <c r="N98" s="1493"/>
      <c r="O98" s="1859"/>
      <c r="P98" s="1790">
        <v>2</v>
      </c>
      <c r="Q98" s="1790"/>
    </row>
    <row r="99" spans="1:26" s="1467" customFormat="1" ht="67.599999999999994" customHeight="1">
      <c r="A99" s="2582">
        <v>27</v>
      </c>
      <c r="B99" s="1900" t="str">
        <f t="shared" si="3"/>
        <v>2000003196</v>
      </c>
      <c r="C99" s="1902" t="s">
        <v>6985</v>
      </c>
      <c r="D99" s="2624">
        <v>4250</v>
      </c>
      <c r="E99" s="1921" t="s">
        <v>9424</v>
      </c>
      <c r="F99" s="1902" t="s">
        <v>22</v>
      </c>
      <c r="G99" s="1921" t="s">
        <v>9425</v>
      </c>
      <c r="H99" s="1921" t="s">
        <v>9426</v>
      </c>
      <c r="I99" s="1921" t="s">
        <v>65</v>
      </c>
      <c r="J99" s="1921" t="s">
        <v>240</v>
      </c>
      <c r="K99" s="1911" t="s">
        <v>9427</v>
      </c>
      <c r="L99" s="2583">
        <v>4250</v>
      </c>
      <c r="M99" s="2196" t="s">
        <v>5701</v>
      </c>
      <c r="N99" s="1902" t="s">
        <v>8415</v>
      </c>
      <c r="O99" s="1775"/>
      <c r="P99" s="1790">
        <v>2</v>
      </c>
      <c r="Q99" s="1790"/>
      <c r="R99" s="2643"/>
      <c r="S99" s="2643"/>
      <c r="T99" s="2643"/>
      <c r="U99" s="2643"/>
      <c r="V99" s="2643"/>
      <c r="W99" s="2643"/>
      <c r="X99" s="2643"/>
      <c r="Y99" s="2643"/>
      <c r="Z99" s="2643"/>
    </row>
    <row r="100" spans="1:26" s="1467" customFormat="1" ht="67.599999999999994" customHeight="1">
      <c r="A100" s="3771">
        <v>28</v>
      </c>
      <c r="B100" s="1900" t="str">
        <f t="shared" si="3"/>
        <v>2000003195</v>
      </c>
      <c r="C100" s="2263" t="s">
        <v>6609</v>
      </c>
      <c r="D100" s="2869">
        <v>4300</v>
      </c>
      <c r="E100" s="2187" t="s">
        <v>9428</v>
      </c>
      <c r="F100" s="1902" t="s">
        <v>24</v>
      </c>
      <c r="G100" s="1921" t="s">
        <v>9429</v>
      </c>
      <c r="H100" s="1921" t="s">
        <v>9426</v>
      </c>
      <c r="I100" s="1921" t="s">
        <v>65</v>
      </c>
      <c r="J100" s="1921" t="s">
        <v>117</v>
      </c>
      <c r="K100" s="2150" t="s">
        <v>9430</v>
      </c>
      <c r="L100" s="2179">
        <v>1000</v>
      </c>
      <c r="M100" s="2196" t="s">
        <v>5701</v>
      </c>
      <c r="N100" s="1493"/>
      <c r="O100" s="1859"/>
      <c r="P100" s="1790">
        <v>2</v>
      </c>
      <c r="Q100" s="1790"/>
    </row>
    <row r="101" spans="1:26" s="1467" customFormat="1" ht="67.599999999999994" customHeight="1">
      <c r="A101" s="3772"/>
      <c r="B101" s="1900" t="str">
        <f t="shared" si="3"/>
        <v>2000003177</v>
      </c>
      <c r="C101" s="1545" t="s">
        <v>6609</v>
      </c>
      <c r="D101" s="1548"/>
      <c r="E101" s="1548"/>
      <c r="F101" s="1493" t="s">
        <v>24</v>
      </c>
      <c r="G101" s="1495"/>
      <c r="H101" s="1495"/>
      <c r="I101" s="1495" t="s">
        <v>65</v>
      </c>
      <c r="J101" s="1495" t="s">
        <v>117</v>
      </c>
      <c r="K101" s="1600" t="s">
        <v>9407</v>
      </c>
      <c r="L101" s="2357">
        <v>937</v>
      </c>
      <c r="M101" s="2196" t="s">
        <v>5701</v>
      </c>
      <c r="N101" s="1493"/>
      <c r="O101" s="1859"/>
      <c r="P101" s="1790">
        <v>2</v>
      </c>
      <c r="Q101" s="1790"/>
    </row>
    <row r="102" spans="1:26" s="1467" customFormat="1" ht="67.599999999999994" customHeight="1">
      <c r="A102" s="3772"/>
      <c r="B102" s="1900" t="str">
        <f t="shared" si="3"/>
        <v>2200002120</v>
      </c>
      <c r="C102" s="1545" t="s">
        <v>6609</v>
      </c>
      <c r="D102" s="1548"/>
      <c r="E102" s="1548"/>
      <c r="F102" s="1493" t="s">
        <v>24</v>
      </c>
      <c r="G102" s="1495"/>
      <c r="H102" s="1495"/>
      <c r="I102" s="1495" t="s">
        <v>65</v>
      </c>
      <c r="J102" s="1495" t="s">
        <v>117</v>
      </c>
      <c r="K102" s="1548" t="s">
        <v>9431</v>
      </c>
      <c r="L102" s="2560">
        <v>868</v>
      </c>
      <c r="M102" s="1495" t="s">
        <v>9432</v>
      </c>
      <c r="N102" s="1493"/>
      <c r="O102" s="1859"/>
      <c r="P102" s="1790">
        <v>2</v>
      </c>
      <c r="Q102" s="1790"/>
    </row>
    <row r="103" spans="1:26" s="1467" customFormat="1" ht="67.599999999999994" customHeight="1">
      <c r="A103" s="3773"/>
      <c r="B103" s="1900" t="str">
        <f t="shared" si="3"/>
        <v>2200002119</v>
      </c>
      <c r="C103" s="1545" t="s">
        <v>6609</v>
      </c>
      <c r="D103" s="1548"/>
      <c r="E103" s="1548"/>
      <c r="F103" s="1493" t="s">
        <v>24</v>
      </c>
      <c r="G103" s="1495"/>
      <c r="H103" s="1495"/>
      <c r="I103" s="1495" t="s">
        <v>65</v>
      </c>
      <c r="J103" s="1773" t="s">
        <v>142</v>
      </c>
      <c r="K103" s="1548" t="s">
        <v>9433</v>
      </c>
      <c r="L103" s="2560">
        <v>1500</v>
      </c>
      <c r="M103" s="1495" t="s">
        <v>9434</v>
      </c>
      <c r="N103" s="1493"/>
      <c r="O103" s="1859"/>
      <c r="P103" s="1790">
        <v>2</v>
      </c>
      <c r="Q103" s="1790"/>
    </row>
    <row r="104" spans="1:26" s="1467" customFormat="1" ht="67.599999999999994" customHeight="1">
      <c r="A104" s="2436">
        <v>29</v>
      </c>
      <c r="B104" s="1900" t="str">
        <f t="shared" si="3"/>
        <v>2000003101</v>
      </c>
      <c r="C104" s="1902" t="s">
        <v>3499</v>
      </c>
      <c r="D104" s="2624">
        <v>4000</v>
      </c>
      <c r="E104" s="1921" t="s">
        <v>9435</v>
      </c>
      <c r="F104" s="1902" t="s">
        <v>20</v>
      </c>
      <c r="G104" s="1921" t="s">
        <v>9436</v>
      </c>
      <c r="H104" s="1921" t="s">
        <v>9426</v>
      </c>
      <c r="I104" s="1902" t="s">
        <v>65</v>
      </c>
      <c r="J104" s="1561" t="s">
        <v>117</v>
      </c>
      <c r="K104" s="1916" t="s">
        <v>9437</v>
      </c>
      <c r="L104" s="2480">
        <v>4000</v>
      </c>
      <c r="M104" s="2196" t="s">
        <v>5701</v>
      </c>
      <c r="N104" s="1902" t="s">
        <v>5277</v>
      </c>
      <c r="O104" s="1775"/>
      <c r="P104" s="1790">
        <v>2</v>
      </c>
      <c r="Q104" s="1790"/>
      <c r="R104" s="2643"/>
      <c r="S104" s="2643"/>
      <c r="T104" s="2643"/>
      <c r="U104" s="2643"/>
      <c r="V104" s="2643"/>
      <c r="W104" s="2643"/>
      <c r="X104" s="2643"/>
      <c r="Y104" s="2643"/>
      <c r="Z104" s="2643"/>
    </row>
    <row r="105" spans="1:26" s="1467" customFormat="1" ht="67.599999999999994" customHeight="1">
      <c r="A105" s="3772">
        <v>41</v>
      </c>
      <c r="B105" s="1900" t="str">
        <f t="shared" si="3"/>
        <v>2000003193</v>
      </c>
      <c r="C105" s="1902" t="s">
        <v>8149</v>
      </c>
      <c r="D105" s="2624">
        <v>10600</v>
      </c>
      <c r="E105" s="1921" t="s">
        <v>9438</v>
      </c>
      <c r="F105" s="1902" t="s">
        <v>16</v>
      </c>
      <c r="G105" s="1921" t="s">
        <v>9439</v>
      </c>
      <c r="H105" s="1921" t="s">
        <v>9440</v>
      </c>
      <c r="I105" s="1921" t="s">
        <v>65</v>
      </c>
      <c r="J105" s="1921" t="s">
        <v>106</v>
      </c>
      <c r="K105" s="1845" t="s">
        <v>9441</v>
      </c>
      <c r="L105" s="2583">
        <v>2000</v>
      </c>
      <c r="M105" s="1909" t="s">
        <v>9442</v>
      </c>
      <c r="N105" s="1902"/>
      <c r="O105" s="1775"/>
      <c r="P105" s="1790">
        <v>2</v>
      </c>
      <c r="Q105" s="1790"/>
      <c r="R105" s="2643"/>
      <c r="S105" s="2643"/>
      <c r="T105" s="2643"/>
      <c r="U105" s="2643"/>
      <c r="V105" s="2643"/>
      <c r="W105" s="2643"/>
      <c r="X105" s="2643"/>
      <c r="Y105" s="2643"/>
      <c r="Z105" s="2643"/>
    </row>
    <row r="106" spans="1:26" s="1467" customFormat="1" ht="67.599999999999994" customHeight="1">
      <c r="A106" s="3772"/>
      <c r="B106" s="1900" t="str">
        <f t="shared" si="3"/>
        <v>2000003230</v>
      </c>
      <c r="C106" s="1493" t="s">
        <v>8149</v>
      </c>
      <c r="D106" s="1826"/>
      <c r="E106" s="1495"/>
      <c r="F106" s="1493" t="s">
        <v>16</v>
      </c>
      <c r="G106" s="1495"/>
      <c r="H106" s="1495"/>
      <c r="I106" s="1493" t="s">
        <v>65</v>
      </c>
      <c r="J106" s="1495" t="s">
        <v>106</v>
      </c>
      <c r="K106" s="1600" t="s">
        <v>9443</v>
      </c>
      <c r="L106" s="2357">
        <v>3000</v>
      </c>
      <c r="M106" s="1790" t="s">
        <v>7499</v>
      </c>
      <c r="N106" s="1493"/>
      <c r="O106" s="1859"/>
      <c r="P106" s="1790">
        <v>2</v>
      </c>
      <c r="Q106" s="1790"/>
      <c r="R106" s="1548"/>
      <c r="S106" s="1548"/>
      <c r="T106" s="1548"/>
      <c r="U106" s="1548"/>
      <c r="V106" s="1548"/>
      <c r="W106" s="1548"/>
      <c r="X106" s="1548"/>
      <c r="Y106" s="1548"/>
      <c r="Z106" s="1548"/>
    </row>
    <row r="107" spans="1:26" s="1467" customFormat="1" ht="57.75" customHeight="1">
      <c r="A107" s="3772"/>
      <c r="B107" s="1900" t="str">
        <f t="shared" si="3"/>
        <v>2000003227</v>
      </c>
      <c r="C107" s="1493" t="s">
        <v>8149</v>
      </c>
      <c r="D107" s="1826"/>
      <c r="E107" s="1495"/>
      <c r="F107" s="1493" t="s">
        <v>16</v>
      </c>
      <c r="G107" s="1495"/>
      <c r="H107" s="1495"/>
      <c r="I107" s="1493" t="s">
        <v>65</v>
      </c>
      <c r="J107" s="1495" t="s">
        <v>106</v>
      </c>
      <c r="K107" s="1547" t="s">
        <v>9444</v>
      </c>
      <c r="L107" s="2357">
        <v>300</v>
      </c>
      <c r="M107" s="2385" t="s">
        <v>5392</v>
      </c>
      <c r="N107" s="1493"/>
      <c r="O107" s="1547"/>
      <c r="P107" s="1790">
        <v>2</v>
      </c>
      <c r="Q107" s="1790"/>
    </row>
    <row r="108" spans="1:26" s="1467" customFormat="1" ht="86.3" customHeight="1">
      <c r="A108" s="3773"/>
      <c r="B108" s="1900" t="str">
        <f t="shared" si="3"/>
        <v>2000003179</v>
      </c>
      <c r="C108" s="1493" t="s">
        <v>8149</v>
      </c>
      <c r="D108" s="1826"/>
      <c r="E108" s="1495"/>
      <c r="F108" s="1493" t="s">
        <v>16</v>
      </c>
      <c r="G108" s="1495"/>
      <c r="H108" s="1495"/>
      <c r="I108" s="1495" t="s">
        <v>65</v>
      </c>
      <c r="J108" s="1495" t="s">
        <v>4386</v>
      </c>
      <c r="K108" s="1770" t="s">
        <v>9445</v>
      </c>
      <c r="L108" s="2560">
        <v>5200</v>
      </c>
      <c r="M108" s="2196" t="s">
        <v>9446</v>
      </c>
      <c r="N108" s="1493"/>
      <c r="O108" s="1843"/>
      <c r="P108" s="1790">
        <v>2</v>
      </c>
      <c r="Q108" s="1790"/>
    </row>
    <row r="109" spans="1:26" s="1467" customFormat="1" ht="67.599999999999994" customHeight="1">
      <c r="A109" s="3776">
        <v>30</v>
      </c>
      <c r="B109" s="1900" t="str">
        <f t="shared" si="3"/>
        <v>2200002084</v>
      </c>
      <c r="C109" s="2263" t="s">
        <v>3464</v>
      </c>
      <c r="D109" s="2624">
        <v>3726</v>
      </c>
      <c r="E109" s="1921" t="s">
        <v>9447</v>
      </c>
      <c r="F109" s="2263" t="s">
        <v>20</v>
      </c>
      <c r="G109" s="1921" t="s">
        <v>9448</v>
      </c>
      <c r="H109" s="1921" t="s">
        <v>9426</v>
      </c>
      <c r="I109" s="1902" t="s">
        <v>65</v>
      </c>
      <c r="J109" s="1921" t="s">
        <v>1179</v>
      </c>
      <c r="K109" s="1845" t="s">
        <v>9449</v>
      </c>
      <c r="L109" s="2870">
        <v>2200</v>
      </c>
      <c r="M109" s="2196" t="s">
        <v>7407</v>
      </c>
      <c r="N109" s="1493"/>
      <c r="O109" s="1859"/>
      <c r="P109" s="1790">
        <v>2</v>
      </c>
      <c r="Q109" s="1790"/>
      <c r="R109" s="2643"/>
      <c r="S109" s="2643"/>
      <c r="T109" s="2643"/>
      <c r="U109" s="2643"/>
      <c r="V109" s="2643"/>
      <c r="W109" s="2643"/>
      <c r="X109" s="2643"/>
      <c r="Y109" s="2643"/>
      <c r="Z109" s="2643"/>
    </row>
    <row r="110" spans="1:26" s="1467" customFormat="1" ht="67.599999999999994" customHeight="1">
      <c r="A110" s="3776"/>
      <c r="B110" s="1900" t="str">
        <f t="shared" si="3"/>
        <v>2200002121</v>
      </c>
      <c r="C110" s="1545" t="s">
        <v>3464</v>
      </c>
      <c r="D110" s="1826"/>
      <c r="E110" s="1495"/>
      <c r="F110" s="1545" t="s">
        <v>20</v>
      </c>
      <c r="G110" s="1495"/>
      <c r="H110" s="1495"/>
      <c r="I110" s="1493" t="s">
        <v>65</v>
      </c>
      <c r="J110" s="1495" t="s">
        <v>1179</v>
      </c>
      <c r="K110" s="2348" t="s">
        <v>9450</v>
      </c>
      <c r="L110" s="2357">
        <v>1195</v>
      </c>
      <c r="M110" s="2196" t="s">
        <v>9451</v>
      </c>
      <c r="N110" s="1493"/>
      <c r="O110" s="1859"/>
      <c r="P110" s="1790">
        <v>2</v>
      </c>
      <c r="Q110" s="1790"/>
      <c r="R110" s="2643"/>
      <c r="S110" s="2643"/>
      <c r="T110" s="2643"/>
      <c r="U110" s="2643"/>
      <c r="V110" s="2643"/>
      <c r="W110" s="2643"/>
      <c r="X110" s="2643"/>
      <c r="Y110" s="2643"/>
      <c r="Z110" s="2643"/>
    </row>
    <row r="111" spans="1:26" s="1467" customFormat="1" ht="67.599999999999994" customHeight="1">
      <c r="A111" s="3776"/>
      <c r="B111" s="1900" t="str">
        <f t="shared" si="3"/>
        <v>2200002123</v>
      </c>
      <c r="C111" s="1545" t="s">
        <v>3464</v>
      </c>
      <c r="D111" s="1826"/>
      <c r="E111" s="1495"/>
      <c r="F111" s="1545" t="s">
        <v>20</v>
      </c>
      <c r="G111" s="1495"/>
      <c r="H111" s="1495"/>
      <c r="I111" s="1493" t="s">
        <v>65</v>
      </c>
      <c r="J111" s="1495" t="s">
        <v>1179</v>
      </c>
      <c r="K111" s="2348" t="s">
        <v>9452</v>
      </c>
      <c r="L111" s="2357">
        <v>360</v>
      </c>
      <c r="M111" s="2196" t="s">
        <v>9453</v>
      </c>
      <c r="N111" s="1493"/>
      <c r="O111" s="1859"/>
      <c r="P111" s="1790">
        <v>2</v>
      </c>
      <c r="Q111" s="1790"/>
      <c r="R111" s="2643"/>
      <c r="S111" s="2643"/>
      <c r="T111" s="2643"/>
      <c r="U111" s="2643"/>
      <c r="V111" s="2643"/>
      <c r="W111" s="2643"/>
      <c r="X111" s="2643"/>
      <c r="Y111" s="2643"/>
      <c r="Z111" s="2643"/>
    </row>
    <row r="112" spans="1:26" s="1467" customFormat="1" ht="50.3" customHeight="1">
      <c r="A112" s="3784">
        <v>31</v>
      </c>
      <c r="B112" s="1900" t="str">
        <f t="shared" si="3"/>
        <v>2000003207</v>
      </c>
      <c r="C112" s="1902" t="s">
        <v>5896</v>
      </c>
      <c r="D112" s="2624">
        <v>11940</v>
      </c>
      <c r="E112" s="1921" t="s">
        <v>2992</v>
      </c>
      <c r="F112" s="1902" t="s">
        <v>16</v>
      </c>
      <c r="G112" s="1921" t="s">
        <v>9454</v>
      </c>
      <c r="H112" s="1921" t="s">
        <v>9440</v>
      </c>
      <c r="I112" s="1921" t="s">
        <v>65</v>
      </c>
      <c r="J112" s="1902" t="s">
        <v>164</v>
      </c>
      <c r="K112" s="1916" t="s">
        <v>9455</v>
      </c>
      <c r="L112" s="2179">
        <v>4510</v>
      </c>
      <c r="M112" s="2196" t="s">
        <v>5701</v>
      </c>
      <c r="N112" s="1493"/>
      <c r="O112" s="1859"/>
      <c r="P112" s="1790">
        <v>3</v>
      </c>
      <c r="Q112" s="1790"/>
    </row>
    <row r="113" spans="1:26" s="2643" customFormat="1" ht="50.3" customHeight="1">
      <c r="A113" s="3784"/>
      <c r="B113" s="1900" t="str">
        <f t="shared" si="3"/>
        <v>2000003191</v>
      </c>
      <c r="C113" s="1493" t="s">
        <v>5896</v>
      </c>
      <c r="D113" s="1826"/>
      <c r="E113" s="1495"/>
      <c r="F113" s="1493" t="s">
        <v>16</v>
      </c>
      <c r="G113" s="1495"/>
      <c r="H113" s="1495"/>
      <c r="I113" s="1495" t="s">
        <v>65</v>
      </c>
      <c r="J113" s="1493" t="s">
        <v>164</v>
      </c>
      <c r="K113" s="1548" t="s">
        <v>9456</v>
      </c>
      <c r="L113" s="2183">
        <v>5000</v>
      </c>
      <c r="M113" s="2196" t="s">
        <v>5701</v>
      </c>
      <c r="N113" s="1902"/>
      <c r="O113" s="1775"/>
      <c r="P113" s="1790">
        <v>3</v>
      </c>
      <c r="Q113" s="1790"/>
    </row>
    <row r="114" spans="1:26" s="2643" customFormat="1" ht="50.3" customHeight="1">
      <c r="A114" s="3784"/>
      <c r="B114" s="1900" t="str">
        <f t="shared" si="3"/>
        <v>2000003208</v>
      </c>
      <c r="C114" s="1493" t="s">
        <v>5896</v>
      </c>
      <c r="D114" s="1826"/>
      <c r="E114" s="1495"/>
      <c r="F114" s="1493" t="s">
        <v>16</v>
      </c>
      <c r="G114" s="1495"/>
      <c r="H114" s="1495"/>
      <c r="I114" s="1601" t="s">
        <v>65</v>
      </c>
      <c r="J114" s="1495" t="s">
        <v>106</v>
      </c>
      <c r="K114" s="1600" t="s">
        <v>9457</v>
      </c>
      <c r="L114" s="2357">
        <v>1000</v>
      </c>
      <c r="M114" s="1748" t="s">
        <v>5392</v>
      </c>
      <c r="N114" s="1902"/>
      <c r="O114" s="1775"/>
      <c r="P114" s="1790">
        <v>3</v>
      </c>
      <c r="Q114" s="1790"/>
    </row>
    <row r="115" spans="1:26" s="2643" customFormat="1" ht="50.3" customHeight="1">
      <c r="A115" s="3784"/>
      <c r="B115" s="1900" t="str">
        <f t="shared" si="3"/>
        <v>2000003176</v>
      </c>
      <c r="C115" s="1493" t="s">
        <v>5896</v>
      </c>
      <c r="D115" s="1826"/>
      <c r="E115" s="1495"/>
      <c r="F115" s="1493" t="s">
        <v>16</v>
      </c>
      <c r="G115" s="1495"/>
      <c r="H115" s="1495"/>
      <c r="I115" s="1495" t="s">
        <v>65</v>
      </c>
      <c r="J115" s="1495" t="s">
        <v>106</v>
      </c>
      <c r="K115" s="1600" t="s">
        <v>9458</v>
      </c>
      <c r="L115" s="2357">
        <v>90</v>
      </c>
      <c r="M115" s="2196" t="s">
        <v>5701</v>
      </c>
      <c r="N115" s="1902"/>
      <c r="O115" s="1775"/>
      <c r="P115" s="1790">
        <v>3</v>
      </c>
      <c r="Q115" s="1790"/>
    </row>
    <row r="116" spans="1:26" s="2643" customFormat="1" ht="91.55" customHeight="1">
      <c r="A116" s="3784"/>
      <c r="B116" s="1900" t="str">
        <f t="shared" si="3"/>
        <v>2000003175</v>
      </c>
      <c r="C116" s="1493" t="s">
        <v>5896</v>
      </c>
      <c r="D116" s="1826"/>
      <c r="E116" s="1495"/>
      <c r="F116" s="1493" t="s">
        <v>16</v>
      </c>
      <c r="G116" s="1748"/>
      <c r="H116" s="1495"/>
      <c r="I116" s="1495" t="s">
        <v>65</v>
      </c>
      <c r="J116" s="1495" t="s">
        <v>106</v>
      </c>
      <c r="K116" s="1600" t="s">
        <v>9459</v>
      </c>
      <c r="L116" s="2357">
        <v>451</v>
      </c>
      <c r="M116" s="1474" t="s">
        <v>5392</v>
      </c>
      <c r="N116" s="1921"/>
      <c r="O116" s="1775"/>
      <c r="P116" s="1790">
        <v>3</v>
      </c>
      <c r="Q116" s="1790"/>
    </row>
    <row r="117" spans="1:26" s="2643" customFormat="1" ht="57.75" customHeight="1">
      <c r="A117" s="3776">
        <v>40</v>
      </c>
      <c r="B117" s="1900" t="str">
        <f t="shared" si="3"/>
        <v>2000003180</v>
      </c>
      <c r="C117" s="2823" t="s">
        <v>252</v>
      </c>
      <c r="D117" s="2874">
        <v>4000</v>
      </c>
      <c r="E117" s="1902" t="s">
        <v>9460</v>
      </c>
      <c r="F117" s="2563" t="s">
        <v>20</v>
      </c>
      <c r="G117" s="1921" t="s">
        <v>9461</v>
      </c>
      <c r="H117" s="1921" t="s">
        <v>9462</v>
      </c>
      <c r="I117" s="1921" t="s">
        <v>65</v>
      </c>
      <c r="J117" s="1921" t="s">
        <v>117</v>
      </c>
      <c r="K117" s="1916" t="s">
        <v>9463</v>
      </c>
      <c r="L117" s="2150">
        <v>300</v>
      </c>
      <c r="M117" s="1909" t="s">
        <v>5392</v>
      </c>
      <c r="N117" s="1902"/>
      <c r="O117" s="1862"/>
      <c r="P117" s="1790">
        <v>3</v>
      </c>
      <c r="Q117" s="1790"/>
    </row>
    <row r="118" spans="1:26" s="2643" customFormat="1" ht="57.75" customHeight="1">
      <c r="A118" s="3776"/>
      <c r="B118" s="1900" t="str">
        <f t="shared" si="3"/>
        <v>2000003198</v>
      </c>
      <c r="C118" s="1769" t="s">
        <v>252</v>
      </c>
      <c r="D118" s="2183"/>
      <c r="E118" s="1941"/>
      <c r="F118" s="1626" t="s">
        <v>20</v>
      </c>
      <c r="G118" s="1495"/>
      <c r="H118" s="1495"/>
      <c r="I118" s="1495" t="s">
        <v>65</v>
      </c>
      <c r="J118" s="1495" t="s">
        <v>117</v>
      </c>
      <c r="K118" s="1770" t="s">
        <v>9464</v>
      </c>
      <c r="L118" s="2560">
        <v>220</v>
      </c>
      <c r="M118" s="2196" t="s">
        <v>5701</v>
      </c>
      <c r="N118" s="1493"/>
      <c r="O118" s="1843"/>
      <c r="P118" s="1790">
        <v>3</v>
      </c>
      <c r="Q118" s="1790"/>
      <c r="R118" s="1467"/>
      <c r="S118" s="1467"/>
      <c r="T118" s="1467"/>
      <c r="U118" s="1467"/>
      <c r="V118" s="1467"/>
      <c r="W118" s="1467"/>
      <c r="X118" s="1467"/>
      <c r="Y118" s="1467"/>
      <c r="Z118" s="1467"/>
    </row>
    <row r="119" spans="1:26" s="2643" customFormat="1" ht="57.75" customHeight="1">
      <c r="A119" s="3776"/>
      <c r="B119" s="1900" t="str">
        <f t="shared" si="3"/>
        <v>2200002114</v>
      </c>
      <c r="C119" s="1769" t="s">
        <v>252</v>
      </c>
      <c r="D119" s="1868"/>
      <c r="E119" s="1495"/>
      <c r="F119" s="1626" t="s">
        <v>20</v>
      </c>
      <c r="G119" s="1495"/>
      <c r="H119" s="1495"/>
      <c r="I119" s="1493" t="s">
        <v>65</v>
      </c>
      <c r="J119" s="1495" t="s">
        <v>117</v>
      </c>
      <c r="K119" s="2875" t="s">
        <v>9465</v>
      </c>
      <c r="L119" s="2357">
        <v>400</v>
      </c>
      <c r="M119" s="1748" t="s">
        <v>7572</v>
      </c>
      <c r="N119" s="1493"/>
      <c r="O119" s="1859"/>
      <c r="P119" s="1790">
        <v>3</v>
      </c>
      <c r="Q119" s="1790"/>
    </row>
    <row r="120" spans="1:26" s="2643" customFormat="1" ht="57.75" customHeight="1">
      <c r="A120" s="3776"/>
      <c r="B120" s="1900" t="str">
        <f t="shared" si="3"/>
        <v>2000003229</v>
      </c>
      <c r="C120" s="1769" t="s">
        <v>252</v>
      </c>
      <c r="D120" s="1868"/>
      <c r="E120" s="1495"/>
      <c r="F120" s="1626" t="s">
        <v>20</v>
      </c>
      <c r="G120" s="1495"/>
      <c r="H120" s="1495"/>
      <c r="I120" s="1493" t="s">
        <v>65</v>
      </c>
      <c r="J120" s="1495" t="s">
        <v>106</v>
      </c>
      <c r="K120" s="1770" t="s">
        <v>9466</v>
      </c>
      <c r="L120" s="2357">
        <v>700</v>
      </c>
      <c r="M120" s="1790" t="s">
        <v>5392</v>
      </c>
      <c r="N120" s="1493"/>
      <c r="O120" s="1859"/>
      <c r="P120" s="1790">
        <v>3</v>
      </c>
      <c r="Q120" s="1790"/>
    </row>
    <row r="121" spans="1:26" s="2643" customFormat="1" ht="57.75" customHeight="1">
      <c r="A121" s="3776"/>
      <c r="B121" s="1900" t="str">
        <f t="shared" si="3"/>
        <v>2000003231</v>
      </c>
      <c r="C121" s="1769" t="s">
        <v>252</v>
      </c>
      <c r="D121" s="1826"/>
      <c r="E121" s="1495"/>
      <c r="F121" s="1626" t="s">
        <v>20</v>
      </c>
      <c r="G121" s="1495"/>
      <c r="H121" s="1495"/>
      <c r="I121" s="1493" t="s">
        <v>65</v>
      </c>
      <c r="J121" s="1495" t="s">
        <v>106</v>
      </c>
      <c r="K121" s="1600" t="s">
        <v>9467</v>
      </c>
      <c r="L121" s="2357">
        <v>2027</v>
      </c>
      <c r="M121" s="1790" t="s">
        <v>5392</v>
      </c>
      <c r="N121" s="1493"/>
      <c r="O121" s="1859"/>
      <c r="P121" s="1790">
        <v>3</v>
      </c>
      <c r="Q121" s="1790"/>
    </row>
    <row r="122" spans="1:26" s="2643" customFormat="1" ht="72" customHeight="1">
      <c r="A122" s="3776"/>
      <c r="B122" s="1900" t="str">
        <f t="shared" si="3"/>
        <v>2200002119</v>
      </c>
      <c r="C122" s="1769" t="s">
        <v>252</v>
      </c>
      <c r="D122" s="1826"/>
      <c r="E122" s="1495"/>
      <c r="F122" s="1626" t="s">
        <v>20</v>
      </c>
      <c r="G122" s="1495"/>
      <c r="H122" s="1495"/>
      <c r="I122" s="1493" t="s">
        <v>65</v>
      </c>
      <c r="J122" s="1773" t="s">
        <v>106</v>
      </c>
      <c r="K122" s="2875" t="s">
        <v>9468</v>
      </c>
      <c r="L122" s="2560">
        <v>437</v>
      </c>
      <c r="M122" s="1495" t="s">
        <v>9434</v>
      </c>
      <c r="N122" s="1493"/>
      <c r="O122" s="1859"/>
      <c r="P122" s="1790">
        <v>3</v>
      </c>
      <c r="Q122" s="1790"/>
    </row>
    <row r="123" spans="1:26" s="1467" customFormat="1" ht="60.8" customHeight="1">
      <c r="A123" s="3781">
        <v>32</v>
      </c>
      <c r="B123" s="1900" t="str">
        <f t="shared" si="3"/>
        <v>2200002085</v>
      </c>
      <c r="C123" s="1921" t="s">
        <v>234</v>
      </c>
      <c r="D123" s="2767">
        <v>11700</v>
      </c>
      <c r="E123" s="1921" t="s">
        <v>9438</v>
      </c>
      <c r="F123" s="1902" t="s">
        <v>16</v>
      </c>
      <c r="G123" s="1921" t="s">
        <v>9469</v>
      </c>
      <c r="H123" s="1909" t="s">
        <v>9470</v>
      </c>
      <c r="I123" s="2601" t="s">
        <v>65</v>
      </c>
      <c r="J123" s="1561" t="s">
        <v>1000</v>
      </c>
      <c r="K123" s="1845" t="s">
        <v>9471</v>
      </c>
      <c r="L123" s="2870">
        <v>6300</v>
      </c>
      <c r="M123" s="2196" t="s">
        <v>7499</v>
      </c>
      <c r="N123" s="1493" t="s">
        <v>5303</v>
      </c>
      <c r="O123" s="1859"/>
      <c r="P123" s="1493">
        <v>3</v>
      </c>
      <c r="Q123" s="1493"/>
    </row>
    <row r="124" spans="1:26" s="1467" customFormat="1" ht="58.6" customHeight="1">
      <c r="A124" s="3781"/>
      <c r="B124" s="1900" t="str">
        <f t="shared" si="3"/>
        <v>2000003247</v>
      </c>
      <c r="C124" s="1493" t="s">
        <v>234</v>
      </c>
      <c r="D124" s="1826"/>
      <c r="E124" s="1495"/>
      <c r="F124" s="1493" t="s">
        <v>16</v>
      </c>
      <c r="G124" s="1495"/>
      <c r="H124" s="1495"/>
      <c r="I124" s="1601" t="s">
        <v>65</v>
      </c>
      <c r="J124" s="1773" t="s">
        <v>1000</v>
      </c>
      <c r="K124" s="1600" t="s">
        <v>9472</v>
      </c>
      <c r="L124" s="2796">
        <v>1000</v>
      </c>
      <c r="M124" s="1790" t="s">
        <v>5392</v>
      </c>
      <c r="N124" s="1493"/>
      <c r="O124" s="1859"/>
      <c r="P124" s="1790">
        <v>3</v>
      </c>
      <c r="Q124" s="1790"/>
    </row>
    <row r="125" spans="1:26" s="1467" customFormat="1" ht="58.6" customHeight="1">
      <c r="A125" s="3781"/>
      <c r="B125" s="1900" t="str">
        <f t="shared" ref="B125:B156" si="4">TEXT(LEFT(K125,10),"0000000000")</f>
        <v>2000003194</v>
      </c>
      <c r="C125" s="1493" t="s">
        <v>234</v>
      </c>
      <c r="D125" s="1826"/>
      <c r="E125" s="1495"/>
      <c r="F125" s="1493" t="s">
        <v>16</v>
      </c>
      <c r="G125" s="1495"/>
      <c r="H125" s="1495"/>
      <c r="I125" s="1495" t="s">
        <v>65</v>
      </c>
      <c r="J125" s="1773" t="s">
        <v>1000</v>
      </c>
      <c r="K125" s="1600" t="s">
        <v>9473</v>
      </c>
      <c r="L125" s="2357">
        <v>4400</v>
      </c>
      <c r="M125" s="1790" t="s">
        <v>5392</v>
      </c>
      <c r="N125" s="1493"/>
      <c r="O125" s="1859"/>
      <c r="P125" s="1790">
        <v>3</v>
      </c>
      <c r="Q125" s="1790"/>
      <c r="R125" s="2643"/>
      <c r="S125" s="2643"/>
      <c r="T125" s="2643"/>
      <c r="U125" s="2643"/>
      <c r="V125" s="2643"/>
      <c r="W125" s="2643"/>
      <c r="X125" s="2643"/>
      <c r="Y125" s="2643"/>
      <c r="Z125" s="2643"/>
    </row>
    <row r="126" spans="1:26" s="1467" customFormat="1" ht="55.55" customHeight="1">
      <c r="A126" s="2582">
        <v>33</v>
      </c>
      <c r="B126" s="1900" t="str">
        <f t="shared" si="4"/>
        <v>2000003198</v>
      </c>
      <c r="C126" s="1902" t="s">
        <v>3508</v>
      </c>
      <c r="D126" s="2624">
        <v>4280</v>
      </c>
      <c r="E126" s="1921" t="s">
        <v>9474</v>
      </c>
      <c r="F126" s="1902" t="s">
        <v>18</v>
      </c>
      <c r="G126" s="1921" t="s">
        <v>9475</v>
      </c>
      <c r="H126" s="1921" t="s">
        <v>9426</v>
      </c>
      <c r="I126" s="1921" t="s">
        <v>65</v>
      </c>
      <c r="J126" s="1921" t="s">
        <v>117</v>
      </c>
      <c r="K126" s="1916" t="s">
        <v>9476</v>
      </c>
      <c r="L126" s="2880">
        <v>4280</v>
      </c>
      <c r="M126" s="2196" t="s">
        <v>9477</v>
      </c>
      <c r="N126" s="1902"/>
      <c r="O126" s="1862"/>
      <c r="P126" s="1790">
        <v>3</v>
      </c>
      <c r="Q126" s="1790"/>
      <c r="R126" s="2643"/>
      <c r="S126" s="2643"/>
      <c r="T126" s="2643"/>
      <c r="U126" s="2643"/>
      <c r="V126" s="2643"/>
      <c r="W126" s="2643"/>
      <c r="X126" s="2643"/>
      <c r="Y126" s="2643"/>
      <c r="Z126" s="2643"/>
    </row>
    <row r="127" spans="1:26" s="1467" customFormat="1" ht="55.55" customHeight="1">
      <c r="A127" s="3768">
        <v>37</v>
      </c>
      <c r="B127" s="1900" t="str">
        <f t="shared" si="4"/>
        <v>2200002111</v>
      </c>
      <c r="C127" s="2187" t="s">
        <v>3747</v>
      </c>
      <c r="D127" s="2869">
        <v>5950</v>
      </c>
      <c r="E127" s="2187" t="s">
        <v>9478</v>
      </c>
      <c r="F127" s="2263" t="s">
        <v>16</v>
      </c>
      <c r="G127" s="2187" t="s">
        <v>9479</v>
      </c>
      <c r="H127" s="1909" t="s">
        <v>9470</v>
      </c>
      <c r="I127" s="1902" t="s">
        <v>65</v>
      </c>
      <c r="J127" s="1902" t="s">
        <v>1179</v>
      </c>
      <c r="K127" s="1845" t="s">
        <v>9480</v>
      </c>
      <c r="L127" s="2583">
        <v>300</v>
      </c>
      <c r="M127" s="2196" t="s">
        <v>7499</v>
      </c>
      <c r="N127" s="1493"/>
      <c r="O127" s="1859"/>
      <c r="P127" s="1790">
        <v>3</v>
      </c>
      <c r="Q127" s="1790"/>
    </row>
    <row r="128" spans="1:26" s="1467" customFormat="1" ht="55.55" customHeight="1">
      <c r="A128" s="3770"/>
      <c r="B128" s="1900" t="str">
        <f t="shared" si="4"/>
        <v>2200002122</v>
      </c>
      <c r="C128" s="1543" t="s">
        <v>3747</v>
      </c>
      <c r="D128" s="1826"/>
      <c r="E128" s="1495"/>
      <c r="F128" s="1545" t="s">
        <v>16</v>
      </c>
      <c r="G128" s="1495"/>
      <c r="H128" s="1495"/>
      <c r="I128" s="1493" t="s">
        <v>65</v>
      </c>
      <c r="J128" s="1493" t="s">
        <v>1179</v>
      </c>
      <c r="K128" s="2348" t="s">
        <v>9481</v>
      </c>
      <c r="L128" s="2357">
        <v>1889</v>
      </c>
      <c r="M128" s="2196" t="s">
        <v>9451</v>
      </c>
      <c r="N128" s="2877"/>
      <c r="O128" s="1859"/>
      <c r="P128" s="1790">
        <v>3</v>
      </c>
      <c r="Q128" s="1790"/>
      <c r="R128" s="2643"/>
      <c r="S128" s="2643"/>
      <c r="T128" s="2643"/>
      <c r="U128" s="2643"/>
      <c r="V128" s="2643"/>
      <c r="W128" s="2643"/>
      <c r="X128" s="2643"/>
      <c r="Y128" s="2643"/>
      <c r="Z128" s="2643"/>
    </row>
    <row r="129" spans="1:26" s="1467" customFormat="1" ht="55.55" customHeight="1">
      <c r="A129" s="3770"/>
      <c r="B129" s="1900" t="str">
        <f t="shared" si="4"/>
        <v>2200002123</v>
      </c>
      <c r="C129" s="1543" t="s">
        <v>3747</v>
      </c>
      <c r="D129" s="1826"/>
      <c r="E129" s="1495"/>
      <c r="F129" s="1545" t="s">
        <v>16</v>
      </c>
      <c r="G129" s="1495"/>
      <c r="H129" s="1495"/>
      <c r="I129" s="1493" t="s">
        <v>65</v>
      </c>
      <c r="J129" s="1493" t="s">
        <v>1179</v>
      </c>
      <c r="K129" s="2348" t="s">
        <v>9482</v>
      </c>
      <c r="L129" s="2357">
        <v>509</v>
      </c>
      <c r="M129" s="2196" t="s">
        <v>9453</v>
      </c>
      <c r="N129" s="1493"/>
      <c r="O129" s="1859"/>
      <c r="P129" s="1790">
        <v>3</v>
      </c>
      <c r="Q129" s="1790"/>
      <c r="R129" s="2643"/>
      <c r="S129" s="2643"/>
      <c r="T129" s="2643"/>
      <c r="U129" s="2643"/>
      <c r="V129" s="2643"/>
      <c r="W129" s="2643"/>
      <c r="X129" s="2643"/>
      <c r="Y129" s="2643"/>
      <c r="Z129" s="2643"/>
    </row>
    <row r="130" spans="1:26" s="1467" customFormat="1" ht="55.55" customHeight="1">
      <c r="A130" s="3770"/>
      <c r="B130" s="1900" t="str">
        <f t="shared" si="4"/>
        <v>2000003226</v>
      </c>
      <c r="C130" s="1543" t="s">
        <v>3747</v>
      </c>
      <c r="D130" s="1826"/>
      <c r="E130" s="1495"/>
      <c r="F130" s="1545" t="s">
        <v>16</v>
      </c>
      <c r="G130" s="1495"/>
      <c r="H130" s="1495"/>
      <c r="I130" s="1493" t="s">
        <v>65</v>
      </c>
      <c r="J130" s="1493" t="s">
        <v>1179</v>
      </c>
      <c r="K130" s="1547" t="s">
        <v>9483</v>
      </c>
      <c r="L130" s="2357">
        <v>500</v>
      </c>
      <c r="M130" s="1748" t="s">
        <v>9484</v>
      </c>
      <c r="N130" s="1493"/>
      <c r="O130" s="1859"/>
      <c r="P130" s="1790">
        <v>3</v>
      </c>
      <c r="Q130" s="1790"/>
      <c r="R130" s="1548"/>
      <c r="S130" s="1548"/>
      <c r="T130" s="1548"/>
      <c r="U130" s="1548"/>
      <c r="V130" s="1548"/>
      <c r="W130" s="1548"/>
      <c r="X130" s="1548"/>
      <c r="Y130" s="1548"/>
      <c r="Z130" s="1548"/>
    </row>
    <row r="131" spans="1:26" s="1467" customFormat="1" ht="55.55" customHeight="1">
      <c r="A131" s="3770"/>
      <c r="B131" s="1900" t="str">
        <f t="shared" si="4"/>
        <v>2200002134</v>
      </c>
      <c r="C131" s="1543" t="s">
        <v>3747</v>
      </c>
      <c r="D131" s="1826"/>
      <c r="E131" s="1495"/>
      <c r="F131" s="1545" t="s">
        <v>16</v>
      </c>
      <c r="G131" s="1495"/>
      <c r="H131" s="1495"/>
      <c r="I131" s="1493" t="s">
        <v>65</v>
      </c>
      <c r="J131" s="1493" t="s">
        <v>1179</v>
      </c>
      <c r="K131" s="1600" t="s">
        <v>9485</v>
      </c>
      <c r="L131" s="2357">
        <v>614</v>
      </c>
      <c r="M131" s="2196" t="s">
        <v>5979</v>
      </c>
      <c r="N131" s="1493"/>
      <c r="O131" s="1859"/>
      <c r="P131" s="1790">
        <v>3</v>
      </c>
      <c r="Q131" s="1790"/>
    </row>
    <row r="132" spans="1:26" s="1467" customFormat="1" ht="55.55" customHeight="1">
      <c r="A132" s="3769"/>
      <c r="B132" s="1900" t="str">
        <f t="shared" si="4"/>
        <v>2000003183</v>
      </c>
      <c r="C132" s="1543" t="s">
        <v>3747</v>
      </c>
      <c r="D132" s="1826"/>
      <c r="E132" s="1495"/>
      <c r="F132" s="1545" t="s">
        <v>16</v>
      </c>
      <c r="G132" s="1495"/>
      <c r="H132" s="1495"/>
      <c r="I132" s="1493" t="s">
        <v>65</v>
      </c>
      <c r="J132" s="1493" t="s">
        <v>1179</v>
      </c>
      <c r="K132" s="1600" t="s">
        <v>9486</v>
      </c>
      <c r="L132" s="2357">
        <v>2100</v>
      </c>
      <c r="M132" s="1748" t="s">
        <v>5392</v>
      </c>
      <c r="N132" s="1493"/>
      <c r="O132" s="1859"/>
      <c r="P132" s="1790">
        <v>3</v>
      </c>
      <c r="Q132" s="1790"/>
      <c r="R132" s="1548"/>
      <c r="S132" s="1548"/>
      <c r="T132" s="1548"/>
      <c r="U132" s="1548"/>
      <c r="V132" s="1548"/>
      <c r="W132" s="1548"/>
      <c r="X132" s="1548"/>
      <c r="Y132" s="1548"/>
      <c r="Z132" s="1548"/>
    </row>
    <row r="133" spans="1:26" s="2643" customFormat="1" ht="55.55" customHeight="1">
      <c r="A133" s="3776">
        <v>39</v>
      </c>
      <c r="B133" s="1900" t="str">
        <f t="shared" si="4"/>
        <v>2000003224</v>
      </c>
      <c r="C133" s="1902" t="s">
        <v>7719</v>
      </c>
      <c r="D133" s="2879">
        <v>4450</v>
      </c>
      <c r="E133" s="1921" t="s">
        <v>9487</v>
      </c>
      <c r="F133" s="1902" t="s">
        <v>26</v>
      </c>
      <c r="G133" s="1921" t="s">
        <v>9488</v>
      </c>
      <c r="H133" s="1921" t="s">
        <v>9489</v>
      </c>
      <c r="I133" s="1921" t="s">
        <v>65</v>
      </c>
      <c r="J133" s="1921" t="s">
        <v>117</v>
      </c>
      <c r="K133" s="1916" t="s">
        <v>9490</v>
      </c>
      <c r="L133" s="2150">
        <v>450</v>
      </c>
      <c r="M133" s="1909" t="s">
        <v>9491</v>
      </c>
      <c r="N133" s="1902"/>
      <c r="O133" s="1775"/>
      <c r="P133" s="1790">
        <v>3</v>
      </c>
      <c r="Q133" s="1790"/>
    </row>
    <row r="134" spans="1:26" s="1467" customFormat="1" ht="66.75" customHeight="1">
      <c r="A134" s="3768"/>
      <c r="B134" s="1900" t="str">
        <f t="shared" si="4"/>
        <v>2000003163</v>
      </c>
      <c r="C134" s="1493" t="s">
        <v>7719</v>
      </c>
      <c r="D134" s="1826"/>
      <c r="E134" s="1748"/>
      <c r="F134" s="1493" t="s">
        <v>26</v>
      </c>
      <c r="G134" s="1495"/>
      <c r="H134" s="1495"/>
      <c r="I134" s="1495" t="s">
        <v>65</v>
      </c>
      <c r="J134" s="1495" t="s">
        <v>117</v>
      </c>
      <c r="K134" s="1600" t="s">
        <v>9492</v>
      </c>
      <c r="L134" s="2357">
        <v>4000</v>
      </c>
      <c r="M134" s="1748" t="s">
        <v>5392</v>
      </c>
      <c r="N134" s="1493"/>
      <c r="O134" s="1859"/>
      <c r="P134" s="1790">
        <v>3</v>
      </c>
      <c r="Q134" s="1790"/>
    </row>
    <row r="135" spans="1:26" s="1467" customFormat="1" ht="66.75" customHeight="1">
      <c r="A135" s="3771">
        <v>29</v>
      </c>
      <c r="B135" s="2013" t="str">
        <f t="shared" si="4"/>
        <v>2000003196</v>
      </c>
      <c r="C135" s="2263" t="s">
        <v>260</v>
      </c>
      <c r="D135" s="2624">
        <v>3750</v>
      </c>
      <c r="E135" s="2187" t="s">
        <v>9493</v>
      </c>
      <c r="F135" s="1902" t="s">
        <v>20</v>
      </c>
      <c r="G135" s="1921" t="s">
        <v>9494</v>
      </c>
      <c r="H135" s="1921" t="s">
        <v>9426</v>
      </c>
      <c r="I135" s="1921" t="s">
        <v>65</v>
      </c>
      <c r="J135" s="1921" t="s">
        <v>240</v>
      </c>
      <c r="K135" s="1911" t="s">
        <v>9427</v>
      </c>
      <c r="L135" s="2583">
        <v>670</v>
      </c>
      <c r="M135" s="2196" t="s">
        <v>5701</v>
      </c>
      <c r="N135" s="1493"/>
      <c r="O135" s="1859"/>
      <c r="P135" s="1790">
        <v>3</v>
      </c>
      <c r="Q135" s="1790"/>
    </row>
    <row r="136" spans="1:26" s="1467" customFormat="1" ht="66.75" customHeight="1">
      <c r="A136" s="3771"/>
      <c r="B136" s="2013" t="str">
        <f t="shared" si="4"/>
        <v>2000003209</v>
      </c>
      <c r="C136" s="1545" t="s">
        <v>260</v>
      </c>
      <c r="D136" s="1827"/>
      <c r="E136" s="1543"/>
      <c r="F136" s="1545" t="s">
        <v>20</v>
      </c>
      <c r="G136" s="1495"/>
      <c r="H136" s="1495"/>
      <c r="I136" s="1495" t="s">
        <v>65</v>
      </c>
      <c r="J136" s="1495" t="s">
        <v>117</v>
      </c>
      <c r="K136" s="2878" t="s">
        <v>9495</v>
      </c>
      <c r="L136" s="2357">
        <v>3050</v>
      </c>
      <c r="M136" s="1748" t="s">
        <v>5392</v>
      </c>
      <c r="N136" s="1493"/>
      <c r="O136" s="1859"/>
      <c r="P136" s="1790">
        <v>3</v>
      </c>
      <c r="Q136" s="1790"/>
    </row>
    <row r="137" spans="1:26" s="1467" customFormat="1" ht="55.55" customHeight="1">
      <c r="A137" s="3802">
        <v>32</v>
      </c>
      <c r="B137" s="1900" t="str">
        <f t="shared" si="4"/>
        <v>2400001265</v>
      </c>
      <c r="C137" s="1902" t="s">
        <v>9496</v>
      </c>
      <c r="D137" s="2607">
        <f>SUM(L137:L151)</f>
        <v>10275</v>
      </c>
      <c r="E137" s="1921" t="s">
        <v>9497</v>
      </c>
      <c r="F137" s="1902" t="s">
        <v>38</v>
      </c>
      <c r="G137" s="2159" t="s">
        <v>9498</v>
      </c>
      <c r="H137" s="2118"/>
      <c r="I137" s="2187" t="s">
        <v>65</v>
      </c>
      <c r="J137" s="1921" t="s">
        <v>308</v>
      </c>
      <c r="K137" s="2402" t="s">
        <v>9499</v>
      </c>
      <c r="L137" s="2508">
        <v>5000</v>
      </c>
      <c r="M137" s="2429" t="s">
        <v>5392</v>
      </c>
      <c r="N137" s="2391"/>
      <c r="O137" s="2574" t="s">
        <v>9500</v>
      </c>
      <c r="P137" s="1882">
        <v>3</v>
      </c>
      <c r="Q137" s="1882"/>
    </row>
    <row r="138" spans="1:26" s="1467" customFormat="1" ht="55.55" customHeight="1">
      <c r="A138" s="3781"/>
      <c r="B138" s="1900" t="str">
        <f t="shared" si="4"/>
        <v>2400001266</v>
      </c>
      <c r="C138" s="1941" t="s">
        <v>9496</v>
      </c>
      <c r="D138" s="2906"/>
      <c r="E138" s="1851"/>
      <c r="F138" s="1941" t="s">
        <v>38</v>
      </c>
      <c r="G138" s="1851"/>
      <c r="H138" s="1851"/>
      <c r="I138" s="1543" t="s">
        <v>65</v>
      </c>
      <c r="J138" s="1495" t="s">
        <v>308</v>
      </c>
      <c r="K138" s="1497" t="s">
        <v>9501</v>
      </c>
      <c r="L138" s="2361">
        <v>1000</v>
      </c>
      <c r="M138" s="1790" t="s">
        <v>9502</v>
      </c>
      <c r="N138" s="1630"/>
      <c r="O138" s="2576"/>
      <c r="P138" s="1882">
        <v>3</v>
      </c>
      <c r="Q138" s="1882"/>
    </row>
    <row r="139" spans="1:26" s="1467" customFormat="1" ht="55.55" customHeight="1">
      <c r="A139" s="3781"/>
      <c r="B139" s="1900" t="str">
        <f t="shared" si="4"/>
        <v>2400001244</v>
      </c>
      <c r="C139" s="1941" t="s">
        <v>9496</v>
      </c>
      <c r="D139" s="2793"/>
      <c r="E139" s="1495"/>
      <c r="F139" s="1941" t="s">
        <v>38</v>
      </c>
      <c r="G139" s="1495"/>
      <c r="H139" s="1495"/>
      <c r="I139" s="1543" t="s">
        <v>65</v>
      </c>
      <c r="J139" s="1495" t="s">
        <v>308</v>
      </c>
      <c r="K139" s="1547" t="s">
        <v>9503</v>
      </c>
      <c r="L139" s="2357">
        <v>50</v>
      </c>
      <c r="M139" s="1790" t="s">
        <v>9504</v>
      </c>
      <c r="N139" s="1493"/>
      <c r="O139" s="2576" t="s">
        <v>9500</v>
      </c>
      <c r="P139" s="1882">
        <v>3</v>
      </c>
      <c r="Q139" s="1882"/>
    </row>
    <row r="140" spans="1:26" s="1467" customFormat="1" ht="55.55" customHeight="1">
      <c r="A140" s="3781"/>
      <c r="B140" s="1900" t="str">
        <f t="shared" si="4"/>
        <v>2400001247</v>
      </c>
      <c r="C140" s="1941" t="s">
        <v>9496</v>
      </c>
      <c r="D140" s="2793"/>
      <c r="E140" s="1495"/>
      <c r="F140" s="1941" t="s">
        <v>38</v>
      </c>
      <c r="G140" s="1495"/>
      <c r="H140" s="1495"/>
      <c r="I140" s="1543" t="s">
        <v>65</v>
      </c>
      <c r="J140" s="1495" t="s">
        <v>308</v>
      </c>
      <c r="K140" s="1547" t="s">
        <v>9505</v>
      </c>
      <c r="L140" s="2357">
        <v>50</v>
      </c>
      <c r="M140" s="1790" t="s">
        <v>9506</v>
      </c>
      <c r="N140" s="1493"/>
      <c r="O140" s="2576" t="s">
        <v>9500</v>
      </c>
      <c r="P140" s="1882">
        <v>3</v>
      </c>
      <c r="Q140" s="1882"/>
    </row>
    <row r="141" spans="1:26" s="1467" customFormat="1" ht="55.55" customHeight="1">
      <c r="A141" s="3781"/>
      <c r="B141" s="1900" t="str">
        <f t="shared" si="4"/>
        <v>2400001246</v>
      </c>
      <c r="C141" s="1941" t="s">
        <v>9496</v>
      </c>
      <c r="D141" s="2793"/>
      <c r="E141" s="1495"/>
      <c r="F141" s="1941" t="s">
        <v>38</v>
      </c>
      <c r="G141" s="1495"/>
      <c r="H141" s="1495"/>
      <c r="I141" s="1543" t="s">
        <v>65</v>
      </c>
      <c r="J141" s="1495" t="s">
        <v>308</v>
      </c>
      <c r="K141" s="1547" t="s">
        <v>9507</v>
      </c>
      <c r="L141" s="2357">
        <v>175</v>
      </c>
      <c r="M141" s="1790" t="s">
        <v>9508</v>
      </c>
      <c r="N141" s="1493"/>
      <c r="O141" s="2576" t="s">
        <v>9500</v>
      </c>
      <c r="P141" s="1882">
        <v>3</v>
      </c>
      <c r="Q141" s="1882"/>
    </row>
    <row r="142" spans="1:26" s="1467" customFormat="1" ht="55.55" customHeight="1">
      <c r="A142" s="3781"/>
      <c r="B142" s="1900" t="str">
        <f t="shared" si="4"/>
        <v>2400001267</v>
      </c>
      <c r="C142" s="1941" t="s">
        <v>9496</v>
      </c>
      <c r="D142" s="2793"/>
      <c r="E142" s="1495"/>
      <c r="F142" s="1941" t="s">
        <v>38</v>
      </c>
      <c r="G142" s="1495"/>
      <c r="H142" s="1495"/>
      <c r="I142" s="1543" t="s">
        <v>65</v>
      </c>
      <c r="J142" s="1495" t="s">
        <v>308</v>
      </c>
      <c r="K142" s="1600" t="s">
        <v>9509</v>
      </c>
      <c r="L142" s="2357">
        <v>525</v>
      </c>
      <c r="M142" s="1790" t="s">
        <v>9510</v>
      </c>
      <c r="N142" s="1493"/>
      <c r="O142" s="2576" t="s">
        <v>9500</v>
      </c>
      <c r="P142" s="1882">
        <v>3</v>
      </c>
      <c r="Q142" s="1882"/>
    </row>
    <row r="143" spans="1:26" s="1467" customFormat="1" ht="55.55" customHeight="1">
      <c r="A143" s="3781"/>
      <c r="B143" s="1900" t="str">
        <f t="shared" si="4"/>
        <v>2400001268</v>
      </c>
      <c r="C143" s="1941" t="s">
        <v>9496</v>
      </c>
      <c r="D143" s="2793"/>
      <c r="E143" s="1495"/>
      <c r="F143" s="1941" t="s">
        <v>38</v>
      </c>
      <c r="G143" s="1495"/>
      <c r="H143" s="1495"/>
      <c r="I143" s="1543" t="s">
        <v>65</v>
      </c>
      <c r="J143" s="1495" t="s">
        <v>308</v>
      </c>
      <c r="K143" s="1600" t="s">
        <v>9511</v>
      </c>
      <c r="L143" s="2357">
        <v>875</v>
      </c>
      <c r="M143" s="1790" t="s">
        <v>9512</v>
      </c>
      <c r="N143" s="1493"/>
      <c r="O143" s="2576"/>
      <c r="P143" s="1882">
        <v>3</v>
      </c>
      <c r="Q143" s="1882"/>
    </row>
    <row r="144" spans="1:26" s="1467" customFormat="1" ht="55.55" customHeight="1">
      <c r="A144" s="3781"/>
      <c r="B144" s="1900" t="str">
        <f t="shared" si="4"/>
        <v>2400001255</v>
      </c>
      <c r="C144" s="1941" t="s">
        <v>9496</v>
      </c>
      <c r="D144" s="2793"/>
      <c r="E144" s="1495"/>
      <c r="F144" s="1941" t="s">
        <v>38</v>
      </c>
      <c r="G144" s="1495"/>
      <c r="H144" s="1495"/>
      <c r="I144" s="1543" t="s">
        <v>65</v>
      </c>
      <c r="J144" s="1495" t="s">
        <v>308</v>
      </c>
      <c r="K144" s="1547" t="s">
        <v>9513</v>
      </c>
      <c r="L144" s="2357">
        <v>200</v>
      </c>
      <c r="M144" s="1790" t="s">
        <v>5392</v>
      </c>
      <c r="N144" s="1493"/>
      <c r="O144" s="2576"/>
      <c r="P144" s="1882">
        <v>3</v>
      </c>
      <c r="Q144" s="1882"/>
    </row>
    <row r="145" spans="1:26" s="1467" customFormat="1" ht="55.55" customHeight="1">
      <c r="A145" s="3781"/>
      <c r="B145" s="1900" t="str">
        <f t="shared" si="4"/>
        <v>2400001262</v>
      </c>
      <c r="C145" s="1941" t="s">
        <v>9496</v>
      </c>
      <c r="D145" s="2793"/>
      <c r="E145" s="1495"/>
      <c r="F145" s="1941" t="s">
        <v>38</v>
      </c>
      <c r="G145" s="1495"/>
      <c r="H145" s="1495"/>
      <c r="I145" s="1543" t="s">
        <v>65</v>
      </c>
      <c r="J145" s="1495" t="s">
        <v>308</v>
      </c>
      <c r="K145" s="1547" t="s">
        <v>9514</v>
      </c>
      <c r="L145" s="2357">
        <v>700</v>
      </c>
      <c r="M145" s="1790" t="s">
        <v>9515</v>
      </c>
      <c r="N145" s="1493"/>
      <c r="O145" s="2576"/>
      <c r="P145" s="1882">
        <v>3</v>
      </c>
      <c r="Q145" s="1882"/>
    </row>
    <row r="146" spans="1:26" s="1467" customFormat="1" ht="55.55" customHeight="1">
      <c r="A146" s="3781"/>
      <c r="B146" s="1900" t="str">
        <f t="shared" si="4"/>
        <v>2400001256</v>
      </c>
      <c r="C146" s="1941" t="s">
        <v>9496</v>
      </c>
      <c r="D146" s="2793"/>
      <c r="E146" s="1495"/>
      <c r="F146" s="1941" t="s">
        <v>38</v>
      </c>
      <c r="G146" s="1495"/>
      <c r="H146" s="1495"/>
      <c r="I146" s="1543" t="s">
        <v>65</v>
      </c>
      <c r="J146" s="1495" t="s">
        <v>308</v>
      </c>
      <c r="K146" s="1547" t="s">
        <v>9516</v>
      </c>
      <c r="L146" s="2357">
        <v>200</v>
      </c>
      <c r="M146" s="1790" t="s">
        <v>5392</v>
      </c>
      <c r="N146" s="1493"/>
      <c r="O146" s="2576"/>
      <c r="P146" s="1882">
        <v>3</v>
      </c>
      <c r="Q146" s="1882"/>
    </row>
    <row r="147" spans="1:26" s="1467" customFormat="1" ht="55.55" customHeight="1">
      <c r="A147" s="3781"/>
      <c r="B147" s="1900" t="str">
        <f t="shared" si="4"/>
        <v>2400001263</v>
      </c>
      <c r="C147" s="1941" t="s">
        <v>9496</v>
      </c>
      <c r="D147" s="2793"/>
      <c r="E147" s="1495"/>
      <c r="F147" s="1941" t="s">
        <v>38</v>
      </c>
      <c r="G147" s="1495"/>
      <c r="H147" s="1495"/>
      <c r="I147" s="1543" t="s">
        <v>65</v>
      </c>
      <c r="J147" s="1495" t="s">
        <v>308</v>
      </c>
      <c r="K147" s="1547" t="s">
        <v>9517</v>
      </c>
      <c r="L147" s="2357">
        <v>300</v>
      </c>
      <c r="M147" s="1790" t="s">
        <v>9518</v>
      </c>
      <c r="N147" s="1493"/>
      <c r="O147" s="2576"/>
      <c r="P147" s="1882">
        <v>3</v>
      </c>
      <c r="Q147" s="1882"/>
    </row>
    <row r="148" spans="1:26" s="1467" customFormat="1" ht="55.55" customHeight="1">
      <c r="A148" s="3781"/>
      <c r="B148" s="1900" t="str">
        <f t="shared" si="4"/>
        <v>2400001264</v>
      </c>
      <c r="C148" s="1941" t="s">
        <v>9496</v>
      </c>
      <c r="D148" s="2793"/>
      <c r="E148" s="1495"/>
      <c r="F148" s="1941" t="s">
        <v>38</v>
      </c>
      <c r="G148" s="1495"/>
      <c r="H148" s="1495"/>
      <c r="I148" s="1543" t="s">
        <v>65</v>
      </c>
      <c r="J148" s="1495" t="s">
        <v>308</v>
      </c>
      <c r="K148" s="1547" t="s">
        <v>9519</v>
      </c>
      <c r="L148" s="2357">
        <v>200</v>
      </c>
      <c r="M148" s="1790" t="s">
        <v>9520</v>
      </c>
      <c r="N148" s="1493"/>
      <c r="O148" s="2576"/>
      <c r="P148" s="1882">
        <v>3</v>
      </c>
      <c r="Q148" s="1882"/>
    </row>
    <row r="149" spans="1:26" s="1467" customFormat="1" ht="55.55" customHeight="1">
      <c r="A149" s="3781"/>
      <c r="B149" s="1900" t="str">
        <f t="shared" si="4"/>
        <v>2400001257</v>
      </c>
      <c r="C149" s="1941" t="s">
        <v>9496</v>
      </c>
      <c r="D149" s="2793"/>
      <c r="E149" s="1495"/>
      <c r="F149" s="1941" t="s">
        <v>38</v>
      </c>
      <c r="G149" s="1495"/>
      <c r="H149" s="1495"/>
      <c r="I149" s="1543" t="s">
        <v>65</v>
      </c>
      <c r="J149" s="1495" t="s">
        <v>308</v>
      </c>
      <c r="K149" s="1547" t="s">
        <v>9521</v>
      </c>
      <c r="L149" s="2357">
        <v>600</v>
      </c>
      <c r="M149" s="1790" t="s">
        <v>9522</v>
      </c>
      <c r="N149" s="1493"/>
      <c r="O149" s="2576"/>
      <c r="P149" s="1882">
        <v>3</v>
      </c>
      <c r="Q149" s="1882"/>
    </row>
    <row r="150" spans="1:26" s="1467" customFormat="1" ht="55.55" customHeight="1">
      <c r="A150" s="3781"/>
      <c r="B150" s="1900" t="str">
        <f t="shared" si="4"/>
        <v>2400001245</v>
      </c>
      <c r="C150" s="1941" t="s">
        <v>9496</v>
      </c>
      <c r="D150" s="2793"/>
      <c r="E150" s="1495"/>
      <c r="F150" s="1941" t="s">
        <v>38</v>
      </c>
      <c r="G150" s="1495"/>
      <c r="H150" s="1495"/>
      <c r="I150" s="1543" t="s">
        <v>65</v>
      </c>
      <c r="J150" s="1495" t="s">
        <v>308</v>
      </c>
      <c r="K150" s="1600" t="s">
        <v>9523</v>
      </c>
      <c r="L150" s="2357">
        <v>200</v>
      </c>
      <c r="M150" s="1790" t="s">
        <v>9524</v>
      </c>
      <c r="N150" s="1495"/>
      <c r="O150" s="2576"/>
      <c r="P150" s="1882">
        <v>3</v>
      </c>
      <c r="Q150" s="1882"/>
    </row>
    <row r="151" spans="1:26" s="1467" customFormat="1" ht="55.55" customHeight="1">
      <c r="A151" s="3781"/>
      <c r="B151" s="1900" t="str">
        <f t="shared" si="4"/>
        <v>2400001249</v>
      </c>
      <c r="C151" s="1941" t="s">
        <v>9496</v>
      </c>
      <c r="D151" s="2793"/>
      <c r="E151" s="1495"/>
      <c r="F151" s="1941" t="s">
        <v>38</v>
      </c>
      <c r="G151" s="1495"/>
      <c r="H151" s="1495"/>
      <c r="I151" s="1543" t="s">
        <v>65</v>
      </c>
      <c r="J151" s="1495" t="s">
        <v>308</v>
      </c>
      <c r="K151" s="1600" t="s">
        <v>9525</v>
      </c>
      <c r="L151" s="2357">
        <v>200</v>
      </c>
      <c r="M151" s="1790" t="s">
        <v>9526</v>
      </c>
      <c r="N151" s="1495"/>
      <c r="O151" s="2576"/>
      <c r="P151" s="1882">
        <v>3</v>
      </c>
      <c r="Q151" s="1882"/>
    </row>
    <row r="152" spans="1:26" s="1467" customFormat="1" ht="55.55" customHeight="1">
      <c r="A152" s="3781">
        <v>43</v>
      </c>
      <c r="B152" s="1900" t="str">
        <f t="shared" si="4"/>
        <v>2200002112</v>
      </c>
      <c r="C152" s="1902" t="s">
        <v>3538</v>
      </c>
      <c r="D152" s="2899">
        <v>8800</v>
      </c>
      <c r="E152" s="1921" t="s">
        <v>9527</v>
      </c>
      <c r="F152" s="2433" t="s">
        <v>16</v>
      </c>
      <c r="G152" s="1921" t="s">
        <v>9528</v>
      </c>
      <c r="H152" s="1921" t="s">
        <v>9529</v>
      </c>
      <c r="I152" s="2601" t="s">
        <v>65</v>
      </c>
      <c r="J152" s="1561" t="s">
        <v>1179</v>
      </c>
      <c r="K152" s="2900" t="s">
        <v>9530</v>
      </c>
      <c r="L152" s="2583">
        <v>6500</v>
      </c>
      <c r="M152" s="2196" t="s">
        <v>9531</v>
      </c>
      <c r="N152" s="1495"/>
      <c r="O152" s="2576"/>
      <c r="P152" s="1790">
        <v>3</v>
      </c>
      <c r="Q152" s="1790"/>
    </row>
    <row r="153" spans="1:26" s="1467" customFormat="1" ht="55.55" customHeight="1">
      <c r="A153" s="3783"/>
      <c r="B153" s="2013" t="str">
        <f t="shared" si="4"/>
        <v>2200002133</v>
      </c>
      <c r="C153" s="1941" t="s">
        <v>3538</v>
      </c>
      <c r="D153" s="2901"/>
      <c r="E153" s="1495"/>
      <c r="F153" s="1941" t="s">
        <v>16</v>
      </c>
      <c r="G153" s="1495"/>
      <c r="H153" s="1495"/>
      <c r="I153" s="1601" t="s">
        <v>65</v>
      </c>
      <c r="J153" s="1773" t="s">
        <v>1179</v>
      </c>
      <c r="K153" s="2878" t="s">
        <v>9532</v>
      </c>
      <c r="L153" s="2357">
        <v>2300</v>
      </c>
      <c r="M153" s="1495" t="s">
        <v>8426</v>
      </c>
      <c r="N153" s="1495"/>
      <c r="O153" s="2576"/>
      <c r="P153" s="1790">
        <v>3</v>
      </c>
      <c r="Q153" s="1790"/>
    </row>
    <row r="154" spans="1:26" s="2643" customFormat="1" ht="55.55" customHeight="1">
      <c r="A154" s="3781">
        <v>44</v>
      </c>
      <c r="B154" s="2013" t="str">
        <f t="shared" si="4"/>
        <v>2000003202</v>
      </c>
      <c r="C154" s="1902" t="s">
        <v>3668</v>
      </c>
      <c r="D154" s="2624">
        <v>24000</v>
      </c>
      <c r="E154" s="1921" t="s">
        <v>9533</v>
      </c>
      <c r="F154" s="1902" t="s">
        <v>14</v>
      </c>
      <c r="G154" s="1921" t="s">
        <v>9534</v>
      </c>
      <c r="H154" s="1921" t="s">
        <v>9535</v>
      </c>
      <c r="I154" s="1902" t="s">
        <v>65</v>
      </c>
      <c r="J154" s="1921" t="s">
        <v>1000</v>
      </c>
      <c r="K154" s="2904" t="s">
        <v>9536</v>
      </c>
      <c r="L154" s="2583">
        <v>3800</v>
      </c>
      <c r="M154" s="2196" t="s">
        <v>5701</v>
      </c>
      <c r="N154" s="1921"/>
      <c r="O154" s="2574"/>
      <c r="P154" s="1790">
        <v>3</v>
      </c>
      <c r="Q154" s="1790"/>
    </row>
    <row r="155" spans="1:26" s="1467" customFormat="1" ht="55.55" customHeight="1">
      <c r="A155" s="3782"/>
      <c r="B155" s="2013" t="str">
        <f t="shared" si="4"/>
        <v>2000003182</v>
      </c>
      <c r="C155" s="1493" t="s">
        <v>3668</v>
      </c>
      <c r="D155" s="1826"/>
      <c r="E155" s="1495"/>
      <c r="F155" s="1493" t="s">
        <v>14</v>
      </c>
      <c r="G155" s="1495"/>
      <c r="H155" s="1495"/>
      <c r="I155" s="1493" t="s">
        <v>65</v>
      </c>
      <c r="J155" s="1495" t="s">
        <v>1000</v>
      </c>
      <c r="K155" s="1600" t="s">
        <v>9537</v>
      </c>
      <c r="L155" s="2357">
        <v>5000</v>
      </c>
      <c r="M155" s="2196" t="s">
        <v>5701</v>
      </c>
      <c r="N155" s="1493"/>
      <c r="O155" s="1843"/>
      <c r="P155" s="1790">
        <v>3</v>
      </c>
      <c r="Q155" s="1790"/>
      <c r="R155" s="1548"/>
      <c r="S155" s="1548"/>
      <c r="T155" s="1548"/>
      <c r="U155" s="1548"/>
      <c r="V155" s="1548"/>
      <c r="W155" s="1548"/>
      <c r="X155" s="1548"/>
      <c r="Y155" s="1548"/>
      <c r="Z155" s="1548"/>
    </row>
    <row r="156" spans="1:26" s="1467" customFormat="1" ht="55.55" customHeight="1">
      <c r="A156" s="3782"/>
      <c r="B156" s="2013" t="str">
        <f t="shared" si="4"/>
        <v>2200002118</v>
      </c>
      <c r="C156" s="1493" t="s">
        <v>3668</v>
      </c>
      <c r="D156" s="2901"/>
      <c r="E156" s="1495"/>
      <c r="F156" s="1493" t="s">
        <v>14</v>
      </c>
      <c r="G156" s="1495"/>
      <c r="H156" s="1495"/>
      <c r="I156" s="1601" t="s">
        <v>65</v>
      </c>
      <c r="J156" s="1495" t="s">
        <v>1000</v>
      </c>
      <c r="K156" s="2348" t="s">
        <v>9403</v>
      </c>
      <c r="L156" s="2357">
        <v>2200</v>
      </c>
      <c r="M156" s="2385" t="s">
        <v>9365</v>
      </c>
      <c r="N156" s="1495"/>
      <c r="O156" s="2576"/>
      <c r="P156" s="1790">
        <v>3</v>
      </c>
      <c r="Q156" s="1790"/>
    </row>
    <row r="157" spans="1:26" s="1467" customFormat="1" ht="55.55" customHeight="1">
      <c r="A157" s="3782"/>
      <c r="B157" s="2013" t="str">
        <f t="shared" ref="B157:B188" si="5">TEXT(LEFT(K157,10),"0000000000")</f>
        <v>2200002121</v>
      </c>
      <c r="C157" s="1493" t="s">
        <v>3668</v>
      </c>
      <c r="D157" s="2901"/>
      <c r="E157" s="1495"/>
      <c r="F157" s="1493" t="s">
        <v>14</v>
      </c>
      <c r="G157" s="1495"/>
      <c r="H157" s="1495"/>
      <c r="I157" s="1493" t="s">
        <v>65</v>
      </c>
      <c r="J157" s="1495" t="s">
        <v>1000</v>
      </c>
      <c r="K157" s="2905" t="s">
        <v>9538</v>
      </c>
      <c r="L157" s="2357">
        <v>113</v>
      </c>
      <c r="M157" s="2385" t="s">
        <v>7499</v>
      </c>
      <c r="N157" s="1495"/>
      <c r="O157" s="2576"/>
      <c r="P157" s="1790">
        <v>3</v>
      </c>
      <c r="Q157" s="1790"/>
    </row>
    <row r="158" spans="1:26" s="1467" customFormat="1" ht="55.55" customHeight="1">
      <c r="A158" s="3782"/>
      <c r="B158" s="1900" t="str">
        <f t="shared" si="5"/>
        <v>2200002130</v>
      </c>
      <c r="C158" s="1493" t="s">
        <v>3668</v>
      </c>
      <c r="D158" s="2901"/>
      <c r="E158" s="1495"/>
      <c r="F158" s="1493" t="s">
        <v>14</v>
      </c>
      <c r="G158" s="1495"/>
      <c r="H158" s="1495"/>
      <c r="I158" s="1493" t="s">
        <v>65</v>
      </c>
      <c r="J158" s="1495" t="s">
        <v>1000</v>
      </c>
      <c r="K158" s="1547" t="s">
        <v>9539</v>
      </c>
      <c r="L158" s="2357">
        <v>1043</v>
      </c>
      <c r="M158" s="2196" t="s">
        <v>9329</v>
      </c>
      <c r="N158" s="1495"/>
      <c r="O158" s="2576"/>
      <c r="P158" s="1790">
        <v>3</v>
      </c>
      <c r="Q158" s="1790"/>
    </row>
    <row r="159" spans="1:26" s="1467" customFormat="1" ht="55.55" customHeight="1">
      <c r="A159" s="3782"/>
      <c r="B159" s="1900" t="str">
        <f t="shared" si="5"/>
        <v>2200002131</v>
      </c>
      <c r="C159" s="1493" t="s">
        <v>3668</v>
      </c>
      <c r="D159" s="2901"/>
      <c r="E159" s="1495"/>
      <c r="F159" s="1493" t="s">
        <v>14</v>
      </c>
      <c r="G159" s="1495"/>
      <c r="H159" s="1495"/>
      <c r="I159" s="1493" t="s">
        <v>65</v>
      </c>
      <c r="J159" s="1495" t="s">
        <v>1000</v>
      </c>
      <c r="K159" s="1547" t="s">
        <v>9540</v>
      </c>
      <c r="L159" s="2357">
        <v>2035</v>
      </c>
      <c r="M159" s="1921" t="s">
        <v>8426</v>
      </c>
      <c r="N159" s="1495"/>
      <c r="O159" s="2576"/>
      <c r="P159" s="1790">
        <v>3</v>
      </c>
      <c r="Q159" s="1790"/>
    </row>
    <row r="160" spans="1:26" s="1467" customFormat="1" ht="55.55" customHeight="1">
      <c r="A160" s="3782"/>
      <c r="B160" s="1900" t="str">
        <f t="shared" si="5"/>
        <v>2200002132</v>
      </c>
      <c r="C160" s="1493" t="s">
        <v>3668</v>
      </c>
      <c r="D160" s="2901"/>
      <c r="E160" s="1495"/>
      <c r="F160" s="1493" t="s">
        <v>14</v>
      </c>
      <c r="G160" s="1495"/>
      <c r="H160" s="1495"/>
      <c r="I160" s="1493" t="s">
        <v>65</v>
      </c>
      <c r="J160" s="1495" t="s">
        <v>1000</v>
      </c>
      <c r="K160" s="1547" t="s">
        <v>9541</v>
      </c>
      <c r="L160" s="2357">
        <v>236</v>
      </c>
      <c r="M160" s="2196" t="s">
        <v>9329</v>
      </c>
      <c r="N160" s="1495"/>
      <c r="O160" s="2576"/>
      <c r="P160" s="1790">
        <v>3</v>
      </c>
      <c r="Q160" s="1790"/>
    </row>
    <row r="161" spans="1:26" s="1467" customFormat="1" ht="55.55" customHeight="1">
      <c r="A161" s="3782"/>
      <c r="B161" s="1900" t="str">
        <f t="shared" si="5"/>
        <v>2200002127</v>
      </c>
      <c r="C161" s="1493" t="s">
        <v>3668</v>
      </c>
      <c r="D161" s="2901"/>
      <c r="E161" s="1495"/>
      <c r="F161" s="1493" t="s">
        <v>14</v>
      </c>
      <c r="G161" s="1495"/>
      <c r="H161" s="1495"/>
      <c r="I161" s="1601" t="s">
        <v>65</v>
      </c>
      <c r="J161" s="1495" t="s">
        <v>1000</v>
      </c>
      <c r="K161" s="1600" t="s">
        <v>9542</v>
      </c>
      <c r="L161" s="2357">
        <v>1578</v>
      </c>
      <c r="M161" s="1495" t="s">
        <v>8426</v>
      </c>
      <c r="N161" s="1495"/>
      <c r="O161" s="2576"/>
      <c r="P161" s="1790">
        <v>3</v>
      </c>
      <c r="Q161" s="1790"/>
    </row>
    <row r="162" spans="1:26" s="1467" customFormat="1" ht="55.55" customHeight="1">
      <c r="A162" s="3782"/>
      <c r="B162" s="1900" t="str">
        <f t="shared" si="5"/>
        <v>2200002126</v>
      </c>
      <c r="C162" s="1493" t="s">
        <v>3668</v>
      </c>
      <c r="D162" s="2901"/>
      <c r="E162" s="1495"/>
      <c r="F162" s="1493" t="s">
        <v>14</v>
      </c>
      <c r="G162" s="1495"/>
      <c r="H162" s="1495"/>
      <c r="I162" s="1601" t="s">
        <v>65</v>
      </c>
      <c r="J162" s="1495" t="s">
        <v>1000</v>
      </c>
      <c r="K162" s="1600" t="s">
        <v>9543</v>
      </c>
      <c r="L162" s="2658">
        <v>2300</v>
      </c>
      <c r="M162" s="2196" t="s">
        <v>9329</v>
      </c>
      <c r="N162" s="1495"/>
      <c r="O162" s="2576"/>
      <c r="P162" s="1790">
        <v>3</v>
      </c>
      <c r="Q162" s="1790"/>
    </row>
    <row r="163" spans="1:26" s="1467" customFormat="1" ht="55.55" customHeight="1">
      <c r="A163" s="3782"/>
      <c r="B163" s="1900" t="str">
        <f t="shared" si="5"/>
        <v>2200002084</v>
      </c>
      <c r="C163" s="1493" t="s">
        <v>3668</v>
      </c>
      <c r="D163" s="2901"/>
      <c r="E163" s="1495"/>
      <c r="F163" s="1493" t="s">
        <v>14</v>
      </c>
      <c r="G163" s="1495"/>
      <c r="H163" s="1495"/>
      <c r="I163" s="1601" t="s">
        <v>65</v>
      </c>
      <c r="J163" s="1495" t="s">
        <v>1000</v>
      </c>
      <c r="K163" s="1600" t="s">
        <v>9544</v>
      </c>
      <c r="L163" s="2658">
        <v>4800</v>
      </c>
      <c r="M163" s="2196" t="s">
        <v>5701</v>
      </c>
      <c r="N163" s="1495"/>
      <c r="O163" s="2576"/>
      <c r="P163" s="1790">
        <v>3</v>
      </c>
      <c r="Q163" s="1790"/>
    </row>
    <row r="164" spans="1:26" s="1467" customFormat="1" ht="55.55" customHeight="1">
      <c r="A164" s="3782"/>
      <c r="B164" s="1900" t="str">
        <f t="shared" si="5"/>
        <v>2000003206</v>
      </c>
      <c r="C164" s="1493" t="s">
        <v>3668</v>
      </c>
      <c r="D164" s="2901"/>
      <c r="E164" s="1495"/>
      <c r="F164" s="1493" t="s">
        <v>14</v>
      </c>
      <c r="G164" s="1495"/>
      <c r="H164" s="1495"/>
      <c r="I164" s="1493" t="s">
        <v>65</v>
      </c>
      <c r="J164" s="1495" t="s">
        <v>1000</v>
      </c>
      <c r="K164" s="1600" t="s">
        <v>9545</v>
      </c>
      <c r="L164" s="2357">
        <v>1000</v>
      </c>
      <c r="M164" s="2385" t="s">
        <v>9546</v>
      </c>
      <c r="N164" s="1495"/>
      <c r="O164" s="2576"/>
      <c r="P164" s="1790">
        <v>3</v>
      </c>
      <c r="Q164" s="1790"/>
    </row>
    <row r="165" spans="1:26" s="1467" customFormat="1" ht="55.55" customHeight="1">
      <c r="A165" s="3783"/>
      <c r="B165" s="1900" t="str">
        <f t="shared" si="5"/>
        <v>2000003211</v>
      </c>
      <c r="C165" s="1493" t="s">
        <v>3668</v>
      </c>
      <c r="D165" s="2901"/>
      <c r="E165" s="1495"/>
      <c r="F165" s="1493" t="s">
        <v>14</v>
      </c>
      <c r="G165" s="1495"/>
      <c r="H165" s="1495"/>
      <c r="I165" s="1493" t="s">
        <v>65</v>
      </c>
      <c r="J165" s="1495" t="s">
        <v>1000</v>
      </c>
      <c r="K165" s="2878" t="s">
        <v>9547</v>
      </c>
      <c r="L165" s="2357">
        <v>22</v>
      </c>
      <c r="M165" s="2385" t="s">
        <v>5392</v>
      </c>
      <c r="N165" s="1495"/>
      <c r="O165" s="2576"/>
      <c r="P165" s="1790">
        <v>3</v>
      </c>
      <c r="Q165" s="1790"/>
    </row>
    <row r="166" spans="1:26" s="1467" customFormat="1" ht="55.55" customHeight="1">
      <c r="A166" s="3781">
        <v>43</v>
      </c>
      <c r="B166" s="2013" t="str">
        <f t="shared" si="5"/>
        <v>2200002124</v>
      </c>
      <c r="C166" s="1902" t="s">
        <v>3963</v>
      </c>
      <c r="D166" s="2767">
        <v>7200</v>
      </c>
      <c r="E166" s="1921" t="s">
        <v>9548</v>
      </c>
      <c r="F166" s="1902" t="s">
        <v>16</v>
      </c>
      <c r="G166" s="1921" t="s">
        <v>9549</v>
      </c>
      <c r="H166" s="1921" t="s">
        <v>9550</v>
      </c>
      <c r="I166" s="1902" t="s">
        <v>65</v>
      </c>
      <c r="J166" s="1921" t="s">
        <v>1179</v>
      </c>
      <c r="K166" s="1845" t="s">
        <v>9551</v>
      </c>
      <c r="L166" s="2583">
        <v>3000</v>
      </c>
      <c r="M166" s="2196" t="s">
        <v>5701</v>
      </c>
      <c r="N166" s="1902"/>
      <c r="O166" s="1862"/>
      <c r="P166" s="1790">
        <v>3</v>
      </c>
      <c r="Q166" s="1790"/>
      <c r="R166" s="2643"/>
      <c r="S166" s="2643"/>
      <c r="T166" s="2643"/>
      <c r="U166" s="2643"/>
      <c r="V166" s="2643"/>
      <c r="W166" s="2643"/>
      <c r="X166" s="2643"/>
      <c r="Y166" s="2643"/>
      <c r="Z166" s="2643"/>
    </row>
    <row r="167" spans="1:26" s="1467" customFormat="1" ht="55.55" customHeight="1">
      <c r="A167" s="3782"/>
      <c r="B167" s="2013" t="str">
        <f t="shared" si="5"/>
        <v>2200002125</v>
      </c>
      <c r="C167" s="1493" t="s">
        <v>3963</v>
      </c>
      <c r="D167" s="1668"/>
      <c r="E167" s="2051"/>
      <c r="F167" s="1493" t="s">
        <v>16</v>
      </c>
      <c r="G167" s="1748" t="s">
        <v>9552</v>
      </c>
      <c r="H167" s="1495"/>
      <c r="I167" s="1493" t="s">
        <v>65</v>
      </c>
      <c r="J167" s="1495" t="s">
        <v>1179</v>
      </c>
      <c r="K167" s="1845" t="s">
        <v>9553</v>
      </c>
      <c r="L167" s="2583">
        <v>3700</v>
      </c>
      <c r="M167" s="2196" t="s">
        <v>9554</v>
      </c>
      <c r="N167" s="1902"/>
      <c r="O167" s="1862"/>
      <c r="P167" s="1790">
        <v>3</v>
      </c>
      <c r="Q167" s="1790"/>
      <c r="R167" s="2643"/>
      <c r="S167" s="2643"/>
      <c r="T167" s="2643"/>
      <c r="U167" s="2643"/>
      <c r="V167" s="2643"/>
      <c r="W167" s="2643"/>
      <c r="X167" s="2643"/>
      <c r="Y167" s="2643"/>
      <c r="Z167" s="2643"/>
    </row>
    <row r="168" spans="1:26" s="1467" customFormat="1" ht="55.55" customHeight="1">
      <c r="A168" s="3783"/>
      <c r="B168" s="2013" t="str">
        <f t="shared" si="5"/>
        <v>2200002085</v>
      </c>
      <c r="C168" s="1493" t="s">
        <v>3963</v>
      </c>
      <c r="D168" s="1668"/>
      <c r="E168" s="1543"/>
      <c r="F168" s="1493" t="s">
        <v>16</v>
      </c>
      <c r="G168" s="1495"/>
      <c r="H168" s="1495"/>
      <c r="I168" s="1493" t="s">
        <v>65</v>
      </c>
      <c r="J168" s="1495" t="s">
        <v>1179</v>
      </c>
      <c r="K168" s="1600" t="s">
        <v>9555</v>
      </c>
      <c r="L168" s="2357">
        <v>415</v>
      </c>
      <c r="M168" s="2385" t="s">
        <v>9556</v>
      </c>
      <c r="N168" s="1902"/>
      <c r="O168" s="1862"/>
      <c r="P168" s="1790">
        <v>3</v>
      </c>
      <c r="Q168" s="1790"/>
      <c r="R168" s="2643"/>
      <c r="S168" s="2643"/>
      <c r="T168" s="2643"/>
      <c r="U168" s="2643"/>
      <c r="V168" s="2643"/>
      <c r="W168" s="2643"/>
      <c r="X168" s="2643"/>
      <c r="Y168" s="2643"/>
      <c r="Z168" s="2643"/>
    </row>
    <row r="169" spans="1:26" s="1467" customFormat="1" ht="55.55" customHeight="1">
      <c r="A169" s="2414">
        <v>40</v>
      </c>
      <c r="B169" s="1900" t="str">
        <f t="shared" si="5"/>
        <v>2000003250</v>
      </c>
      <c r="C169" s="1902" t="s">
        <v>6985</v>
      </c>
      <c r="D169" s="2624">
        <v>4250</v>
      </c>
      <c r="E169" s="1921" t="s">
        <v>9548</v>
      </c>
      <c r="F169" s="1902" t="s">
        <v>22</v>
      </c>
      <c r="G169" s="2118" t="s">
        <v>9557</v>
      </c>
      <c r="H169" s="1921"/>
      <c r="I169" s="1902" t="s">
        <v>65</v>
      </c>
      <c r="J169" s="1921" t="s">
        <v>66</v>
      </c>
      <c r="K169" s="1845" t="s">
        <v>9558</v>
      </c>
      <c r="L169" s="2583">
        <v>4250</v>
      </c>
      <c r="M169" s="2196" t="s">
        <v>5701</v>
      </c>
      <c r="N169" s="2880"/>
      <c r="O169" s="1775"/>
      <c r="P169" s="2429">
        <v>3</v>
      </c>
      <c r="Q169" s="2429"/>
      <c r="R169" s="2643"/>
      <c r="S169" s="2643"/>
      <c r="T169" s="2643"/>
      <c r="U169" s="2643"/>
      <c r="V169" s="2643"/>
      <c r="W169" s="2643"/>
      <c r="X169" s="2643"/>
      <c r="Y169" s="2643"/>
      <c r="Z169" s="2643"/>
    </row>
    <row r="170" spans="1:26" s="1467" customFormat="1" ht="55.55" customHeight="1">
      <c r="A170" s="3768">
        <v>37</v>
      </c>
      <c r="B170" s="1900" t="str">
        <f t="shared" si="5"/>
        <v>2200002142</v>
      </c>
      <c r="C170" s="1902" t="s">
        <v>7998</v>
      </c>
      <c r="D170" s="2624">
        <v>3250</v>
      </c>
      <c r="E170" s="1921" t="s">
        <v>9559</v>
      </c>
      <c r="F170" s="1902" t="s">
        <v>24</v>
      </c>
      <c r="G170" s="1921" t="s">
        <v>9560</v>
      </c>
      <c r="H170" s="1921" t="s">
        <v>9561</v>
      </c>
      <c r="I170" s="1902" t="s">
        <v>65</v>
      </c>
      <c r="J170" s="1921" t="s">
        <v>1179</v>
      </c>
      <c r="K170" s="1845" t="s">
        <v>9562</v>
      </c>
      <c r="L170" s="2583">
        <v>1103</v>
      </c>
      <c r="M170" s="2196" t="s">
        <v>9563</v>
      </c>
      <c r="N170" s="1902"/>
      <c r="O170" s="1775"/>
      <c r="P170" s="1790">
        <v>3</v>
      </c>
      <c r="Q170" s="1790"/>
      <c r="R170" s="2643"/>
      <c r="S170" s="2643"/>
      <c r="T170" s="2643"/>
      <c r="U170" s="2643"/>
      <c r="V170" s="2643"/>
      <c r="W170" s="2643"/>
      <c r="X170" s="2643"/>
      <c r="Y170" s="2643"/>
      <c r="Z170" s="2643"/>
    </row>
    <row r="171" spans="1:26" s="1467" customFormat="1" ht="55.55" customHeight="1">
      <c r="A171" s="3770"/>
      <c r="B171" s="1900" t="str">
        <f t="shared" si="5"/>
        <v>2200002141</v>
      </c>
      <c r="C171" s="1493" t="s">
        <v>7998</v>
      </c>
      <c r="D171" s="1826"/>
      <c r="E171" s="1495"/>
      <c r="F171" s="1493" t="s">
        <v>24</v>
      </c>
      <c r="G171" s="1495"/>
      <c r="H171" s="1495"/>
      <c r="I171" s="1493" t="s">
        <v>65</v>
      </c>
      <c r="J171" s="1495" t="s">
        <v>1179</v>
      </c>
      <c r="K171" s="1600" t="s">
        <v>9564</v>
      </c>
      <c r="L171" s="2357">
        <v>1486</v>
      </c>
      <c r="M171" s="2907" t="s">
        <v>9565</v>
      </c>
      <c r="N171" s="1902"/>
      <c r="O171" s="1775"/>
      <c r="P171" s="1790">
        <v>3</v>
      </c>
      <c r="Q171" s="1790"/>
      <c r="R171" s="2643"/>
      <c r="S171" s="2643"/>
      <c r="T171" s="2643"/>
      <c r="U171" s="2643"/>
      <c r="V171" s="2643"/>
      <c r="W171" s="2643"/>
      <c r="X171" s="2643"/>
      <c r="Y171" s="2643"/>
      <c r="Z171" s="2643"/>
    </row>
    <row r="172" spans="1:26" s="1467" customFormat="1" ht="55.55" customHeight="1">
      <c r="A172" s="3770"/>
      <c r="B172" s="1900" t="str">
        <f t="shared" si="5"/>
        <v>2200002143</v>
      </c>
      <c r="C172" s="1545" t="s">
        <v>7998</v>
      </c>
      <c r="D172" s="1827"/>
      <c r="E172" s="1543"/>
      <c r="F172" s="1545" t="s">
        <v>24</v>
      </c>
      <c r="G172" s="1543"/>
      <c r="H172" s="1543"/>
      <c r="I172" s="1545" t="s">
        <v>65</v>
      </c>
      <c r="J172" s="1543" t="s">
        <v>1179</v>
      </c>
      <c r="K172" s="1605" t="s">
        <v>9566</v>
      </c>
      <c r="L172" s="2543">
        <v>819</v>
      </c>
      <c r="M172" s="2506" t="s">
        <v>9567</v>
      </c>
      <c r="N172" s="1902"/>
      <c r="O172" s="1775"/>
      <c r="P172" s="1790">
        <v>3</v>
      </c>
      <c r="Q172" s="1790"/>
      <c r="R172" s="2643"/>
      <c r="S172" s="2643"/>
      <c r="T172" s="2643"/>
      <c r="U172" s="2643"/>
      <c r="V172" s="2643"/>
      <c r="W172" s="2643"/>
      <c r="X172" s="2643"/>
      <c r="Y172" s="2643"/>
      <c r="Z172" s="2643"/>
    </row>
    <row r="173" spans="1:26" s="1467" customFormat="1" ht="66.75" customHeight="1">
      <c r="A173" s="3776">
        <v>46</v>
      </c>
      <c r="B173" s="1900" t="str">
        <f t="shared" si="5"/>
        <v>2000003162</v>
      </c>
      <c r="C173" s="1902" t="s">
        <v>4102</v>
      </c>
      <c r="D173" s="2624">
        <v>13300</v>
      </c>
      <c r="E173" s="1921" t="s">
        <v>9568</v>
      </c>
      <c r="F173" s="1902" t="s">
        <v>14</v>
      </c>
      <c r="G173" s="1921" t="s">
        <v>9569</v>
      </c>
      <c r="H173" s="1921" t="s">
        <v>9550</v>
      </c>
      <c r="I173" s="1902" t="s">
        <v>65</v>
      </c>
      <c r="J173" s="1921" t="s">
        <v>164</v>
      </c>
      <c r="K173" s="1916" t="s">
        <v>9570</v>
      </c>
      <c r="L173" s="2583">
        <v>3000</v>
      </c>
      <c r="M173" s="2196" t="s">
        <v>5701</v>
      </c>
      <c r="N173" s="1626"/>
      <c r="O173" s="1859"/>
      <c r="P173" s="1790">
        <v>3</v>
      </c>
      <c r="Q173" s="1790"/>
    </row>
    <row r="174" spans="1:26" s="1467" customFormat="1" ht="92.25" customHeight="1">
      <c r="A174" s="3776"/>
      <c r="B174" s="1900" t="str">
        <f t="shared" si="5"/>
        <v>2000003210</v>
      </c>
      <c r="C174" s="1493" t="s">
        <v>4102</v>
      </c>
      <c r="D174" s="2624"/>
      <c r="E174" s="1921"/>
      <c r="F174" s="1493" t="s">
        <v>14</v>
      </c>
      <c r="G174" s="1748" t="s">
        <v>9571</v>
      </c>
      <c r="H174" s="1921"/>
      <c r="I174" s="1495" t="s">
        <v>65</v>
      </c>
      <c r="J174" s="1495" t="s">
        <v>164</v>
      </c>
      <c r="K174" s="1600" t="s">
        <v>9572</v>
      </c>
      <c r="L174" s="2357">
        <v>5540</v>
      </c>
      <c r="M174" s="2907" t="s">
        <v>9573</v>
      </c>
      <c r="N174" s="1626"/>
      <c r="O174" s="1859"/>
      <c r="P174" s="1790">
        <v>3</v>
      </c>
      <c r="Q174" s="1790"/>
    </row>
    <row r="175" spans="1:26" s="1467" customFormat="1" ht="81" customHeight="1">
      <c r="A175" s="3776"/>
      <c r="B175" s="1900" t="str">
        <f t="shared" si="5"/>
        <v>2200002095</v>
      </c>
      <c r="C175" s="1493" t="s">
        <v>4102</v>
      </c>
      <c r="D175" s="1826"/>
      <c r="E175" s="1495"/>
      <c r="F175" s="1493" t="s">
        <v>14</v>
      </c>
      <c r="G175" s="1748"/>
      <c r="H175" s="1495"/>
      <c r="I175" s="1493" t="s">
        <v>65</v>
      </c>
      <c r="J175" s="1495" t="s">
        <v>164</v>
      </c>
      <c r="K175" s="1600" t="s">
        <v>9574</v>
      </c>
      <c r="L175" s="2357">
        <v>1200</v>
      </c>
      <c r="M175" s="2196" t="s">
        <v>5392</v>
      </c>
      <c r="N175" s="1626"/>
      <c r="O175" s="1859"/>
      <c r="P175" s="1790">
        <v>3</v>
      </c>
      <c r="Q175" s="1790"/>
    </row>
    <row r="176" spans="1:26" s="1467" customFormat="1" ht="55.55" customHeight="1">
      <c r="A176" s="3776"/>
      <c r="B176" s="1900" t="str">
        <f t="shared" si="5"/>
        <v>2200002097</v>
      </c>
      <c r="C176" s="1493" t="s">
        <v>4102</v>
      </c>
      <c r="D176" s="1826"/>
      <c r="E176" s="1495"/>
      <c r="F176" s="1493" t="s">
        <v>14</v>
      </c>
      <c r="G176" s="1748"/>
      <c r="H176" s="1495"/>
      <c r="I176" s="1493" t="s">
        <v>65</v>
      </c>
      <c r="J176" s="1495" t="s">
        <v>164</v>
      </c>
      <c r="K176" s="1547" t="s">
        <v>9575</v>
      </c>
      <c r="L176" s="2357">
        <v>3560</v>
      </c>
      <c r="M176" s="1748" t="s">
        <v>9576</v>
      </c>
      <c r="N176" s="1626"/>
      <c r="O176" s="1843" t="s">
        <v>9577</v>
      </c>
      <c r="P176" s="1790">
        <v>3</v>
      </c>
      <c r="Q176" s="1790"/>
    </row>
    <row r="177" spans="1:26" s="2643" customFormat="1" ht="55.55" customHeight="1">
      <c r="A177" s="3782">
        <v>43</v>
      </c>
      <c r="B177" s="1900" t="str">
        <f t="shared" si="5"/>
        <v>2000003202</v>
      </c>
      <c r="C177" s="2118" t="s">
        <v>3996</v>
      </c>
      <c r="D177" s="2920">
        <v>12900</v>
      </c>
      <c r="E177" s="2118" t="s">
        <v>9578</v>
      </c>
      <c r="F177" s="2391" t="s">
        <v>16</v>
      </c>
      <c r="G177" s="2118" t="s">
        <v>9579</v>
      </c>
      <c r="H177" s="2118" t="s">
        <v>9550</v>
      </c>
      <c r="I177" s="2391" t="s">
        <v>65</v>
      </c>
      <c r="J177" s="2120" t="s">
        <v>1179</v>
      </c>
      <c r="K177" s="2921" t="s">
        <v>9536</v>
      </c>
      <c r="L177" s="2922">
        <v>5500</v>
      </c>
      <c r="M177" s="2196" t="s">
        <v>5701</v>
      </c>
      <c r="N177" s="1902"/>
      <c r="O177" s="1862"/>
      <c r="P177" s="1790">
        <v>3</v>
      </c>
      <c r="Q177" s="1790"/>
    </row>
    <row r="178" spans="1:26" s="2643" customFormat="1" ht="55.55" customHeight="1">
      <c r="A178" s="3782"/>
      <c r="B178" s="1900" t="str">
        <f t="shared" si="5"/>
        <v>2000003182</v>
      </c>
      <c r="C178" s="1493" t="s">
        <v>3996</v>
      </c>
      <c r="D178" s="2901"/>
      <c r="E178" s="1495"/>
      <c r="F178" s="1493" t="s">
        <v>16</v>
      </c>
      <c r="G178" s="1851"/>
      <c r="H178" s="1495"/>
      <c r="I178" s="1493" t="s">
        <v>65</v>
      </c>
      <c r="J178" s="1495" t="s">
        <v>1179</v>
      </c>
      <c r="K178" s="1497" t="s">
        <v>9537</v>
      </c>
      <c r="L178" s="2357">
        <v>1440</v>
      </c>
      <c r="M178" s="2196" t="s">
        <v>5701</v>
      </c>
      <c r="N178" s="1493"/>
      <c r="O178" s="1859"/>
      <c r="P178" s="1790">
        <v>3</v>
      </c>
      <c r="Q178" s="1790"/>
    </row>
    <row r="179" spans="1:26" s="2643" customFormat="1" ht="55.55" customHeight="1">
      <c r="A179" s="3782"/>
      <c r="B179" s="1900" t="str">
        <f t="shared" si="5"/>
        <v>2200002133</v>
      </c>
      <c r="C179" s="1493" t="s">
        <v>3996</v>
      </c>
      <c r="D179" s="2901"/>
      <c r="E179" s="1495"/>
      <c r="F179" s="1493" t="s">
        <v>16</v>
      </c>
      <c r="G179" s="1851"/>
      <c r="H179" s="1495"/>
      <c r="I179" s="1601" t="s">
        <v>65</v>
      </c>
      <c r="J179" s="1495" t="s">
        <v>1179</v>
      </c>
      <c r="K179" s="1600" t="s">
        <v>9580</v>
      </c>
      <c r="L179" s="2357">
        <v>1100</v>
      </c>
      <c r="M179" s="2196" t="s">
        <v>8426</v>
      </c>
      <c r="N179" s="1493"/>
      <c r="O179" s="1859"/>
      <c r="P179" s="1790">
        <v>3</v>
      </c>
      <c r="Q179" s="1790"/>
    </row>
    <row r="180" spans="1:26" s="2643" customFormat="1" ht="55.55" customHeight="1">
      <c r="A180" s="3783"/>
      <c r="B180" s="1900" t="str">
        <f t="shared" si="5"/>
        <v>2200002124</v>
      </c>
      <c r="C180" s="1493" t="s">
        <v>3996</v>
      </c>
      <c r="D180" s="2899"/>
      <c r="E180" s="1921"/>
      <c r="F180" s="1493" t="s">
        <v>16</v>
      </c>
      <c r="G180" s="1921"/>
      <c r="H180" s="1921"/>
      <c r="I180" s="1493" t="s">
        <v>65</v>
      </c>
      <c r="J180" s="1495" t="s">
        <v>1179</v>
      </c>
      <c r="K180" s="1600" t="s">
        <v>9551</v>
      </c>
      <c r="L180" s="2357">
        <v>4900</v>
      </c>
      <c r="M180" s="2196" t="s">
        <v>5701</v>
      </c>
      <c r="N180" s="1902"/>
      <c r="O180" s="1775"/>
      <c r="P180" s="1790">
        <v>3</v>
      </c>
      <c r="Q180" s="1790"/>
    </row>
    <row r="181" spans="1:26" s="2643" customFormat="1" ht="65.25" customHeight="1">
      <c r="A181" s="3768">
        <v>45</v>
      </c>
      <c r="B181" s="1900" t="str">
        <f t="shared" si="5"/>
        <v>2000003161</v>
      </c>
      <c r="C181" s="1902" t="s">
        <v>3361</v>
      </c>
      <c r="D181" s="2624">
        <v>8800</v>
      </c>
      <c r="E181" s="2187" t="s">
        <v>9581</v>
      </c>
      <c r="F181" s="1902" t="s">
        <v>14</v>
      </c>
      <c r="G181" s="1921" t="s">
        <v>9582</v>
      </c>
      <c r="H181" s="1921" t="s">
        <v>9550</v>
      </c>
      <c r="I181" s="1902" t="s">
        <v>65</v>
      </c>
      <c r="J181" s="1921" t="s">
        <v>164</v>
      </c>
      <c r="K181" s="1916" t="s">
        <v>9583</v>
      </c>
      <c r="L181" s="2583">
        <v>3700</v>
      </c>
      <c r="M181" s="2196" t="s">
        <v>5701</v>
      </c>
      <c r="N181" s="1902"/>
      <c r="O181" s="1775"/>
      <c r="P181" s="1790">
        <v>3</v>
      </c>
      <c r="Q181" s="1790"/>
    </row>
    <row r="182" spans="1:26" s="2643" customFormat="1" ht="50.3" customHeight="1">
      <c r="A182" s="3770"/>
      <c r="B182" s="1900" t="str">
        <f t="shared" si="5"/>
        <v>2000003168</v>
      </c>
      <c r="C182" s="1493" t="s">
        <v>3361</v>
      </c>
      <c r="D182" s="2919"/>
      <c r="E182" s="2150"/>
      <c r="F182" s="1626" t="s">
        <v>14</v>
      </c>
      <c r="G182" s="1495"/>
      <c r="H182" s="1495"/>
      <c r="I182" s="1493" t="s">
        <v>65</v>
      </c>
      <c r="J182" s="1495" t="s">
        <v>164</v>
      </c>
      <c r="K182" s="1770" t="s">
        <v>9584</v>
      </c>
      <c r="L182" s="2357">
        <v>1000</v>
      </c>
      <c r="M182" s="2196" t="s">
        <v>5392</v>
      </c>
      <c r="N182" s="1493"/>
      <c r="O182" s="1859"/>
      <c r="P182" s="1790">
        <v>3</v>
      </c>
      <c r="Q182" s="1790"/>
      <c r="R182" s="1467"/>
      <c r="S182" s="1467"/>
      <c r="T182" s="1467"/>
      <c r="U182" s="1467"/>
      <c r="V182" s="1467"/>
      <c r="W182" s="1467"/>
      <c r="X182" s="1467"/>
      <c r="Y182" s="1467"/>
      <c r="Z182" s="1467"/>
    </row>
    <row r="183" spans="1:26" s="2643" customFormat="1" ht="50.3" customHeight="1">
      <c r="A183" s="3770"/>
      <c r="B183" s="1900" t="str">
        <f t="shared" si="5"/>
        <v>2000003249</v>
      </c>
      <c r="C183" s="1493" t="s">
        <v>3361</v>
      </c>
      <c r="D183" s="1826"/>
      <c r="E183" s="1851"/>
      <c r="F183" s="1493" t="s">
        <v>14</v>
      </c>
      <c r="G183" s="1921"/>
      <c r="H183" s="1921"/>
      <c r="I183" s="1493" t="s">
        <v>65</v>
      </c>
      <c r="J183" s="1495" t="s">
        <v>164</v>
      </c>
      <c r="K183" s="1547" t="s">
        <v>9585</v>
      </c>
      <c r="L183" s="2357">
        <v>100</v>
      </c>
      <c r="M183" s="2196" t="s">
        <v>5701</v>
      </c>
      <c r="N183" s="1902"/>
      <c r="O183" s="1775"/>
      <c r="P183" s="1790">
        <v>3</v>
      </c>
      <c r="Q183" s="1790"/>
      <c r="R183" s="2150"/>
      <c r="S183" s="2150"/>
      <c r="T183" s="2150"/>
      <c r="U183" s="2150"/>
      <c r="V183" s="2150"/>
      <c r="W183" s="2150"/>
      <c r="X183" s="2150"/>
      <c r="Y183" s="2150"/>
      <c r="Z183" s="2150"/>
    </row>
    <row r="184" spans="1:26" s="2643" customFormat="1" ht="50.3" customHeight="1">
      <c r="A184" s="3770"/>
      <c r="B184" s="1900" t="str">
        <f t="shared" si="5"/>
        <v>2000003280</v>
      </c>
      <c r="C184" s="1493" t="s">
        <v>3361</v>
      </c>
      <c r="D184" s="1826"/>
      <c r="E184" s="1495"/>
      <c r="F184" s="1493" t="s">
        <v>14</v>
      </c>
      <c r="G184" s="1921"/>
      <c r="H184" s="1921"/>
      <c r="I184" s="1493" t="s">
        <v>65</v>
      </c>
      <c r="J184" s="1495" t="s">
        <v>106</v>
      </c>
      <c r="K184" s="1547" t="s">
        <v>9586</v>
      </c>
      <c r="L184" s="2357">
        <v>1000</v>
      </c>
      <c r="M184" s="2385" t="s">
        <v>5392</v>
      </c>
      <c r="N184" s="1902"/>
      <c r="O184" s="1775"/>
      <c r="P184" s="1790">
        <v>3</v>
      </c>
      <c r="Q184" s="1790"/>
    </row>
    <row r="185" spans="1:26" s="2643" customFormat="1" ht="50.3" customHeight="1">
      <c r="A185" s="3770"/>
      <c r="B185" s="1900" t="str">
        <f t="shared" si="5"/>
        <v>2200002144</v>
      </c>
      <c r="C185" s="1493" t="s">
        <v>3361</v>
      </c>
      <c r="D185" s="1826"/>
      <c r="E185" s="1495"/>
      <c r="F185" s="1493" t="s">
        <v>14</v>
      </c>
      <c r="G185" s="1495"/>
      <c r="H185" s="1495"/>
      <c r="I185" s="1493" t="s">
        <v>65</v>
      </c>
      <c r="J185" s="1495" t="s">
        <v>106</v>
      </c>
      <c r="K185" s="1770" t="s">
        <v>9587</v>
      </c>
      <c r="L185" s="2357">
        <v>1903</v>
      </c>
      <c r="M185" s="2196" t="s">
        <v>8426</v>
      </c>
      <c r="N185" s="1493"/>
      <c r="O185" s="1843" t="s">
        <v>9588</v>
      </c>
      <c r="P185" s="1790">
        <v>3</v>
      </c>
      <c r="Q185" s="1790"/>
      <c r="R185" s="1467"/>
      <c r="S185" s="1467"/>
      <c r="T185" s="1467"/>
      <c r="U185" s="1467"/>
      <c r="V185" s="1467"/>
      <c r="W185" s="1467"/>
      <c r="X185" s="1467"/>
      <c r="Y185" s="1467"/>
      <c r="Z185" s="1467"/>
    </row>
    <row r="186" spans="1:26" s="2643" customFormat="1" ht="50.3" customHeight="1">
      <c r="A186" s="3770"/>
      <c r="B186" s="1900" t="str">
        <f t="shared" si="5"/>
        <v>2200002140</v>
      </c>
      <c r="C186" s="1493" t="s">
        <v>3361</v>
      </c>
      <c r="D186" s="1826"/>
      <c r="E186" s="1495"/>
      <c r="F186" s="1493" t="s">
        <v>14</v>
      </c>
      <c r="G186" s="1495"/>
      <c r="H186" s="1495"/>
      <c r="I186" s="1493" t="s">
        <v>65</v>
      </c>
      <c r="J186" s="1495" t="s">
        <v>106</v>
      </c>
      <c r="K186" s="1770" t="s">
        <v>9589</v>
      </c>
      <c r="L186" s="2357">
        <v>724</v>
      </c>
      <c r="M186" s="2196" t="s">
        <v>9329</v>
      </c>
      <c r="N186" s="1493"/>
      <c r="O186" s="1843"/>
      <c r="P186" s="1790">
        <v>3</v>
      </c>
      <c r="Q186" s="1790"/>
      <c r="R186" s="1467"/>
      <c r="S186" s="1467"/>
      <c r="T186" s="1467"/>
      <c r="U186" s="1467"/>
      <c r="V186" s="1467"/>
      <c r="W186" s="1467"/>
      <c r="X186" s="1467"/>
      <c r="Y186" s="1467"/>
      <c r="Z186" s="1467"/>
    </row>
    <row r="187" spans="1:26" s="2643" customFormat="1" ht="57.1" customHeight="1">
      <c r="A187" s="3769"/>
      <c r="B187" s="1900" t="str">
        <f t="shared" si="5"/>
        <v>2000003178</v>
      </c>
      <c r="C187" s="1493" t="s">
        <v>3361</v>
      </c>
      <c r="D187" s="1826"/>
      <c r="E187" s="1495"/>
      <c r="F187" s="1493" t="s">
        <v>14</v>
      </c>
      <c r="G187" s="1495"/>
      <c r="H187" s="1495"/>
      <c r="I187" s="1493" t="s">
        <v>65</v>
      </c>
      <c r="J187" s="1495" t="s">
        <v>106</v>
      </c>
      <c r="K187" s="2878" t="s">
        <v>9590</v>
      </c>
      <c r="L187" s="2357">
        <v>500</v>
      </c>
      <c r="M187" s="2385" t="s">
        <v>5392</v>
      </c>
      <c r="N187" s="1493"/>
      <c r="O187" s="1843"/>
      <c r="P187" s="1790">
        <v>3</v>
      </c>
      <c r="Q187" s="1790"/>
      <c r="R187" s="1467"/>
      <c r="S187" s="1467"/>
      <c r="T187" s="1467"/>
      <c r="U187" s="1467"/>
      <c r="V187" s="1467"/>
      <c r="W187" s="1467"/>
      <c r="X187" s="1467"/>
      <c r="Y187" s="1467"/>
      <c r="Z187" s="1467"/>
    </row>
    <row r="188" spans="1:26" s="1467" customFormat="1" ht="58.6" customHeight="1">
      <c r="A188" s="3771">
        <v>35</v>
      </c>
      <c r="B188" s="1900" t="str">
        <f t="shared" si="5"/>
        <v>2000003254</v>
      </c>
      <c r="C188" s="2391" t="s">
        <v>3546</v>
      </c>
      <c r="D188" s="2656">
        <v>4400</v>
      </c>
      <c r="E188" s="2118" t="s">
        <v>9591</v>
      </c>
      <c r="F188" s="2391" t="s">
        <v>26</v>
      </c>
      <c r="G188" s="2118" t="s">
        <v>9592</v>
      </c>
      <c r="H188" s="1921" t="s">
        <v>9550</v>
      </c>
      <c r="I188" s="2433" t="s">
        <v>65</v>
      </c>
      <c r="J188" s="2118" t="s">
        <v>5400</v>
      </c>
      <c r="K188" s="2402" t="s">
        <v>9593</v>
      </c>
      <c r="L188" s="2508">
        <v>400</v>
      </c>
      <c r="M188" s="2196" t="s">
        <v>5392</v>
      </c>
      <c r="N188" s="1902"/>
      <c r="O188" s="1775"/>
      <c r="P188" s="1790">
        <v>3</v>
      </c>
      <c r="Q188" s="1790"/>
      <c r="R188" s="1548"/>
      <c r="S188" s="1548"/>
      <c r="T188" s="1548"/>
      <c r="U188" s="1548"/>
      <c r="V188" s="1548"/>
      <c r="W188" s="1548"/>
      <c r="X188" s="1548"/>
      <c r="Y188" s="1548"/>
      <c r="Z188" s="1548"/>
    </row>
    <row r="189" spans="1:26" s="1467" customFormat="1" ht="58.6" customHeight="1">
      <c r="A189" s="3773"/>
      <c r="B189" s="1900" t="str">
        <f t="shared" ref="B189:B212" si="6">TEXT(LEFT(K189,10),"0000000000")</f>
        <v>2000003281</v>
      </c>
      <c r="C189" s="1630" t="s">
        <v>3546</v>
      </c>
      <c r="D189" s="1826"/>
      <c r="E189" s="1748"/>
      <c r="F189" s="1630" t="s">
        <v>26</v>
      </c>
      <c r="G189" s="1495"/>
      <c r="H189" s="1495"/>
      <c r="I189" s="1493" t="s">
        <v>65</v>
      </c>
      <c r="J189" s="1495" t="s">
        <v>106</v>
      </c>
      <c r="K189" s="2878" t="s">
        <v>9594</v>
      </c>
      <c r="L189" s="2357">
        <v>4000</v>
      </c>
      <c r="M189" s="2584" t="s">
        <v>9595</v>
      </c>
      <c r="N189" s="1902"/>
      <c r="O189" s="1775"/>
      <c r="P189" s="1790">
        <v>3</v>
      </c>
      <c r="Q189" s="1790"/>
      <c r="R189" s="2643"/>
      <c r="S189" s="2643"/>
      <c r="T189" s="2643"/>
      <c r="U189" s="2643"/>
      <c r="V189" s="2643"/>
      <c r="W189" s="2643"/>
      <c r="X189" s="2643"/>
      <c r="Y189" s="2643"/>
      <c r="Z189" s="2643"/>
    </row>
    <row r="190" spans="1:26" s="1467" customFormat="1" ht="58.6" customHeight="1">
      <c r="A190" s="3776">
        <v>38</v>
      </c>
      <c r="B190" s="1900" t="str">
        <f t="shared" si="6"/>
        <v>2000003225</v>
      </c>
      <c r="C190" s="1902" t="s">
        <v>4868</v>
      </c>
      <c r="D190" s="2624">
        <v>4350</v>
      </c>
      <c r="E190" s="1921" t="s">
        <v>9596</v>
      </c>
      <c r="F190" s="1902" t="s">
        <v>18</v>
      </c>
      <c r="G190" s="1921" t="s">
        <v>9597</v>
      </c>
      <c r="H190" s="1921" t="s">
        <v>9550</v>
      </c>
      <c r="I190" s="1902" t="s">
        <v>65</v>
      </c>
      <c r="J190" s="1921" t="s">
        <v>1179</v>
      </c>
      <c r="K190" s="1911" t="s">
        <v>9598</v>
      </c>
      <c r="L190" s="2583">
        <v>200</v>
      </c>
      <c r="M190" s="2496" t="s">
        <v>5392</v>
      </c>
      <c r="N190" s="2563"/>
      <c r="O190" s="1775"/>
      <c r="P190" s="2429">
        <v>3</v>
      </c>
      <c r="Q190" s="2429"/>
      <c r="R190" s="2643"/>
      <c r="S190" s="2643"/>
      <c r="T190" s="2643"/>
      <c r="U190" s="2643"/>
      <c r="V190" s="2643"/>
      <c r="W190" s="2643"/>
      <c r="X190" s="2643"/>
      <c r="Y190" s="2643"/>
      <c r="Z190" s="2643"/>
    </row>
    <row r="191" spans="1:26" s="1467" customFormat="1" ht="58.6" customHeight="1">
      <c r="A191" s="3776"/>
      <c r="B191" s="1900" t="str">
        <f t="shared" si="6"/>
        <v>2000003259</v>
      </c>
      <c r="C191" s="1493" t="s">
        <v>4868</v>
      </c>
      <c r="D191" s="1826"/>
      <c r="E191" s="1495"/>
      <c r="F191" s="1493" t="s">
        <v>18</v>
      </c>
      <c r="G191" s="1495" t="s">
        <v>9599</v>
      </c>
      <c r="H191" s="1495"/>
      <c r="I191" s="1493" t="s">
        <v>65</v>
      </c>
      <c r="J191" s="1495" t="s">
        <v>1179</v>
      </c>
      <c r="K191" s="1600" t="s">
        <v>9600</v>
      </c>
      <c r="L191" s="2357">
        <v>485</v>
      </c>
      <c r="M191" s="2918" t="s">
        <v>9601</v>
      </c>
      <c r="N191" s="1626"/>
      <c r="O191" s="1859"/>
      <c r="P191" s="1790">
        <v>3</v>
      </c>
      <c r="Q191" s="1790"/>
    </row>
    <row r="192" spans="1:26" s="1467" customFormat="1" ht="58.6" customHeight="1">
      <c r="A192" s="3776"/>
      <c r="B192" s="1900" t="str">
        <f t="shared" si="6"/>
        <v>2000003260</v>
      </c>
      <c r="C192" s="1493" t="s">
        <v>4868</v>
      </c>
      <c r="D192" s="1826"/>
      <c r="E192" s="1495"/>
      <c r="F192" s="1493" t="s">
        <v>18</v>
      </c>
      <c r="G192" s="1495"/>
      <c r="H192" s="1495"/>
      <c r="I192" s="1493" t="s">
        <v>65</v>
      </c>
      <c r="J192" s="1495" t="s">
        <v>1179</v>
      </c>
      <c r="K192" s="1600" t="s">
        <v>9602</v>
      </c>
      <c r="L192" s="2357">
        <v>105</v>
      </c>
      <c r="M192" s="2196" t="s">
        <v>9603</v>
      </c>
      <c r="N192" s="1626"/>
      <c r="O192" s="1859"/>
      <c r="P192" s="1790">
        <v>3</v>
      </c>
      <c r="Q192" s="1790"/>
    </row>
    <row r="193" spans="1:26" s="1467" customFormat="1" ht="58.6" customHeight="1">
      <c r="A193" s="3776"/>
      <c r="B193" s="1900" t="str">
        <f t="shared" si="6"/>
        <v>2000003182</v>
      </c>
      <c r="C193" s="1493" t="s">
        <v>4868</v>
      </c>
      <c r="D193" s="1826"/>
      <c r="E193" s="1495"/>
      <c r="F193" s="1493" t="s">
        <v>18</v>
      </c>
      <c r="G193" s="1495"/>
      <c r="H193" s="1495"/>
      <c r="I193" s="1493" t="s">
        <v>65</v>
      </c>
      <c r="J193" s="1495" t="s">
        <v>1179</v>
      </c>
      <c r="K193" s="1600" t="s">
        <v>9604</v>
      </c>
      <c r="L193" s="2357">
        <v>3560</v>
      </c>
      <c r="M193" s="2196" t="s">
        <v>5701</v>
      </c>
      <c r="N193" s="1626"/>
      <c r="O193" s="1859"/>
      <c r="P193" s="1790">
        <v>3</v>
      </c>
      <c r="Q193" s="1790"/>
    </row>
    <row r="194" spans="1:26" s="1467" customFormat="1" ht="58.6" customHeight="1">
      <c r="A194" s="3895">
        <v>35</v>
      </c>
      <c r="B194" s="1900" t="str">
        <f t="shared" si="6"/>
        <v>2000003261</v>
      </c>
      <c r="C194" s="2563" t="s">
        <v>5278</v>
      </c>
      <c r="D194" s="2899">
        <v>4330</v>
      </c>
      <c r="E194" s="1921" t="s">
        <v>9605</v>
      </c>
      <c r="F194" s="2439" t="s">
        <v>18</v>
      </c>
      <c r="G194" s="1921" t="s">
        <v>9606</v>
      </c>
      <c r="H194" s="1921" t="s">
        <v>9550</v>
      </c>
      <c r="I194" s="2433" t="s">
        <v>65</v>
      </c>
      <c r="J194" s="2118" t="s">
        <v>117</v>
      </c>
      <c r="K194" s="2402" t="s">
        <v>9607</v>
      </c>
      <c r="L194" s="2508">
        <v>2330</v>
      </c>
      <c r="M194" s="2196" t="s">
        <v>5392</v>
      </c>
      <c r="N194" s="1902"/>
      <c r="O194" s="1775"/>
      <c r="P194" s="1790">
        <v>3</v>
      </c>
      <c r="Q194" s="1790"/>
      <c r="R194" s="1548"/>
      <c r="S194" s="1548"/>
      <c r="T194" s="1548"/>
      <c r="U194" s="1548"/>
      <c r="V194" s="1548"/>
      <c r="W194" s="1548"/>
      <c r="X194" s="1548"/>
      <c r="Y194" s="1548"/>
      <c r="Z194" s="1548"/>
    </row>
    <row r="195" spans="1:26" s="1467" customFormat="1" ht="58.6" customHeight="1">
      <c r="A195" s="3773"/>
      <c r="B195" s="1900" t="str">
        <f t="shared" si="6"/>
        <v>2000003287</v>
      </c>
      <c r="C195" s="1941" t="s">
        <v>5278</v>
      </c>
      <c r="D195" s="2901"/>
      <c r="E195" s="1495"/>
      <c r="F195" s="1941" t="s">
        <v>18</v>
      </c>
      <c r="G195" s="1851"/>
      <c r="H195" s="1495"/>
      <c r="I195" s="1493" t="s">
        <v>65</v>
      </c>
      <c r="J195" s="1495" t="s">
        <v>117</v>
      </c>
      <c r="K195" s="1600" t="s">
        <v>9608</v>
      </c>
      <c r="L195" s="2357">
        <v>2000</v>
      </c>
      <c r="M195" s="2196" t="s">
        <v>5392</v>
      </c>
      <c r="N195" s="1493"/>
      <c r="O195" s="1843"/>
      <c r="P195" s="1790">
        <v>3</v>
      </c>
      <c r="Q195" s="1790"/>
      <c r="R195" s="1548"/>
      <c r="S195" s="1548"/>
      <c r="T195" s="1548"/>
      <c r="U195" s="1548"/>
      <c r="V195" s="1548"/>
      <c r="W195" s="1548"/>
      <c r="X195" s="1548"/>
      <c r="Y195" s="1548"/>
      <c r="Z195" s="1548"/>
    </row>
    <row r="196" spans="1:26" s="2643" customFormat="1" ht="58.6" customHeight="1">
      <c r="A196" s="3768">
        <v>36</v>
      </c>
      <c r="B196" s="1900" t="str">
        <f t="shared" si="6"/>
        <v>2200002125</v>
      </c>
      <c r="C196" s="1902" t="s">
        <v>139</v>
      </c>
      <c r="D196" s="2624">
        <v>4400</v>
      </c>
      <c r="E196" s="1921" t="s">
        <v>9609</v>
      </c>
      <c r="F196" s="1902" t="s">
        <v>18</v>
      </c>
      <c r="G196" s="1921" t="s">
        <v>9610</v>
      </c>
      <c r="H196" s="1921" t="s">
        <v>9550</v>
      </c>
      <c r="I196" s="1902" t="s">
        <v>65</v>
      </c>
      <c r="J196" s="1921" t="s">
        <v>1179</v>
      </c>
      <c r="K196" s="1845" t="s">
        <v>9611</v>
      </c>
      <c r="L196" s="2583">
        <v>760</v>
      </c>
      <c r="M196" s="2496" t="s">
        <v>5392</v>
      </c>
      <c r="N196" s="1902" t="s">
        <v>5464</v>
      </c>
      <c r="O196" s="1775"/>
      <c r="P196" s="1790">
        <v>3</v>
      </c>
      <c r="Q196" s="1790"/>
      <c r="R196" s="2150"/>
      <c r="S196" s="2150"/>
      <c r="T196" s="2150"/>
      <c r="U196" s="2150"/>
      <c r="V196" s="2150"/>
      <c r="W196" s="2150"/>
      <c r="X196" s="2150"/>
      <c r="Y196" s="2150"/>
      <c r="Z196" s="2150"/>
    </row>
    <row r="197" spans="1:26" s="2643" customFormat="1" ht="58.6" customHeight="1">
      <c r="A197" s="3769"/>
      <c r="B197" s="1900" t="str">
        <f t="shared" si="6"/>
        <v>2000003202</v>
      </c>
      <c r="C197" s="1493" t="s">
        <v>139</v>
      </c>
      <c r="D197" s="1826"/>
      <c r="E197" s="1495"/>
      <c r="F197" s="1493" t="s">
        <v>18</v>
      </c>
      <c r="G197" s="1495"/>
      <c r="H197" s="1495"/>
      <c r="I197" s="1493" t="s">
        <v>65</v>
      </c>
      <c r="J197" s="1495" t="s">
        <v>1179</v>
      </c>
      <c r="K197" s="2878" t="s">
        <v>9612</v>
      </c>
      <c r="L197" s="2357">
        <v>3800</v>
      </c>
      <c r="M197" s="2196" t="s">
        <v>5701</v>
      </c>
      <c r="N197" s="1902"/>
      <c r="O197" s="1862"/>
      <c r="P197" s="1790">
        <v>3</v>
      </c>
      <c r="Q197" s="1790"/>
    </row>
    <row r="198" spans="1:26" s="2643" customFormat="1" ht="58.6" customHeight="1">
      <c r="A198" s="3768">
        <v>38</v>
      </c>
      <c r="B198" s="1900" t="str">
        <f t="shared" si="6"/>
        <v>2200002135</v>
      </c>
      <c r="C198" s="1921" t="s">
        <v>4935</v>
      </c>
      <c r="D198" s="2624">
        <v>3600</v>
      </c>
      <c r="E198" s="1921" t="s">
        <v>9613</v>
      </c>
      <c r="F198" s="1902" t="s">
        <v>22</v>
      </c>
      <c r="G198" s="1921" t="s">
        <v>9614</v>
      </c>
      <c r="H198" s="2187" t="s">
        <v>9550</v>
      </c>
      <c r="I198" s="2563" t="s">
        <v>65</v>
      </c>
      <c r="J198" s="1921" t="s">
        <v>1179</v>
      </c>
      <c r="K198" s="1845" t="s">
        <v>8495</v>
      </c>
      <c r="L198" s="2583">
        <v>800</v>
      </c>
      <c r="M198" s="2496" t="s">
        <v>5392</v>
      </c>
      <c r="N198" s="2127"/>
      <c r="O198" s="1775"/>
      <c r="P198" s="2429">
        <v>3</v>
      </c>
      <c r="Q198" s="2429"/>
    </row>
    <row r="199" spans="1:26" s="2643" customFormat="1" ht="58.6" customHeight="1">
      <c r="A199" s="3769"/>
      <c r="B199" s="1900" t="str">
        <f t="shared" si="6"/>
        <v>2200002136</v>
      </c>
      <c r="C199" s="1495" t="s">
        <v>4935</v>
      </c>
      <c r="D199" s="1826"/>
      <c r="E199" s="1495"/>
      <c r="F199" s="1493" t="s">
        <v>22</v>
      </c>
      <c r="G199" s="1899"/>
      <c r="H199" s="1495"/>
      <c r="I199" s="1626" t="s">
        <v>65</v>
      </c>
      <c r="J199" s="1921" t="s">
        <v>1179</v>
      </c>
      <c r="K199" s="1600" t="s">
        <v>9615</v>
      </c>
      <c r="L199" s="2357">
        <v>2800</v>
      </c>
      <c r="M199" s="2496" t="s">
        <v>5701</v>
      </c>
      <c r="N199" s="2150"/>
      <c r="O199" s="2675"/>
      <c r="P199" s="1790">
        <v>3</v>
      </c>
      <c r="Q199" s="2429"/>
    </row>
    <row r="200" spans="1:26" s="2643" customFormat="1" ht="58.6" customHeight="1">
      <c r="A200" s="3768">
        <v>40</v>
      </c>
      <c r="B200" s="1900" t="str">
        <f t="shared" si="6"/>
        <v>2000003254</v>
      </c>
      <c r="C200" s="1902" t="s">
        <v>114</v>
      </c>
      <c r="D200" s="2624">
        <v>3700</v>
      </c>
      <c r="E200" s="1921" t="s">
        <v>9616</v>
      </c>
      <c r="F200" s="2823" t="s">
        <v>22</v>
      </c>
      <c r="G200" s="1921" t="s">
        <v>9617</v>
      </c>
      <c r="H200" s="2159" t="s">
        <v>9618</v>
      </c>
      <c r="I200" s="1902" t="s">
        <v>65</v>
      </c>
      <c r="J200" s="2118" t="s">
        <v>5400</v>
      </c>
      <c r="K200" s="2194" t="s">
        <v>9619</v>
      </c>
      <c r="L200" s="2583">
        <v>700</v>
      </c>
      <c r="M200" s="2496" t="s">
        <v>5392</v>
      </c>
      <c r="N200" s="2150"/>
      <c r="O200" s="2675"/>
      <c r="P200" s="1790">
        <v>3</v>
      </c>
      <c r="Q200" s="2429"/>
    </row>
    <row r="201" spans="1:26" s="2643" customFormat="1" ht="58.6" customHeight="1">
      <c r="A201" s="3769"/>
      <c r="B201" s="1900" t="str">
        <f t="shared" si="6"/>
        <v>2000003294</v>
      </c>
      <c r="C201" s="1493" t="s">
        <v>114</v>
      </c>
      <c r="D201" s="1826"/>
      <c r="E201" s="1495"/>
      <c r="F201" s="1769" t="s">
        <v>22</v>
      </c>
      <c r="G201" s="1495"/>
      <c r="H201" s="1947"/>
      <c r="I201" s="1493" t="s">
        <v>65</v>
      </c>
      <c r="J201" s="1495" t="s">
        <v>106</v>
      </c>
      <c r="K201" s="1496" t="s">
        <v>9620</v>
      </c>
      <c r="L201" s="2357">
        <v>3000</v>
      </c>
      <c r="M201" s="2496" t="s">
        <v>5392</v>
      </c>
      <c r="N201" s="2150"/>
      <c r="O201" s="2675"/>
      <c r="P201" s="1790">
        <v>3</v>
      </c>
      <c r="Q201" s="2429"/>
    </row>
    <row r="202" spans="1:26" s="2643" customFormat="1" ht="67.599999999999994" customHeight="1">
      <c r="A202" s="3784">
        <v>41</v>
      </c>
      <c r="B202" s="1900" t="str">
        <f t="shared" si="6"/>
        <v>2000003209</v>
      </c>
      <c r="C202" s="1902" t="s">
        <v>6893</v>
      </c>
      <c r="D202" s="2624">
        <v>4150</v>
      </c>
      <c r="E202" s="1921" t="s">
        <v>9621</v>
      </c>
      <c r="F202" s="1902" t="s">
        <v>24</v>
      </c>
      <c r="G202" s="1921"/>
      <c r="H202" s="1921"/>
      <c r="I202" s="1902" t="s">
        <v>65</v>
      </c>
      <c r="J202" s="1921" t="s">
        <v>117</v>
      </c>
      <c r="K202" s="2923" t="s">
        <v>9622</v>
      </c>
      <c r="L202" s="2583">
        <v>766</v>
      </c>
      <c r="M202" s="2496" t="s">
        <v>5392</v>
      </c>
      <c r="N202" s="2391"/>
      <c r="O202" s="1775" t="s">
        <v>9623</v>
      </c>
      <c r="P202" s="1790">
        <v>3</v>
      </c>
      <c r="Q202" s="1790"/>
    </row>
    <row r="203" spans="1:26" s="2643" customFormat="1" ht="58.6" customHeight="1">
      <c r="A203" s="3784"/>
      <c r="B203" s="1900" t="str">
        <f t="shared" si="6"/>
        <v>2200002113</v>
      </c>
      <c r="C203" s="1493" t="s">
        <v>6893</v>
      </c>
      <c r="D203" s="1826"/>
      <c r="E203" s="1495"/>
      <c r="F203" s="1493" t="s">
        <v>24</v>
      </c>
      <c r="G203" s="1495"/>
      <c r="H203" s="1495"/>
      <c r="I203" s="1493" t="s">
        <v>65</v>
      </c>
      <c r="J203" s="1493" t="s">
        <v>142</v>
      </c>
      <c r="K203" s="1600" t="s">
        <v>9624</v>
      </c>
      <c r="L203" s="2357">
        <v>3800</v>
      </c>
      <c r="M203" s="2749" t="s">
        <v>9625</v>
      </c>
      <c r="N203" s="1493"/>
      <c r="O203" s="1843"/>
      <c r="P203" s="1790">
        <v>3</v>
      </c>
      <c r="Q203" s="1790"/>
      <c r="R203" s="1467"/>
      <c r="S203" s="1467"/>
      <c r="T203" s="1467"/>
      <c r="U203" s="1467"/>
      <c r="V203" s="1467"/>
      <c r="W203" s="1467"/>
      <c r="X203" s="1467"/>
      <c r="Y203" s="1467"/>
      <c r="Z203" s="1467"/>
    </row>
    <row r="204" spans="1:26" s="2912" customFormat="1" ht="58.6" customHeight="1">
      <c r="A204" s="2909"/>
      <c r="B204" s="2910" t="str">
        <f t="shared" si="6"/>
        <v>2000003171</v>
      </c>
      <c r="C204" s="2733" t="s">
        <v>2509</v>
      </c>
      <c r="D204" s="2911">
        <v>100</v>
      </c>
      <c r="E204" s="2735" t="s">
        <v>9626</v>
      </c>
      <c r="F204" s="2733" t="s">
        <v>24</v>
      </c>
      <c r="G204" s="2735"/>
      <c r="H204" s="2735" t="s">
        <v>292</v>
      </c>
      <c r="I204" s="2735" t="s">
        <v>65</v>
      </c>
      <c r="J204" s="2733" t="s">
        <v>1653</v>
      </c>
      <c r="K204" s="2736" t="s">
        <v>9627</v>
      </c>
      <c r="L204" s="2737">
        <v>100</v>
      </c>
      <c r="M204" s="2817" t="s">
        <v>5392</v>
      </c>
      <c r="N204" s="2733"/>
      <c r="O204" s="2738"/>
      <c r="P204" s="2739">
        <v>3</v>
      </c>
      <c r="Q204" s="2739"/>
    </row>
    <row r="205" spans="1:26" s="2912" customFormat="1" ht="58.6" customHeight="1">
      <c r="A205" s="2913"/>
      <c r="B205" s="2910" t="str">
        <f t="shared" si="6"/>
        <v>2000003170</v>
      </c>
      <c r="C205" s="2733" t="s">
        <v>2509</v>
      </c>
      <c r="D205" s="2911">
        <v>550</v>
      </c>
      <c r="E205" s="2735" t="s">
        <v>9626</v>
      </c>
      <c r="F205" s="2733" t="s">
        <v>24</v>
      </c>
      <c r="G205" s="2735"/>
      <c r="H205" s="2735" t="s">
        <v>292</v>
      </c>
      <c r="I205" s="2735" t="s">
        <v>65</v>
      </c>
      <c r="J205" s="2733" t="s">
        <v>1653</v>
      </c>
      <c r="K205" s="2740" t="s">
        <v>9628</v>
      </c>
      <c r="L205" s="2740">
        <v>550</v>
      </c>
      <c r="M205" s="2817" t="s">
        <v>5392</v>
      </c>
      <c r="N205" s="2733"/>
      <c r="O205" s="2738"/>
      <c r="P205" s="2739">
        <v>3</v>
      </c>
      <c r="Q205" s="2739"/>
    </row>
    <row r="206" spans="1:26" s="2916" customFormat="1" ht="58.6" customHeight="1">
      <c r="A206" s="2914"/>
      <c r="B206" s="2910" t="str">
        <f t="shared" si="6"/>
        <v>2000003022</v>
      </c>
      <c r="C206" s="2733" t="s">
        <v>2509</v>
      </c>
      <c r="D206" s="2911">
        <v>300</v>
      </c>
      <c r="E206" s="2735" t="s">
        <v>9629</v>
      </c>
      <c r="F206" s="2733" t="s">
        <v>24</v>
      </c>
      <c r="G206" s="2735"/>
      <c r="H206" s="2735" t="s">
        <v>292</v>
      </c>
      <c r="I206" s="2735" t="s">
        <v>65</v>
      </c>
      <c r="J206" s="2733" t="s">
        <v>1653</v>
      </c>
      <c r="K206" s="2736" t="s">
        <v>9630</v>
      </c>
      <c r="L206" s="2737">
        <v>300</v>
      </c>
      <c r="M206" s="2817" t="s">
        <v>5392</v>
      </c>
      <c r="N206" s="2733"/>
      <c r="O206" s="2915"/>
      <c r="P206" s="2739">
        <v>1</v>
      </c>
      <c r="Q206" s="2739"/>
    </row>
    <row r="207" spans="1:26" s="2916" customFormat="1" ht="58.6" customHeight="1">
      <c r="A207" s="2914"/>
      <c r="B207" s="2910" t="str">
        <f t="shared" si="6"/>
        <v>2200002102</v>
      </c>
      <c r="C207" s="2733" t="s">
        <v>2509</v>
      </c>
      <c r="D207" s="2737">
        <v>1038</v>
      </c>
      <c r="E207" s="2735" t="s">
        <v>9631</v>
      </c>
      <c r="F207" s="2733" t="s">
        <v>24</v>
      </c>
      <c r="G207" s="2735"/>
      <c r="H207" s="2735" t="s">
        <v>292</v>
      </c>
      <c r="I207" s="2735" t="s">
        <v>65</v>
      </c>
      <c r="J207" s="2733" t="s">
        <v>275</v>
      </c>
      <c r="K207" s="2736" t="s">
        <v>9632</v>
      </c>
      <c r="L207" s="2737">
        <v>1038</v>
      </c>
      <c r="M207" s="2817" t="s">
        <v>9329</v>
      </c>
      <c r="N207" s="2733"/>
      <c r="O207" s="2915"/>
      <c r="P207" s="2739">
        <v>1</v>
      </c>
      <c r="Q207" s="2739"/>
    </row>
    <row r="208" spans="1:26" s="2916" customFormat="1" ht="58.6" customHeight="1">
      <c r="A208" s="2914"/>
      <c r="B208" s="2910" t="str">
        <f t="shared" si="6"/>
        <v>2200002103</v>
      </c>
      <c r="C208" s="2733" t="s">
        <v>2509</v>
      </c>
      <c r="D208" s="2737">
        <v>1093</v>
      </c>
      <c r="E208" s="2735" t="s">
        <v>9633</v>
      </c>
      <c r="F208" s="2733" t="s">
        <v>24</v>
      </c>
      <c r="G208" s="2735"/>
      <c r="H208" s="2735" t="s">
        <v>292</v>
      </c>
      <c r="I208" s="2735" t="s">
        <v>65</v>
      </c>
      <c r="J208" s="2733" t="s">
        <v>275</v>
      </c>
      <c r="K208" s="2736" t="s">
        <v>9634</v>
      </c>
      <c r="L208" s="2737">
        <v>1093</v>
      </c>
      <c r="M208" s="2817" t="s">
        <v>5392</v>
      </c>
      <c r="N208" s="2733"/>
      <c r="O208" s="2915"/>
      <c r="P208" s="2739">
        <v>1</v>
      </c>
      <c r="Q208" s="2739"/>
    </row>
    <row r="209" spans="1:26" s="2916" customFormat="1" ht="58.6" customHeight="1">
      <c r="A209" s="2914"/>
      <c r="B209" s="2910" t="str">
        <f t="shared" si="6"/>
        <v>2000003236</v>
      </c>
      <c r="C209" s="2733" t="s">
        <v>2509</v>
      </c>
      <c r="D209" s="2737">
        <v>400</v>
      </c>
      <c r="E209" s="2735" t="s">
        <v>9635</v>
      </c>
      <c r="F209" s="2733" t="s">
        <v>24</v>
      </c>
      <c r="G209" s="2735"/>
      <c r="H209" s="2735"/>
      <c r="I209" s="2735" t="s">
        <v>65</v>
      </c>
      <c r="J209" s="2733" t="s">
        <v>275</v>
      </c>
      <c r="K209" s="2736" t="s">
        <v>8609</v>
      </c>
      <c r="L209" s="2737">
        <v>400</v>
      </c>
      <c r="M209" s="2817" t="s">
        <v>5392</v>
      </c>
      <c r="N209" s="2733"/>
      <c r="O209" s="2915"/>
      <c r="P209" s="2739">
        <v>3</v>
      </c>
      <c r="Q209" s="2739"/>
    </row>
    <row r="210" spans="1:26" s="2916" customFormat="1" ht="58.6" customHeight="1">
      <c r="A210" s="2914"/>
      <c r="B210" s="2910" t="str">
        <f t="shared" si="6"/>
        <v>2200002128</v>
      </c>
      <c r="C210" s="2733" t="s">
        <v>2509</v>
      </c>
      <c r="D210" s="2737">
        <v>1400</v>
      </c>
      <c r="E210" s="2735" t="s">
        <v>9636</v>
      </c>
      <c r="F210" s="2733" t="s">
        <v>24</v>
      </c>
      <c r="G210" s="2735"/>
      <c r="H210" s="2735" t="s">
        <v>292</v>
      </c>
      <c r="I210" s="2735" t="s">
        <v>65</v>
      </c>
      <c r="J210" s="2733" t="s">
        <v>275</v>
      </c>
      <c r="K210" s="2736" t="s">
        <v>9637</v>
      </c>
      <c r="L210" s="2737">
        <v>1400</v>
      </c>
      <c r="M210" s="2817" t="s">
        <v>9329</v>
      </c>
      <c r="N210" s="2733"/>
      <c r="O210" s="2915"/>
      <c r="P210" s="2739">
        <v>3</v>
      </c>
      <c r="Q210" s="2739"/>
    </row>
    <row r="211" spans="1:26" s="2916" customFormat="1" ht="58.6" customHeight="1">
      <c r="A211" s="2914"/>
      <c r="B211" s="2910" t="str">
        <f t="shared" si="6"/>
        <v>2200002129</v>
      </c>
      <c r="C211" s="2733" t="s">
        <v>2509</v>
      </c>
      <c r="D211" s="2737">
        <v>815</v>
      </c>
      <c r="E211" s="2735" t="s">
        <v>9636</v>
      </c>
      <c r="F211" s="2733" t="s">
        <v>24</v>
      </c>
      <c r="G211" s="2735"/>
      <c r="H211" s="2735" t="s">
        <v>292</v>
      </c>
      <c r="I211" s="2735" t="s">
        <v>65</v>
      </c>
      <c r="J211" s="2733" t="s">
        <v>275</v>
      </c>
      <c r="K211" s="2736" t="s">
        <v>9638</v>
      </c>
      <c r="L211" s="2737">
        <v>815</v>
      </c>
      <c r="M211" s="2817" t="s">
        <v>9329</v>
      </c>
      <c r="N211" s="2733"/>
      <c r="O211" s="2915"/>
      <c r="P211" s="2739">
        <v>3</v>
      </c>
      <c r="Q211" s="2739"/>
    </row>
    <row r="212" spans="1:26" s="2916" customFormat="1" ht="58.6" customHeight="1">
      <c r="A212" s="2914"/>
      <c r="B212" s="2910" t="str">
        <f t="shared" si="6"/>
        <v>2000003248</v>
      </c>
      <c r="C212" s="2733" t="s">
        <v>2509</v>
      </c>
      <c r="D212" s="2737">
        <v>100</v>
      </c>
      <c r="E212" s="2735" t="s">
        <v>9639</v>
      </c>
      <c r="F212" s="2733" t="s">
        <v>24</v>
      </c>
      <c r="G212" s="2735"/>
      <c r="H212" s="2735" t="s">
        <v>292</v>
      </c>
      <c r="I212" s="2735" t="s">
        <v>65</v>
      </c>
      <c r="J212" s="2733" t="s">
        <v>275</v>
      </c>
      <c r="K212" s="2736" t="s">
        <v>8607</v>
      </c>
      <c r="L212" s="2737">
        <v>100</v>
      </c>
      <c r="M212" s="2817" t="s">
        <v>5392</v>
      </c>
      <c r="N212" s="2733"/>
      <c r="O212" s="2915"/>
      <c r="P212" s="2739">
        <v>3</v>
      </c>
      <c r="Q212" s="2739"/>
    </row>
    <row r="213" spans="1:26" s="1777" customFormat="1" ht="58.6"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6"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6"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6" customHeight="1"/>
    <row r="217" spans="1:26" s="1777" customFormat="1" ht="58.6" customHeight="1"/>
    <row r="218" spans="1:26" s="2167" customFormat="1" ht="70.5" customHeight="1"/>
    <row r="219" spans="1:26" s="2167" customFormat="1" ht="59.3" customHeight="1"/>
    <row r="220" spans="1:26" s="2167" customFormat="1" ht="59.3" customHeight="1"/>
    <row r="221" spans="1:26" s="2167" customFormat="1" ht="59.3" customHeight="1"/>
    <row r="222" spans="1:26" s="1777" customFormat="1" ht="70.5" customHeight="1"/>
    <row r="223" spans="1:26" s="1777" customFormat="1" ht="58.6" customHeight="1"/>
    <row r="224" spans="1:26" s="1777" customFormat="1" ht="58.6" customHeight="1"/>
    <row r="225" spans="1:17" s="2167" customFormat="1" ht="58.6" customHeight="1"/>
    <row r="226" spans="1:17" s="1777" customFormat="1" ht="58.6"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6"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6"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6"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6"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6"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6"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6"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6"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6"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6" customHeight="1">
      <c r="A236" s="2813"/>
      <c r="B236" s="2013"/>
      <c r="D236" s="1167"/>
      <c r="E236" s="1030"/>
      <c r="F236" s="102"/>
      <c r="G236" s="109"/>
      <c r="H236" s="109"/>
      <c r="I236" s="102"/>
      <c r="J236" s="109"/>
      <c r="K236" s="143"/>
      <c r="L236" s="2216"/>
      <c r="M236" s="1853"/>
      <c r="N236" s="102"/>
      <c r="O236" s="2389"/>
      <c r="P236" s="1853"/>
      <c r="Q236" s="1853"/>
    </row>
    <row r="237" spans="1:17" s="2167" customFormat="1" ht="58.6"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6"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6"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6"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6"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6"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6"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6"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6"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6"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6" customHeight="1">
      <c r="A247" s="2831"/>
      <c r="B247" s="2013"/>
      <c r="D247" s="1148"/>
      <c r="E247" s="1030"/>
      <c r="F247" s="144"/>
      <c r="G247" s="109"/>
      <c r="H247" s="109"/>
      <c r="I247" s="102"/>
      <c r="J247" s="109"/>
      <c r="K247" s="143"/>
      <c r="L247" s="2644"/>
      <c r="M247" s="109"/>
      <c r="N247" s="102"/>
      <c r="O247" s="2389"/>
      <c r="P247" s="1853"/>
      <c r="Q247" s="2794"/>
    </row>
    <row r="248" spans="1:17" s="1777" customFormat="1" ht="58.6" customHeight="1">
      <c r="A248" s="2831"/>
      <c r="B248" s="2013"/>
      <c r="D248" s="1148"/>
      <c r="E248" s="1030"/>
      <c r="F248" s="144"/>
      <c r="G248" s="109"/>
      <c r="H248" s="109"/>
      <c r="I248" s="102"/>
      <c r="J248" s="109"/>
      <c r="K248" s="143"/>
      <c r="L248" s="2644"/>
      <c r="M248" s="102"/>
      <c r="N248" s="102"/>
      <c r="O248" s="2389"/>
      <c r="P248" s="1853"/>
      <c r="Q248" s="1790"/>
    </row>
    <row r="249" spans="1:17" s="1777" customFormat="1" ht="58.6" customHeight="1">
      <c r="A249" s="2831"/>
      <c r="B249" s="2013"/>
      <c r="D249" s="1148"/>
      <c r="E249" s="1030"/>
      <c r="F249" s="144"/>
      <c r="G249" s="109"/>
      <c r="H249" s="109"/>
      <c r="I249" s="109"/>
      <c r="J249" s="109"/>
      <c r="K249" s="143"/>
      <c r="L249" s="2644"/>
      <c r="M249" s="1853"/>
      <c r="N249" s="102"/>
      <c r="O249" s="2389"/>
      <c r="P249" s="1853"/>
      <c r="Q249" s="1790"/>
    </row>
    <row r="250" spans="1:17" s="1777" customFormat="1" ht="58.6" customHeight="1">
      <c r="A250" s="2831"/>
      <c r="B250" s="2013"/>
      <c r="D250" s="1148"/>
      <c r="E250" s="1030"/>
      <c r="F250" s="144"/>
      <c r="G250" s="109"/>
      <c r="H250" s="109"/>
      <c r="I250" s="109"/>
      <c r="J250" s="109"/>
      <c r="K250" s="143"/>
      <c r="L250" s="2644"/>
      <c r="M250" s="1853"/>
      <c r="N250" s="102"/>
      <c r="O250" s="2389"/>
      <c r="P250" s="1853"/>
      <c r="Q250" s="1790"/>
    </row>
    <row r="251" spans="1:17" s="1777" customFormat="1" ht="58.6" customHeight="1">
      <c r="A251" s="2831"/>
      <c r="B251" s="2013"/>
      <c r="D251" s="1148"/>
      <c r="E251" s="1030"/>
      <c r="F251" s="144"/>
      <c r="G251" s="109"/>
      <c r="H251" s="109"/>
      <c r="I251" s="109"/>
      <c r="J251" s="109"/>
      <c r="K251" s="143"/>
      <c r="L251" s="2644"/>
      <c r="M251" s="1853"/>
      <c r="N251" s="102"/>
      <c r="O251" s="2389"/>
      <c r="P251" s="1853"/>
      <c r="Q251" s="1790"/>
    </row>
    <row r="252" spans="1:17" s="1777" customFormat="1" ht="58.6" customHeight="1">
      <c r="A252" s="2831"/>
      <c r="B252" s="2013"/>
      <c r="D252" s="1148"/>
      <c r="E252" s="1030"/>
      <c r="F252" s="102"/>
      <c r="G252" s="109"/>
      <c r="H252" s="109"/>
      <c r="I252" s="102"/>
      <c r="J252" s="109"/>
      <c r="K252" s="143"/>
      <c r="L252" s="2644"/>
      <c r="M252" s="102"/>
      <c r="N252" s="102"/>
      <c r="O252" s="2389"/>
      <c r="P252" s="1853"/>
      <c r="Q252" s="1790"/>
    </row>
    <row r="253" spans="1:17" s="1777" customFormat="1" ht="58.6" customHeight="1">
      <c r="A253" s="2831"/>
      <c r="B253" s="2013"/>
      <c r="D253" s="1148"/>
      <c r="E253" s="1030"/>
      <c r="F253" s="102"/>
      <c r="G253" s="109"/>
      <c r="H253" s="109"/>
      <c r="I253" s="102"/>
      <c r="J253" s="109"/>
      <c r="K253" s="143"/>
      <c r="L253" s="2644"/>
      <c r="M253" s="1853"/>
      <c r="N253" s="102"/>
      <c r="O253" s="2389"/>
      <c r="P253" s="1853"/>
      <c r="Q253" s="1790"/>
    </row>
    <row r="254" spans="1:17" s="1777" customFormat="1" ht="58.6" customHeight="1">
      <c r="A254" s="2831"/>
      <c r="B254" s="2013"/>
      <c r="C254" s="2167"/>
      <c r="F254" s="102"/>
      <c r="I254" s="102"/>
      <c r="J254" s="102"/>
      <c r="K254" s="1030"/>
      <c r="L254" s="2790"/>
      <c r="M254" s="1853"/>
      <c r="P254" s="102"/>
      <c r="Q254" s="1790"/>
    </row>
    <row r="255" spans="1:17" s="1777" customFormat="1" ht="58.6" customHeight="1">
      <c r="A255" s="874"/>
      <c r="B255" s="111"/>
      <c r="D255" s="1148"/>
      <c r="E255" s="1030"/>
      <c r="F255" s="102"/>
      <c r="G255" s="109"/>
      <c r="H255" s="109"/>
      <c r="I255" s="109"/>
      <c r="J255" s="109"/>
      <c r="K255" s="143"/>
      <c r="L255" s="2644"/>
      <c r="M255" s="1853"/>
      <c r="N255" s="102"/>
      <c r="O255" s="2389"/>
      <c r="P255" s="1853"/>
      <c r="Q255" s="1790"/>
    </row>
    <row r="256" spans="1:17" s="1777" customFormat="1" ht="58.6"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6" customHeight="1">
      <c r="B257" s="2742"/>
      <c r="I257" s="102"/>
      <c r="J257" s="102"/>
      <c r="L257" s="2790"/>
      <c r="M257" s="1853"/>
      <c r="P257" s="102"/>
      <c r="Q257" s="1493"/>
    </row>
    <row r="258" spans="1:17" s="1777" customFormat="1" ht="58.6" customHeight="1">
      <c r="B258" s="2742"/>
      <c r="I258" s="102"/>
      <c r="J258" s="102"/>
      <c r="L258" s="2790"/>
      <c r="M258" s="1853"/>
      <c r="O258" s="2389"/>
      <c r="P258" s="1853"/>
      <c r="Q258" s="1493"/>
    </row>
    <row r="259" spans="1:17" s="1777" customFormat="1" ht="58.6" customHeight="1">
      <c r="A259" s="738"/>
      <c r="B259" s="111"/>
      <c r="D259" s="1167"/>
      <c r="E259" s="1030"/>
      <c r="F259" s="102"/>
      <c r="G259" s="109"/>
      <c r="H259" s="109"/>
      <c r="I259" s="102"/>
      <c r="J259" s="109"/>
      <c r="K259" s="143"/>
      <c r="L259" s="2216"/>
      <c r="M259" s="109"/>
      <c r="N259" s="102"/>
      <c r="O259" s="2389"/>
      <c r="P259" s="1853"/>
      <c r="Q259" s="1493"/>
    </row>
    <row r="260" spans="1:17" s="1777" customFormat="1" ht="58.6" customHeight="1">
      <c r="A260" s="738"/>
      <c r="B260" s="111"/>
      <c r="D260" s="1167"/>
      <c r="E260" s="1030"/>
      <c r="F260" s="102"/>
      <c r="G260" s="109"/>
      <c r="H260" s="109"/>
      <c r="I260" s="102"/>
      <c r="J260" s="109"/>
      <c r="K260" s="143"/>
      <c r="L260" s="2216"/>
      <c r="M260" s="109"/>
      <c r="N260" s="102"/>
      <c r="O260" s="2389"/>
      <c r="P260" s="1853"/>
      <c r="Q260" s="1790"/>
    </row>
    <row r="261" spans="1:17" s="1777" customFormat="1" ht="58.6" customHeight="1">
      <c r="A261" s="738"/>
      <c r="B261" s="111"/>
      <c r="D261" s="1167"/>
      <c r="E261" s="1030"/>
      <c r="F261" s="102"/>
      <c r="G261" s="109"/>
      <c r="H261" s="109"/>
      <c r="I261" s="102"/>
      <c r="J261" s="109"/>
      <c r="K261" s="143"/>
      <c r="L261" s="2216"/>
      <c r="M261" s="109"/>
      <c r="N261" s="102"/>
      <c r="O261" s="2389"/>
      <c r="P261" s="1853"/>
      <c r="Q261" s="1790"/>
    </row>
    <row r="262" spans="1:17" s="1777" customFormat="1" ht="58.6" customHeight="1">
      <c r="A262" s="738"/>
      <c r="B262" s="111"/>
      <c r="D262" s="1167"/>
      <c r="E262" s="1030"/>
      <c r="F262" s="102"/>
      <c r="G262" s="109"/>
      <c r="H262" s="109"/>
      <c r="I262" s="102"/>
      <c r="J262" s="109"/>
      <c r="K262" s="696"/>
      <c r="L262" s="2216"/>
      <c r="M262" s="109"/>
      <c r="N262" s="102"/>
      <c r="O262" s="157"/>
      <c r="P262" s="1853"/>
      <c r="Q262" s="1790"/>
    </row>
    <row r="263" spans="1:17" s="1777" customFormat="1" ht="58.6" customHeight="1">
      <c r="A263" s="738"/>
      <c r="B263" s="111"/>
      <c r="D263" s="1167"/>
      <c r="E263" s="1030"/>
      <c r="F263" s="102"/>
      <c r="G263" s="109"/>
      <c r="H263" s="109"/>
      <c r="I263" s="102"/>
      <c r="J263" s="109"/>
      <c r="K263" s="143"/>
      <c r="L263" s="2216"/>
      <c r="M263" s="109"/>
      <c r="N263" s="102"/>
      <c r="O263" s="2389"/>
      <c r="P263" s="1853"/>
      <c r="Q263" s="1790"/>
    </row>
    <row r="264" spans="1:17" s="1777" customFormat="1" ht="58.6" customHeight="1">
      <c r="A264" s="738"/>
      <c r="B264" s="111"/>
      <c r="D264" s="1167"/>
      <c r="E264" s="1030"/>
      <c r="F264" s="102"/>
      <c r="G264" s="109"/>
      <c r="H264" s="109"/>
      <c r="I264" s="102"/>
      <c r="J264" s="109"/>
      <c r="K264" s="696"/>
      <c r="L264" s="2216"/>
      <c r="M264" s="102"/>
      <c r="N264" s="102"/>
      <c r="O264" s="2389"/>
      <c r="P264" s="1853"/>
      <c r="Q264" s="1790"/>
    </row>
    <row r="265" spans="1:17" s="1777" customFormat="1" ht="58.6" customHeight="1">
      <c r="A265" s="738"/>
      <c r="B265" s="111"/>
      <c r="D265" s="1167"/>
      <c r="E265" s="1030"/>
      <c r="F265" s="102"/>
      <c r="G265" s="109"/>
      <c r="H265" s="109"/>
      <c r="I265" s="102"/>
      <c r="J265" s="109"/>
      <c r="K265" s="696"/>
      <c r="L265" s="2216"/>
      <c r="M265" s="102"/>
      <c r="N265" s="102"/>
      <c r="O265" s="2389"/>
      <c r="P265" s="1853"/>
      <c r="Q265" s="1790"/>
    </row>
    <row r="266" spans="1:17" ht="58.6" customHeight="1">
      <c r="A266" s="1777"/>
      <c r="B266" s="111"/>
      <c r="C266" s="1777"/>
      <c r="D266" s="1777"/>
      <c r="E266" s="1777"/>
      <c r="F266" s="1777"/>
      <c r="G266" s="1777"/>
      <c r="H266" s="1777"/>
      <c r="I266" s="102"/>
      <c r="J266" s="102"/>
      <c r="K266" s="1777"/>
      <c r="L266" s="2790"/>
      <c r="M266" s="2446"/>
      <c r="N266" s="1777"/>
      <c r="O266" s="1777"/>
      <c r="P266" s="102"/>
      <c r="Q266" s="1790"/>
    </row>
    <row r="267" spans="1:17" ht="58.6" customHeight="1">
      <c r="Q267" s="1790"/>
    </row>
    <row r="268" spans="1:17" ht="58.6" customHeight="1">
      <c r="Q268" s="1790"/>
    </row>
    <row r="269" spans="1:17" ht="58.6" customHeight="1">
      <c r="Q269" s="1790"/>
    </row>
    <row r="270" spans="1:17" ht="58.6" customHeight="1">
      <c r="Q270" s="1790"/>
    </row>
    <row r="271" spans="1:17" ht="58.6" customHeight="1">
      <c r="Q271" s="1790"/>
    </row>
    <row r="272" spans="1:17" ht="58.6" customHeight="1">
      <c r="Q272" s="1790"/>
    </row>
    <row r="273" spans="17:17" ht="58.6" customHeight="1">
      <c r="Q273" s="1790"/>
    </row>
    <row r="274" spans="17:17" ht="58.6" customHeight="1">
      <c r="Q274" s="1790"/>
    </row>
    <row r="275" spans="17:17" ht="58.6" customHeight="1">
      <c r="Q275" s="1790"/>
    </row>
    <row r="276" spans="17:17" ht="58.6" customHeight="1">
      <c r="Q276" s="1790"/>
    </row>
    <row r="277" spans="17:17" ht="58.6" customHeight="1">
      <c r="Q277" s="1790"/>
    </row>
    <row r="278" spans="17:17" ht="58.6" customHeight="1">
      <c r="Q278" s="1790"/>
    </row>
    <row r="279" spans="17:17" ht="58.6" customHeight="1">
      <c r="Q279" s="1790"/>
    </row>
    <row r="280" spans="17:17" ht="58.6" customHeight="1">
      <c r="Q280" s="1790"/>
    </row>
    <row r="281" spans="17:17" ht="58.6" customHeight="1">
      <c r="Q281" s="1790"/>
    </row>
    <row r="282" spans="17:17" ht="58.6" customHeight="1">
      <c r="Q282" s="1790"/>
    </row>
    <row r="283" spans="17:17" ht="58.6" customHeight="1">
      <c r="Q283" s="1790"/>
    </row>
    <row r="284" spans="17:17" ht="58.6" customHeight="1">
      <c r="Q284" s="1790"/>
    </row>
    <row r="285" spans="17:17" ht="58.6" customHeight="1">
      <c r="Q285" s="1790"/>
    </row>
    <row r="286" spans="17:17" ht="58.6" customHeight="1">
      <c r="Q286" s="1790"/>
    </row>
    <row r="287" spans="17:17" ht="58.6" customHeight="1">
      <c r="Q287" s="1790"/>
    </row>
    <row r="288" spans="17:17" ht="58.6" customHeight="1">
      <c r="Q288" s="1790"/>
    </row>
    <row r="289" spans="17:17" ht="58.6" customHeight="1">
      <c r="Q289" s="1790"/>
    </row>
    <row r="290" spans="17:17" ht="58.6" customHeight="1">
      <c r="Q290" s="1790"/>
    </row>
    <row r="291" spans="17:17" ht="58.6" customHeight="1">
      <c r="Q291" s="1790"/>
    </row>
    <row r="292" spans="17:17" ht="58.6" customHeight="1">
      <c r="Q292" s="1790"/>
    </row>
    <row r="293" spans="17:17" ht="58.6" customHeight="1">
      <c r="Q293" s="1790"/>
    </row>
    <row r="294" spans="17:17" ht="58.6" customHeight="1">
      <c r="Q294" s="1790"/>
    </row>
    <row r="295" spans="17:17" ht="58.6" customHeight="1">
      <c r="Q295" s="1790"/>
    </row>
    <row r="296" spans="17:17" ht="58.6" customHeight="1">
      <c r="Q296" s="1790"/>
    </row>
    <row r="297" spans="17:17" ht="58.6" customHeight="1">
      <c r="Q297" s="1790"/>
    </row>
    <row r="298" spans="17:17" ht="58.6" customHeight="1">
      <c r="Q298" s="1790"/>
    </row>
    <row r="299" spans="17:17" ht="58.6" customHeight="1">
      <c r="Q299" s="1790"/>
    </row>
    <row r="300" spans="17:17" ht="58.6" customHeight="1">
      <c r="Q300" s="1852"/>
    </row>
    <row r="301" spans="17:17" ht="58.6" customHeight="1">
      <c r="Q301" s="1790"/>
    </row>
    <row r="302" spans="17:17" ht="58.6" customHeight="1">
      <c r="Q302" s="1852"/>
    </row>
    <row r="303" spans="17:17" ht="58.6" customHeight="1">
      <c r="Q303" s="1790"/>
    </row>
    <row r="304" spans="17:17" ht="58.6" customHeight="1">
      <c r="Q304" s="1790"/>
    </row>
    <row r="305" spans="17:17" ht="58.6" customHeight="1">
      <c r="Q305" s="1882"/>
    </row>
    <row r="306" spans="17:17" ht="58.6" customHeight="1">
      <c r="Q306" s="1790"/>
    </row>
    <row r="307" spans="17:17" ht="58.6" customHeight="1">
      <c r="Q307" s="1790"/>
    </row>
    <row r="308" spans="17:17" ht="58.6" customHeight="1">
      <c r="Q308" s="1790"/>
    </row>
    <row r="309" spans="17:17" ht="58.6" customHeight="1">
      <c r="Q309" s="1790"/>
    </row>
    <row r="310" spans="17:17" ht="58.6" customHeight="1">
      <c r="Q310" s="1790"/>
    </row>
    <row r="311" spans="17:17" ht="58.6" customHeight="1">
      <c r="Q311" s="1790"/>
    </row>
    <row r="312" spans="17:17" ht="58.6" customHeight="1">
      <c r="Q312" s="1790"/>
    </row>
    <row r="313" spans="17:17" ht="58.6" customHeight="1">
      <c r="Q313" s="1790"/>
    </row>
    <row r="314" spans="17:17" ht="58.6" customHeight="1">
      <c r="Q314" s="1790"/>
    </row>
    <row r="315" spans="17:17" ht="58.6" customHeight="1">
      <c r="Q315" s="1790"/>
    </row>
    <row r="316" spans="17:17" ht="58.6" customHeight="1">
      <c r="Q316" s="1790"/>
    </row>
    <row r="317" spans="17:17" ht="58.6" customHeight="1">
      <c r="Q317" s="1790"/>
    </row>
    <row r="318" spans="17:17" ht="58.6" customHeight="1">
      <c r="Q318" s="1790"/>
    </row>
    <row r="319" spans="17:17" ht="58.6" customHeight="1">
      <c r="Q319" s="1790"/>
    </row>
    <row r="320" spans="17:17" ht="58.6" customHeight="1">
      <c r="Q320" s="1790"/>
    </row>
    <row r="321" spans="17:17" ht="58.6" customHeight="1">
      <c r="Q321" s="1790"/>
    </row>
    <row r="322" spans="17:17" ht="58.6" customHeight="1">
      <c r="Q322" s="1790"/>
    </row>
    <row r="323" spans="17:17" ht="58.6" customHeight="1">
      <c r="Q323" s="1790"/>
    </row>
    <row r="324" spans="17:17" ht="58.6" customHeight="1">
      <c r="Q324" s="1790"/>
    </row>
    <row r="325" spans="17:17" ht="58.6" customHeight="1">
      <c r="Q325" s="1790"/>
    </row>
    <row r="326" spans="17:17" ht="58.6" customHeight="1">
      <c r="Q326" s="1790"/>
    </row>
    <row r="327" spans="17:17" ht="58.6" customHeight="1">
      <c r="Q327" s="1790"/>
    </row>
    <row r="328" spans="17:17" ht="58.6" customHeight="1">
      <c r="Q328" s="1790"/>
    </row>
    <row r="329" spans="17:17" ht="58.6" customHeight="1">
      <c r="Q329" s="1790"/>
    </row>
    <row r="330" spans="17:17" ht="58.6" customHeight="1">
      <c r="Q330" s="1790"/>
    </row>
    <row r="331" spans="17:17" ht="58.6" customHeight="1">
      <c r="Q331" s="1790"/>
    </row>
    <row r="332" spans="17:17" ht="58.6" customHeight="1">
      <c r="Q332" s="1790"/>
    </row>
    <row r="333" spans="17:17" ht="58.6" customHeight="1">
      <c r="Q333" s="1790"/>
    </row>
    <row r="334" spans="17:17" ht="58.6" customHeight="1">
      <c r="Q334" s="1790"/>
    </row>
    <row r="335" spans="17:17" ht="58.6" customHeight="1">
      <c r="Q335" s="1790"/>
    </row>
    <row r="336" spans="17:17" ht="58.6" customHeight="1">
      <c r="Q336" s="1790"/>
    </row>
    <row r="337" spans="17:17" ht="58.6" customHeight="1">
      <c r="Q337" s="1790"/>
    </row>
    <row r="338" spans="17:17" ht="58.6" customHeight="1">
      <c r="Q338" s="1790"/>
    </row>
    <row r="339" spans="17:17" ht="58.6" customHeight="1">
      <c r="Q339" s="1790"/>
    </row>
    <row r="340" spans="17:17" ht="58.6" customHeight="1">
      <c r="Q340" s="1790"/>
    </row>
    <row r="341" spans="17:17" ht="58.6" customHeight="1">
      <c r="Q341" s="1790"/>
    </row>
    <row r="342" spans="17:17" ht="58.6" customHeight="1">
      <c r="Q342" s="1790"/>
    </row>
    <row r="343" spans="17:17" ht="58.6" customHeight="1">
      <c r="Q343" s="1790"/>
    </row>
    <row r="344" spans="17:17" ht="58.6" customHeight="1">
      <c r="Q344" s="1790"/>
    </row>
    <row r="345" spans="17:17" ht="58.6" customHeight="1">
      <c r="Q345" s="1790"/>
    </row>
    <row r="346" spans="17:17" ht="58.6" customHeight="1">
      <c r="Q346" s="1790"/>
    </row>
    <row r="347" spans="17:17" ht="58.6" customHeight="1">
      <c r="Q347" s="1790"/>
    </row>
    <row r="348" spans="17:17" ht="58.6" customHeight="1">
      <c r="Q348" s="1790"/>
    </row>
    <row r="349" spans="17:17" ht="58.6" customHeight="1">
      <c r="Q349" s="1790"/>
    </row>
    <row r="350" spans="17:17" ht="58.6" customHeight="1">
      <c r="Q350" s="1790"/>
    </row>
    <row r="351" spans="17:17" ht="58.6" customHeight="1">
      <c r="Q351" s="1790"/>
    </row>
    <row r="352" spans="17:17" ht="58.6" customHeight="1">
      <c r="Q352" s="1790"/>
    </row>
    <row r="353" spans="17:17" ht="58.6" customHeight="1">
      <c r="Q353" s="1790"/>
    </row>
    <row r="354" spans="17:17" ht="58.6" customHeight="1">
      <c r="Q354" s="1790"/>
    </row>
    <row r="355" spans="17:17" ht="58.6" customHeight="1">
      <c r="Q355" s="1790"/>
    </row>
    <row r="356" spans="17:17" ht="58.6" customHeight="1">
      <c r="Q356" s="1790"/>
    </row>
    <row r="357" spans="17:17" ht="58.6" customHeight="1">
      <c r="Q357" s="1790"/>
    </row>
    <row r="358" spans="17:17" ht="58.6" customHeight="1">
      <c r="Q358" s="1790"/>
    </row>
    <row r="359" spans="17:17" ht="58.6" customHeight="1">
      <c r="Q359" s="1790"/>
    </row>
    <row r="360" spans="17:17" ht="58.6" customHeight="1">
      <c r="Q360" s="1790"/>
    </row>
    <row r="361" spans="17:17" ht="58.6" customHeight="1">
      <c r="Q361" s="1790"/>
    </row>
    <row r="362" spans="17:17" ht="58.6" customHeight="1">
      <c r="Q362" s="1790"/>
    </row>
    <row r="363" spans="17:17" ht="58.6" customHeight="1">
      <c r="Q363" s="1790"/>
    </row>
    <row r="364" spans="17:17" ht="58.6" customHeight="1">
      <c r="Q364" s="1790"/>
    </row>
    <row r="365" spans="17:17" ht="58.6" customHeight="1">
      <c r="Q365" s="1790"/>
    </row>
    <row r="366" spans="17:17" ht="58.6" customHeight="1">
      <c r="Q366" s="1790"/>
    </row>
    <row r="367" spans="17:17" ht="58.6" customHeight="1">
      <c r="Q367" s="1493"/>
    </row>
    <row r="368" spans="17:17" ht="58.6" customHeight="1">
      <c r="Q368" s="1790"/>
    </row>
    <row r="369" spans="17:17" ht="58.6" customHeight="1">
      <c r="Q369" s="1790"/>
    </row>
    <row r="370" spans="17:17" ht="58.6" customHeight="1">
      <c r="Q370" s="1790"/>
    </row>
    <row r="371" spans="17:17" ht="58.6" customHeight="1">
      <c r="Q371" s="1790"/>
    </row>
    <row r="372" spans="17:17" ht="58.6" customHeight="1">
      <c r="Q372" s="1790"/>
    </row>
    <row r="373" spans="17:17" ht="58.6" customHeight="1">
      <c r="Q373" s="1790"/>
    </row>
    <row r="374" spans="17:17" ht="58.6" customHeight="1">
      <c r="Q374" s="1790"/>
    </row>
    <row r="375" spans="17:17" ht="58.6" customHeight="1">
      <c r="Q375" s="1790"/>
    </row>
    <row r="376" spans="17:17" ht="58.6" customHeight="1">
      <c r="Q376" s="1790"/>
    </row>
    <row r="377" spans="17:17" ht="58.6" customHeight="1">
      <c r="Q377" s="1790"/>
    </row>
    <row r="378" spans="17:17" ht="58.6" customHeight="1">
      <c r="Q378" s="1790"/>
    </row>
    <row r="379" spans="17:17" ht="58.6" customHeight="1">
      <c r="Q379" s="1790"/>
    </row>
    <row r="380" spans="17:17" ht="58.6" customHeight="1">
      <c r="Q380" s="1790"/>
    </row>
    <row r="381" spans="17:17" ht="58.6" customHeight="1">
      <c r="Q381" s="2085"/>
    </row>
    <row r="382" spans="17:17" ht="58.6" customHeight="1">
      <c r="Q382" s="2085"/>
    </row>
    <row r="383" spans="17:17" ht="58.6" customHeight="1">
      <c r="Q383" s="2085"/>
    </row>
    <row r="384" spans="17:17" ht="58.6" customHeight="1">
      <c r="Q384" s="2085"/>
    </row>
    <row r="385" spans="17:17" ht="58.6" customHeight="1">
      <c r="Q385" s="2085"/>
    </row>
    <row r="386" spans="17:17" ht="58.6" customHeight="1">
      <c r="Q386" s="2085"/>
    </row>
    <row r="387" spans="17:17" ht="58.6" customHeight="1">
      <c r="Q387" s="2085"/>
    </row>
    <row r="388" spans="17:17" ht="58.6" customHeight="1">
      <c r="Q388" s="2085"/>
    </row>
    <row r="389" spans="17:17" ht="58.6" customHeight="1">
      <c r="Q389" s="2085"/>
    </row>
    <row r="390" spans="17:17" ht="58.6" customHeight="1">
      <c r="Q390" s="2085"/>
    </row>
    <row r="391" spans="17:17" ht="58.6" customHeight="1">
      <c r="Q391" s="2085"/>
    </row>
    <row r="392" spans="17:17" ht="58.6" customHeight="1">
      <c r="Q392" s="2085"/>
    </row>
    <row r="393" spans="17:17" ht="58.6" customHeight="1">
      <c r="Q393" s="2085"/>
    </row>
    <row r="394" spans="17:17" ht="58.6" customHeight="1">
      <c r="Q394" s="2085"/>
    </row>
    <row r="395" spans="17:17" ht="58.6" customHeight="1">
      <c r="Q395" s="2085"/>
    </row>
    <row r="396" spans="17:17" ht="58.6" customHeight="1">
      <c r="Q396" s="1957"/>
    </row>
    <row r="397" spans="17:17" ht="58.6" customHeight="1">
      <c r="Q397" s="1957"/>
    </row>
    <row r="398" spans="17:17" ht="58.6" customHeight="1">
      <c r="Q398" s="1957"/>
    </row>
    <row r="399" spans="17:17" ht="58.6" customHeight="1">
      <c r="Q399" s="1957"/>
    </row>
    <row r="400" spans="17:17" ht="58.6" customHeight="1">
      <c r="Q400" s="1957"/>
    </row>
    <row r="401" spans="17:17" ht="58.6" customHeight="1">
      <c r="Q401" s="1957"/>
    </row>
    <row r="402" spans="17:17" ht="58.6" customHeight="1">
      <c r="Q402" s="1957"/>
    </row>
    <row r="403" spans="17:17" ht="58.6" customHeight="1">
      <c r="Q403" s="1957"/>
    </row>
    <row r="404" spans="17:17" ht="58.6" customHeight="1">
      <c r="Q404" s="1957"/>
    </row>
    <row r="405" spans="17:17" ht="58.6" customHeight="1">
      <c r="Q405" s="1957"/>
    </row>
    <row r="406" spans="17:17" ht="58.6" customHeight="1">
      <c r="Q406" s="1957"/>
    </row>
    <row r="407" spans="17:17" ht="58.6" customHeight="1">
      <c r="Q407" s="1957"/>
    </row>
    <row r="408" spans="17:17" ht="58.6" customHeight="1">
      <c r="Q408" s="1957"/>
    </row>
    <row r="409" spans="17:17" ht="58.6" customHeight="1">
      <c r="Q409" s="1957"/>
    </row>
    <row r="410" spans="17:17" ht="58.6" customHeight="1">
      <c r="Q410" s="1957"/>
    </row>
    <row r="411" spans="17:17" ht="58.6" customHeight="1">
      <c r="Q411" s="1957"/>
    </row>
    <row r="412" spans="17:17" ht="58.6" customHeight="1">
      <c r="Q412" s="1957"/>
    </row>
    <row r="413" spans="17:17" ht="58.6" customHeight="1">
      <c r="Q413" s="1853"/>
    </row>
    <row r="414" spans="17:17" ht="58.6" customHeight="1">
      <c r="Q414" s="1853"/>
    </row>
    <row r="415" spans="17:17" ht="58.6" customHeight="1">
      <c r="Q415" s="1853"/>
    </row>
    <row r="416" spans="17:17" ht="58.6" customHeight="1">
      <c r="Q416" s="1853"/>
    </row>
    <row r="417" spans="17:17" ht="58.6" customHeight="1">
      <c r="Q417" s="1853"/>
    </row>
    <row r="418" spans="17:17" ht="58.6" customHeight="1">
      <c r="Q418" s="1853"/>
    </row>
    <row r="419" spans="17:17" ht="58.6" customHeight="1">
      <c r="Q419" s="1853"/>
    </row>
    <row r="420" spans="17:17" ht="58.6" customHeight="1">
      <c r="Q420" s="1853"/>
    </row>
    <row r="421" spans="17:17" ht="58.6" customHeight="1">
      <c r="Q421" s="1853"/>
    </row>
    <row r="422" spans="17:17" ht="58.6" customHeight="1">
      <c r="Q422" s="1853"/>
    </row>
    <row r="423" spans="17:17" ht="58.6" customHeight="1">
      <c r="Q423" s="1853"/>
    </row>
    <row r="424" spans="17:17" ht="58.6" customHeight="1">
      <c r="Q424" s="1853"/>
    </row>
    <row r="425" spans="17:17" ht="58.6" customHeight="1">
      <c r="Q425" s="1853"/>
    </row>
    <row r="426" spans="17:17" ht="58.6" customHeight="1">
      <c r="Q426" s="1853"/>
    </row>
    <row r="427" spans="17:17" ht="58.6" customHeight="1">
      <c r="Q427" s="1853"/>
    </row>
    <row r="428" spans="17:17" ht="58.6" customHeight="1">
      <c r="Q428" s="1853"/>
    </row>
    <row r="429" spans="17:17" ht="58.6" customHeight="1">
      <c r="Q429" s="1853"/>
    </row>
    <row r="430" spans="17:17" ht="58.6" customHeight="1">
      <c r="Q430" s="2794"/>
    </row>
    <row r="431" spans="17:17" ht="58.6" customHeight="1">
      <c r="Q431" s="2794"/>
    </row>
    <row r="432" spans="17:17" ht="58.6" customHeight="1">
      <c r="Q432" s="2794"/>
    </row>
    <row r="433" spans="17:17" ht="58.6" customHeight="1">
      <c r="Q433" s="1853"/>
    </row>
    <row r="434" spans="17:17" ht="58.6" customHeight="1">
      <c r="Q434" s="1853"/>
    </row>
    <row r="435" spans="17:17" ht="58.6" customHeight="1">
      <c r="Q435" s="1853"/>
    </row>
    <row r="436" spans="17:17" ht="58.6" customHeight="1">
      <c r="Q436" s="1853"/>
    </row>
    <row r="437" spans="17:17" ht="58.6" customHeight="1">
      <c r="Q437" s="1853"/>
    </row>
    <row r="438" spans="17:17" ht="58.6" customHeight="1">
      <c r="Q438" s="1853"/>
    </row>
    <row r="439" spans="17:17" ht="58.6" customHeight="1">
      <c r="Q439" s="1853"/>
    </row>
    <row r="440" spans="17:17" ht="58.6" customHeight="1">
      <c r="Q440" s="1853"/>
    </row>
    <row r="441" spans="17:17" ht="58.6" customHeight="1">
      <c r="Q441" s="1853"/>
    </row>
    <row r="442" spans="17:17" ht="58.6" customHeight="1">
      <c r="Q442" s="1853"/>
    </row>
    <row r="443" spans="17:17" ht="58.6" customHeight="1">
      <c r="Q443" s="2868"/>
    </row>
    <row r="444" spans="17:17" ht="58.6" customHeight="1">
      <c r="Q444" s="2868"/>
    </row>
    <row r="445" spans="17:17" ht="58.6" customHeight="1">
      <c r="Q445" s="2868"/>
    </row>
    <row r="446" spans="17:17" ht="58.6" customHeight="1">
      <c r="Q446" s="2868"/>
    </row>
    <row r="447" spans="17:17" ht="58.6" customHeight="1">
      <c r="Q447" s="2868"/>
    </row>
    <row r="448" spans="17:17" ht="58.6" customHeight="1">
      <c r="Q448" s="2868"/>
    </row>
    <row r="449" spans="17:17" ht="58.6" customHeight="1">
      <c r="Q449" s="2868"/>
    </row>
    <row r="450" spans="17:17" ht="58.6" customHeight="1">
      <c r="Q450" s="2868"/>
    </row>
    <row r="451" spans="17:17" ht="58.6" customHeight="1">
      <c r="Q451" s="2868"/>
    </row>
    <row r="452" spans="17:17" ht="58.6" customHeight="1">
      <c r="Q452" s="2868"/>
    </row>
    <row r="453" spans="17:17" ht="58.6" customHeight="1">
      <c r="Q453" s="2868"/>
    </row>
    <row r="454" spans="17:17" ht="58.6" customHeight="1">
      <c r="Q454" s="2868"/>
    </row>
    <row r="455" spans="17:17" ht="58.6" customHeight="1">
      <c r="Q455" s="102"/>
    </row>
    <row r="456" spans="17:17" ht="58.6" customHeight="1">
      <c r="Q456" s="1853"/>
    </row>
    <row r="457" spans="17:17" ht="58.6" customHeight="1">
      <c r="Q457" s="1853"/>
    </row>
    <row r="458" spans="17:17" ht="58.6" customHeight="1">
      <c r="Q458" s="1853"/>
    </row>
    <row r="459" spans="17:17" ht="58.6" customHeight="1">
      <c r="Q459" s="1853"/>
    </row>
    <row r="460" spans="17:17" ht="58.6" customHeight="1">
      <c r="Q460" s="1853"/>
    </row>
    <row r="461" spans="17:17" ht="58.6" customHeight="1">
      <c r="Q461" s="1853"/>
    </row>
    <row r="462" spans="17:17" ht="58.6" customHeight="1">
      <c r="Q462" s="1853"/>
    </row>
    <row r="463" spans="17:17" ht="58.6" customHeight="1">
      <c r="Q463" s="1853"/>
    </row>
    <row r="464" spans="17:17" ht="58.6" customHeight="1">
      <c r="Q464" s="1853"/>
    </row>
    <row r="465" spans="17:17" ht="58.6" customHeight="1">
      <c r="Q465" s="1853"/>
    </row>
    <row r="466" spans="17:17" ht="58.6" customHeight="1">
      <c r="Q466" s="1853"/>
    </row>
    <row r="467" spans="17:17" ht="58.6" customHeight="1">
      <c r="Q467" s="1853"/>
    </row>
    <row r="468" spans="17:17" ht="58.6" customHeight="1">
      <c r="Q468" s="102"/>
    </row>
    <row r="469" spans="17:17" ht="58.6" customHeight="1">
      <c r="Q469" s="1853"/>
    </row>
    <row r="470" spans="17:17" ht="58.6" customHeight="1">
      <c r="Q470" s="1853"/>
    </row>
    <row r="471" spans="17:17" ht="58.6" customHeight="1">
      <c r="Q471" s="1853"/>
    </row>
    <row r="472" spans="17:17" ht="58.6" customHeight="1">
      <c r="Q472" s="1853"/>
    </row>
    <row r="473" spans="17:17" ht="58.6" customHeight="1">
      <c r="Q473" s="1853"/>
    </row>
    <row r="474" spans="17:17" ht="58.6" customHeight="1">
      <c r="Q474" s="1924"/>
    </row>
    <row r="475" spans="17:17" ht="58.6" customHeight="1">
      <c r="Q475" s="1924"/>
    </row>
    <row r="476" spans="17:17" ht="58.6" customHeight="1">
      <c r="Q476" s="1924"/>
    </row>
    <row r="477" spans="17:17" ht="58.6" customHeight="1">
      <c r="Q477" s="1924"/>
    </row>
    <row r="478" spans="17:17" ht="58.6" customHeight="1">
      <c r="Q478" s="1853"/>
    </row>
    <row r="479" spans="17:17" ht="58.6" customHeight="1">
      <c r="Q479" s="1853"/>
    </row>
    <row r="480" spans="17:17" ht="58.6" customHeight="1">
      <c r="Q480" s="1853"/>
    </row>
    <row r="481" spans="17:17" ht="58.6" customHeight="1">
      <c r="Q481" s="1853"/>
    </row>
    <row r="482" spans="17:17" ht="58.6" customHeight="1">
      <c r="Q482" s="1853"/>
    </row>
    <row r="483" spans="17:17" ht="58.6" customHeight="1">
      <c r="Q483" s="1853"/>
    </row>
    <row r="484" spans="17:17" ht="58.6" customHeight="1">
      <c r="Q484" s="1853"/>
    </row>
    <row r="485" spans="17:17" ht="58.6" customHeight="1">
      <c r="Q485" s="102"/>
    </row>
    <row r="486" spans="17:17" ht="58.6" customHeight="1">
      <c r="Q486" s="1853"/>
    </row>
    <row r="487" spans="17:17" ht="58.6" customHeight="1">
      <c r="Q487" s="1924"/>
    </row>
    <row r="488" spans="17:17" ht="58.6" customHeight="1">
      <c r="Q488" s="102"/>
    </row>
    <row r="489" spans="17:17" ht="58.6" customHeight="1">
      <c r="Q489" s="1853"/>
    </row>
    <row r="490" spans="17:17" ht="58.6" customHeight="1">
      <c r="Q490" s="1853"/>
    </row>
    <row r="491" spans="17:17" ht="58.6" customHeight="1">
      <c r="Q491" s="1853"/>
    </row>
    <row r="492" spans="17:17" ht="58.6" customHeight="1">
      <c r="Q492" s="1853"/>
    </row>
    <row r="493" spans="17:17" ht="58.6" customHeight="1">
      <c r="Q493" s="1853"/>
    </row>
    <row r="494" spans="17:17" ht="58.6" customHeight="1">
      <c r="Q494" s="1853"/>
    </row>
    <row r="495" spans="17:17" ht="58.6" customHeight="1">
      <c r="Q495" s="1853"/>
    </row>
    <row r="496" spans="17:17" ht="58.6" customHeight="1">
      <c r="Q496" s="1853"/>
    </row>
    <row r="497" spans="17:17" ht="58.6" customHeight="1">
      <c r="Q497" s="102"/>
    </row>
    <row r="498" spans="17:17" ht="58.6" customHeight="1">
      <c r="Q498" s="2225"/>
    </row>
    <row r="499" spans="17:17" ht="58.6" customHeight="1">
      <c r="Q499" s="2225"/>
    </row>
  </sheetData>
  <autoFilter ref="A3:P3"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5" defaultRowHeight="13.6"/>
  <cols>
    <col min="1" max="1" width="12.75" style="3050" bestFit="1" customWidth="1"/>
    <col min="2" max="2" width="9.375" style="3050" bestFit="1" customWidth="1"/>
    <col min="3" max="3" width="9.25" style="3050"/>
    <col min="4" max="4" width="11.375" style="3050" bestFit="1" customWidth="1"/>
    <col min="5" max="16384" width="9.25" style="3050"/>
  </cols>
  <sheetData>
    <row r="1" spans="1:4">
      <c r="A1" s="3051" t="s">
        <v>5223</v>
      </c>
      <c r="B1" s="3051" t="s">
        <v>9640</v>
      </c>
      <c r="C1" s="3051" t="s">
        <v>9641</v>
      </c>
      <c r="D1" s="3051" t="s">
        <v>9642</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F71EB2-EE0F-4F25-9588-FDD6BB362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99cbf3-cdb6-429c-9892-da62a017aa5f"/>
    <ds:schemaRef ds:uri="7c9e5038-bec2-448c-89b0-6ee48dc4ea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C00C28-637C-4CCE-AE5C-2B1328A85FAE}">
  <ds:schemaRefs>
    <ds:schemaRef ds:uri="http://schemas.microsoft.com/office/2006/metadata/properties"/>
    <ds:schemaRef ds:uri="http://schemas.microsoft.com/office/infopath/2007/PartnerControls"/>
    <ds:schemaRef ds:uri="7c9e5038-bec2-448c-89b0-6ee48dc4ea9e"/>
    <ds:schemaRef ds:uri="5e99cbf3-cdb6-429c-9892-da62a017aa5f"/>
  </ds:schemaRefs>
</ds:datastoreItem>
</file>

<file path=customXml/itemProps3.xml><?xml version="1.0" encoding="utf-8"?>
<ds:datastoreItem xmlns:ds="http://schemas.openxmlformats.org/officeDocument/2006/customXml" ds:itemID="{792F399A-F0D3-48B7-938B-2C14AE49A4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55</vt:i4>
      </vt:variant>
    </vt:vector>
  </HeadingPairs>
  <TitlesOfParts>
    <vt:vector size="113" baseType="lpstr">
      <vt:lpstr>KH</vt:lpstr>
      <vt:lpstr>LỊCH TÀU - 10.2023</vt:lpstr>
      <vt:lpstr>LỊCH TÀU - 03.2023</vt:lpstr>
      <vt:lpstr>LỊCH TÀU - 12.2022</vt:lpstr>
      <vt:lpstr>LỊCH TÀU - 11.2022</vt:lpstr>
      <vt:lpstr>LỊCH TÀU - 06.22</vt:lpstr>
      <vt:lpstr>LỊCH TÀU - 10.2022</vt:lpstr>
      <vt:lpstr>LỊCH TÀU - 07.22</vt:lpstr>
      <vt:lpstr>LỊCH TÀU - 09.22</vt:lpstr>
      <vt:lpstr>LỊCH TÀU - 05.22</vt:lpstr>
      <vt:lpstr>LỊCH TÀU - 04.22</vt:lpstr>
      <vt:lpstr>LỊCH TÀU - 03.22</vt:lpstr>
      <vt:lpstr>LỊCH TÀU - 02.22</vt:lpstr>
      <vt:lpstr>LỊCH TÀU - 11.21</vt:lpstr>
      <vt:lpstr>LỊCH TÀU - 10.21</vt:lpstr>
      <vt:lpstr>LỊCH TÀU - 09.21</vt:lpstr>
      <vt:lpstr>LỊCH TÀU - 06.21</vt:lpstr>
      <vt:lpstr>LỊCH TÀU - 07.21</vt:lpstr>
      <vt:lpstr>LỊCH TÀU - 08.21</vt:lpstr>
      <vt:lpstr>LỊCH TÀU - 04.21</vt:lpstr>
      <vt:lpstr>LỊCH TÀU - 03.21</vt:lpstr>
      <vt:lpstr>LỊCH TÀU - 01.22</vt:lpstr>
      <vt:lpstr>LỊCH TÀU - 12.21</vt:lpstr>
      <vt:lpstr>LỊCH TÀU - 08.22 </vt:lpstr>
      <vt:lpstr>LỊCH TÀU - 04.2023</vt:lpstr>
      <vt:lpstr>LỊCH TÀU - 05.2023</vt:lpstr>
      <vt:lpstr>LỊCH TÀU - 01.2023</vt:lpstr>
      <vt:lpstr>LỊCH TÀU - 09.2023</vt:lpstr>
      <vt:lpstr>LỊCH TÀU - 06.2023</vt:lpstr>
      <vt:lpstr>LỊCH TÀU - 11.2024</vt:lpstr>
      <vt:lpstr>LỊCH TÀU - 09.2024</vt:lpstr>
      <vt:lpstr>LỊCH TÀU - 10.2024</vt:lpstr>
      <vt:lpstr>LỊCH TÀU - 08.2024 </vt:lpstr>
      <vt:lpstr>LỊCH TÀU - 07.2024 </vt:lpstr>
      <vt:lpstr>LỊCH TÀU - 06.2024 </vt:lpstr>
      <vt:lpstr>LỊCH TÀU - 05.2024</vt:lpstr>
      <vt:lpstr>LỊCH TÀU - 04.2024</vt:lpstr>
      <vt:lpstr>LỊCH TÀU - 03.2024</vt:lpstr>
      <vt:lpstr>LỊCH TÀU - 02.2024</vt:lpstr>
      <vt:lpstr>LỊCH TÀU - 01.2024</vt:lpstr>
      <vt:lpstr>LỊCH TÀU - 02.2025</vt:lpstr>
      <vt:lpstr>LỊCH TÀU - 12.2024</vt:lpstr>
      <vt:lpstr>LỊCH TÀU - 07.2023</vt:lpstr>
      <vt:lpstr>LỊCH TÀU - 11.2023</vt:lpstr>
      <vt:lpstr>Trang_tính1</vt:lpstr>
      <vt:lpstr>LỊCH TÀU - 06.2025</vt:lpstr>
      <vt:lpstr>LỊCH TÀU - 04.2025</vt:lpstr>
      <vt:lpstr>LỊCH TÀU - 03.2025</vt:lpstr>
      <vt:lpstr>LỊCH TÀU - 02.2025 </vt:lpstr>
      <vt:lpstr>LỊCH TÀU - 01.2025</vt:lpstr>
      <vt:lpstr>LỊCH TÀU - 05.2025</vt:lpstr>
      <vt:lpstr>LỊCH TÀU - 12.2025</vt:lpstr>
      <vt:lpstr>LỊCH TÀU - 11.2025</vt:lpstr>
      <vt:lpstr>LỊCH TÀU - 10.2025 </vt:lpstr>
      <vt:lpstr>LỊCH TÀU - 09.2025 </vt:lpstr>
      <vt:lpstr>LỊCH TÀU - 07.2025</vt:lpstr>
      <vt:lpstr>LỊCH TÀU - 08.2025</vt:lpstr>
      <vt:lpstr>PKH UPDATE</vt:lpstr>
      <vt:lpstr>'LỊCH TÀU - 01.2023'!Print_Area</vt:lpstr>
      <vt:lpstr>'LỊCH TÀU - 01.2024'!Print_Area</vt:lpstr>
      <vt:lpstr>'LỊCH TÀU - 01.2025'!Print_Area</vt:lpstr>
      <vt:lpstr>'LỊCH TÀU - 01.22'!Print_Area</vt:lpstr>
      <vt:lpstr>'LỊCH TÀU - 02.2024'!Print_Area</vt:lpstr>
      <vt:lpstr>'LỊCH TÀU - 02.2025'!Print_Area</vt:lpstr>
      <vt:lpstr>'LỊCH TÀU - 02.2025 '!Print_Area</vt:lpstr>
      <vt:lpstr>'LỊCH TÀU - 02.22'!Print_Area</vt:lpstr>
      <vt:lpstr>'LỊCH TÀU - 03.2023'!Print_Area</vt:lpstr>
      <vt:lpstr>'LỊCH TÀU - 03.2024'!Print_Area</vt:lpstr>
      <vt:lpstr>'LỊCH TÀU - 03.2025'!Print_Area</vt:lpstr>
      <vt:lpstr>'LỊCH TÀU - 03.21'!Print_Area</vt:lpstr>
      <vt:lpstr>'LỊCH TÀU - 03.22'!Print_Area</vt:lpstr>
      <vt:lpstr>'LỊCH TÀU - 04.2023'!Print_Area</vt:lpstr>
      <vt:lpstr>'LỊCH TÀU - 04.2024'!Print_Area</vt:lpstr>
      <vt:lpstr>'LỊCH TÀU - 04.2025'!Print_Area</vt:lpstr>
      <vt:lpstr>'LỊCH TÀU - 04.21'!Print_Area</vt:lpstr>
      <vt:lpstr>'LỊCH TÀU - 04.22'!Print_Area</vt:lpstr>
      <vt:lpstr>'LỊCH TÀU - 05.2023'!Print_Area</vt:lpstr>
      <vt:lpstr>'LỊCH TÀU - 05.2024'!Print_Area</vt:lpstr>
      <vt:lpstr>'LỊCH TÀU - 05.2025'!Print_Area</vt:lpstr>
      <vt:lpstr>'LỊCH TÀU - 05.22'!Print_Area</vt:lpstr>
      <vt:lpstr>'LỊCH TÀU - 06.2023'!Print_Area</vt:lpstr>
      <vt:lpstr>'LỊCH TÀU - 06.2024 '!Print_Area</vt:lpstr>
      <vt:lpstr>'LỊCH TÀU - 06.2025'!Print_Area</vt:lpstr>
      <vt:lpstr>'LỊCH TÀU - 06.21'!Print_Area</vt:lpstr>
      <vt:lpstr>'LỊCH TÀU - 06.22'!Print_Area</vt:lpstr>
      <vt:lpstr>'LỊCH TÀU - 07.2023'!Print_Area</vt:lpstr>
      <vt:lpstr>'LỊCH TÀU - 07.2024 '!Print_Area</vt:lpstr>
      <vt:lpstr>'LỊCH TÀU - 07.2025'!Print_Area</vt:lpstr>
      <vt:lpstr>'LỊCH TÀU - 07.21'!Print_Area</vt:lpstr>
      <vt:lpstr>'LỊCH TÀU - 07.22'!Print_Area</vt:lpstr>
      <vt:lpstr>'LỊCH TÀU - 08.2024 '!Print_Area</vt:lpstr>
      <vt:lpstr>'LỊCH TÀU - 08.2025'!Print_Area</vt:lpstr>
      <vt:lpstr>'LỊCH TÀU - 08.21'!Print_Area</vt:lpstr>
      <vt:lpstr>'LỊCH TÀU - 08.22 '!Print_Area</vt:lpstr>
      <vt:lpstr>'LỊCH TÀU - 09.2023'!Print_Area</vt:lpstr>
      <vt:lpstr>'LỊCH TÀU - 09.2024'!Print_Area</vt:lpstr>
      <vt:lpstr>'LỊCH TÀU - 09.2025 '!Print_Area</vt:lpstr>
      <vt:lpstr>'LỊCH TÀU - 09.21'!Print_Area</vt:lpstr>
      <vt:lpstr>'LỊCH TÀU - 09.22'!Print_Area</vt:lpstr>
      <vt:lpstr>'LỊCH TÀU - 10.2022'!Print_Area</vt:lpstr>
      <vt:lpstr>'LỊCH TÀU - 10.2023'!Print_Area</vt:lpstr>
      <vt:lpstr>'LỊCH TÀU - 10.2024'!Print_Area</vt:lpstr>
      <vt:lpstr>'LỊCH TÀU - 10.2025 '!Print_Area</vt:lpstr>
      <vt:lpstr>'LỊCH TÀU - 10.21'!Print_Area</vt:lpstr>
      <vt:lpstr>'LỊCH TÀU - 11.2022'!Print_Area</vt:lpstr>
      <vt:lpstr>'LỊCH TÀU - 11.2023'!Print_Area</vt:lpstr>
      <vt:lpstr>'LỊCH TÀU - 11.2024'!Print_Area</vt:lpstr>
      <vt:lpstr>'LỊCH TÀU - 11.2025'!Print_Area</vt:lpstr>
      <vt:lpstr>'LỊCH TÀU - 11.21'!Print_Area</vt:lpstr>
      <vt:lpstr>'LỊCH TÀU - 12.2022'!Print_Area</vt:lpstr>
      <vt:lpstr>'LỊCH TÀU - 12.2024'!Print_Area</vt:lpstr>
      <vt:lpstr>'LỊCH TÀU - 12.2025'!Print_Area</vt:lpstr>
      <vt:lpstr>'LỊCH TÀU - 12.21'!Print_Area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Le Van Sy - HPDQ</cp:lastModifiedBy>
  <cp:revision/>
  <dcterms:created xsi:type="dcterms:W3CDTF">2021-03-20T05:37:20Z</dcterms:created>
  <dcterms:modified xsi:type="dcterms:W3CDTF">2025-11-27T01:25:23Z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