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Merrick Co - Noah Siem/DATA/"/>
    </mc:Choice>
  </mc:AlternateContent>
  <xr:revisionPtr revIDLastSave="227" documentId="8_{14D7F566-CA01-417C-8438-09554AC88928}" xr6:coauthVersionLast="47" xr6:coauthVersionMax="47" xr10:uidLastSave="{B4538246-C9FA-4A48-9A7F-293C81A66E59}"/>
  <bookViews>
    <workbookView xWindow="-108" yWindow="-108" windowWidth="23256" windowHeight="12576" xr2:uid="{1FE92213-E2DC-46FA-AB1E-5EE8E9D5B158}"/>
  </bookViews>
  <sheets>
    <sheet name="RESULTS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1" l="1"/>
  <c r="L7" i="1"/>
  <c r="E4" i="1"/>
  <c r="L4" i="1"/>
  <c r="L5" i="1"/>
  <c r="S16" i="1"/>
  <c r="E16" i="1"/>
  <c r="L16" i="1"/>
  <c r="H14" i="1"/>
  <c r="L14" i="1"/>
  <c r="Q6" i="1"/>
  <c r="E6" i="1"/>
  <c r="S13" i="1"/>
  <c r="L13" i="1"/>
  <c r="L3" i="1"/>
  <c r="E2" i="1"/>
  <c r="E7" i="1"/>
  <c r="V7" i="1"/>
  <c r="W16" i="1"/>
  <c r="L11" i="1"/>
  <c r="V11" i="1"/>
  <c r="E3" i="1"/>
  <c r="Q2" i="1"/>
  <c r="L2" i="1"/>
  <c r="Q16" i="1"/>
  <c r="E11" i="1"/>
  <c r="E17" i="1"/>
  <c r="Q17" i="1"/>
  <c r="E12" i="1"/>
  <c r="Q12" i="1"/>
  <c r="Q10" i="1"/>
  <c r="L15" i="1"/>
  <c r="E8" i="1"/>
  <c r="E5" i="1"/>
  <c r="E9" i="1"/>
  <c r="L6" i="1" l="1"/>
  <c r="E10" i="1"/>
  <c r="Z10" i="1" s="1"/>
  <c r="Z4" i="1"/>
  <c r="N9" i="1"/>
  <c r="Q8" i="1"/>
  <c r="K17" i="1"/>
  <c r="Z17" i="1" s="1"/>
  <c r="Z7" i="1"/>
  <c r="Q15" i="1"/>
  <c r="E15" i="1"/>
  <c r="Z15" i="1" s="1"/>
  <c r="Q13" i="1"/>
  <c r="E13" i="1"/>
  <c r="Q3" i="1"/>
  <c r="Z3" i="1" s="1"/>
  <c r="Q11" i="1"/>
  <c r="Z11" i="1"/>
  <c r="Y15" i="1"/>
  <c r="Z5" i="1"/>
  <c r="Z8" i="1"/>
  <c r="Z12" i="1"/>
  <c r="Z13" i="1"/>
  <c r="Z14" i="1"/>
  <c r="Z2" i="1"/>
  <c r="Q9" i="1"/>
  <c r="E14" i="1"/>
  <c r="Q14" i="1"/>
  <c r="W13" i="1"/>
  <c r="Z9" i="1" l="1"/>
  <c r="Z6" i="1"/>
  <c r="Z16" i="1"/>
  <c r="V3" i="1"/>
  <c r="AB2" i="1" l="1"/>
  <c r="V16" i="1"/>
  <c r="N17" i="1"/>
  <c r="AD5" i="1"/>
  <c r="AD8" i="1"/>
  <c r="AD9" i="1"/>
  <c r="AD2" i="1"/>
  <c r="N7" i="1"/>
  <c r="W17" i="1"/>
  <c r="L17" i="1"/>
  <c r="X5" i="1"/>
  <c r="AC10" i="1"/>
  <c r="AC12" i="1"/>
  <c r="V5" i="1"/>
  <c r="O9" i="1"/>
  <c r="L10" i="1"/>
  <c r="AD10" i="1" s="1"/>
  <c r="S17" i="1"/>
  <c r="M17" i="1"/>
  <c r="AD17" i="1" s="1"/>
  <c r="H17" i="1"/>
  <c r="K16" i="1"/>
  <c r="H16" i="1"/>
  <c r="AB16" i="1"/>
  <c r="AD15" i="1"/>
  <c r="N15" i="1"/>
  <c r="K15" i="1"/>
  <c r="AB15" i="1"/>
  <c r="N14" i="1"/>
  <c r="M14" i="1"/>
  <c r="K14" i="1"/>
  <c r="G14" i="1"/>
  <c r="AD14" i="1" s="1"/>
  <c r="D14" i="1"/>
  <c r="AB14" i="1" s="1"/>
  <c r="AD13" i="1"/>
  <c r="K13" i="1"/>
  <c r="AC13" i="1" s="1"/>
  <c r="D13" i="1"/>
  <c r="U12" i="1"/>
  <c r="M12" i="1"/>
  <c r="AB12" i="1"/>
  <c r="S11" i="1"/>
  <c r="AD11" i="1"/>
  <c r="K11" i="1"/>
  <c r="H11" i="1"/>
  <c r="D11" i="1"/>
  <c r="R10" i="1"/>
  <c r="P10" i="1"/>
  <c r="M10" i="1"/>
  <c r="AB10" i="1"/>
  <c r="H9" i="1"/>
  <c r="AB9" i="1"/>
  <c r="S8" i="1"/>
  <c r="N8" i="1"/>
  <c r="H8" i="1"/>
  <c r="D8" i="1"/>
  <c r="AB8" i="1" s="1"/>
  <c r="O7" i="1"/>
  <c r="AD7" i="1" s="1"/>
  <c r="K7" i="1"/>
  <c r="J7" i="1"/>
  <c r="H7" i="1"/>
  <c r="F7" i="1"/>
  <c r="D7" i="1"/>
  <c r="M6" i="1"/>
  <c r="K6" i="1"/>
  <c r="H6" i="1"/>
  <c r="AC6" i="1" s="1"/>
  <c r="G6" i="1"/>
  <c r="AD6" i="1" s="1"/>
  <c r="AB6" i="1"/>
  <c r="Q5" i="1"/>
  <c r="K5" i="1"/>
  <c r="H5" i="1"/>
  <c r="AC5" i="1" s="1"/>
  <c r="D5" i="1"/>
  <c r="Q4" i="1"/>
  <c r="O4" i="1"/>
  <c r="AD4" i="1" s="1"/>
  <c r="H4" i="1"/>
  <c r="AC4" i="1" s="1"/>
  <c r="D4" i="1"/>
  <c r="AB4" i="1" s="1"/>
  <c r="T3" i="1"/>
  <c r="S3" i="1"/>
  <c r="H3" i="1"/>
  <c r="D3" i="1"/>
  <c r="AB3" i="1" s="1"/>
  <c r="N2" i="1"/>
  <c r="K2" i="1"/>
  <c r="H2" i="1"/>
  <c r="AC2" i="1" s="1"/>
  <c r="D2" i="1"/>
  <c r="AD12" i="1" l="1"/>
  <c r="AD3" i="1"/>
  <c r="AB13" i="1"/>
  <c r="AC14" i="1"/>
  <c r="AD16" i="1"/>
  <c r="AC8" i="1"/>
  <c r="AC9" i="1"/>
  <c r="AC17" i="1"/>
  <c r="AC7" i="1"/>
  <c r="AC3" i="1"/>
  <c r="AC11" i="1"/>
  <c r="AC15" i="1"/>
  <c r="AC16" i="1"/>
  <c r="AB11" i="1"/>
  <c r="AB17" i="1"/>
  <c r="AB7" i="1"/>
  <c r="AB5" i="1"/>
</calcChain>
</file>

<file path=xl/sharedStrings.xml><?xml version="1.0" encoding="utf-8"?>
<sst xmlns="http://schemas.openxmlformats.org/spreadsheetml/2006/main" count="108" uniqueCount="72">
  <si>
    <t>waterhemp</t>
  </si>
  <si>
    <t>palmer amaranth</t>
  </si>
  <si>
    <t>redroot pigweed</t>
  </si>
  <si>
    <t>common lambsquarter</t>
  </si>
  <si>
    <t>green foxtail</t>
  </si>
  <si>
    <t>yellow foxtail</t>
  </si>
  <si>
    <t>giant foxtail</t>
  </si>
  <si>
    <t xml:space="preserve">barnyard grass </t>
  </si>
  <si>
    <t>Scarlet Pimpernel</t>
  </si>
  <si>
    <t>EB Nightshade</t>
  </si>
  <si>
    <t>Large Crabgrass</t>
  </si>
  <si>
    <t>Common/White Buckwheat</t>
  </si>
  <si>
    <t>Smooth pigweed</t>
  </si>
  <si>
    <t>Carpetweed</t>
  </si>
  <si>
    <t>yellow nutsedge</t>
  </si>
  <si>
    <t>marestail</t>
  </si>
  <si>
    <t>black medic</t>
  </si>
  <si>
    <t>Cover 1-1</t>
  </si>
  <si>
    <t>Cover 1-2</t>
  </si>
  <si>
    <t>Cover 2-1</t>
  </si>
  <si>
    <t>Cover 2-2</t>
  </si>
  <si>
    <t>Cover 3-1</t>
  </si>
  <si>
    <t>Cover 3-2</t>
  </si>
  <si>
    <t>Cover 4-1</t>
  </si>
  <si>
    <t>Cover 4-2</t>
  </si>
  <si>
    <t>Check 1-1</t>
  </si>
  <si>
    <t>Check 1-2</t>
  </si>
  <si>
    <t>Check 2-1</t>
  </si>
  <si>
    <t>Check 2-2</t>
  </si>
  <si>
    <t>Check 3-1</t>
  </si>
  <si>
    <t>Check 3-2</t>
  </si>
  <si>
    <t>Check 4-1</t>
  </si>
  <si>
    <t xml:space="preserve">Check 4-2 </t>
  </si>
  <si>
    <t>TREATMENT</t>
  </si>
  <si>
    <t>REP</t>
  </si>
  <si>
    <t>COVER</t>
  </si>
  <si>
    <t>CHECK</t>
  </si>
  <si>
    <t>AMATU</t>
  </si>
  <si>
    <t>AMAPA</t>
  </si>
  <si>
    <t>AMARE</t>
  </si>
  <si>
    <t>CHEAL</t>
  </si>
  <si>
    <t>SETVI</t>
  </si>
  <si>
    <t>SETPU</t>
  </si>
  <si>
    <t>SETFA</t>
  </si>
  <si>
    <t>ECHCR</t>
  </si>
  <si>
    <t>ANAAR</t>
  </si>
  <si>
    <t>SOLPT</t>
  </si>
  <si>
    <t>DIGSA</t>
  </si>
  <si>
    <t>FAGES</t>
  </si>
  <si>
    <t>AMAHY</t>
  </si>
  <si>
    <t>MOLVE</t>
  </si>
  <si>
    <t>CYPES</t>
  </si>
  <si>
    <t>ERICA</t>
  </si>
  <si>
    <t>MEDLU</t>
  </si>
  <si>
    <t>TOTAL_WEEDS</t>
  </si>
  <si>
    <t>TOTAL_SPECIES</t>
  </si>
  <si>
    <t>TOTAL_PIGWEEDS</t>
  </si>
  <si>
    <t>TOTAL_GRASSES</t>
  </si>
  <si>
    <t>CODE</t>
  </si>
  <si>
    <t>SPECIES</t>
  </si>
  <si>
    <t>hardstem bulrush</t>
  </si>
  <si>
    <t>SCHAC</t>
  </si>
  <si>
    <t xml:space="preserve">false pimpernel </t>
  </si>
  <si>
    <t>LINDU</t>
  </si>
  <si>
    <t>FATVI</t>
  </si>
  <si>
    <t>Mulberry weed</t>
  </si>
  <si>
    <t>TOTAL_OTHERBROAD</t>
  </si>
  <si>
    <t>OXAST</t>
  </si>
  <si>
    <t xml:space="preserve">common woodsorrel </t>
  </si>
  <si>
    <t>PLOT</t>
  </si>
  <si>
    <t>UNKNOWN</t>
  </si>
  <si>
    <t>Unknown Broadleaf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</si>
</sst>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237-0454-474D-AF3D-7B1EA1F45034}">
  <dimension ref="A1:AD22"/>
  <sheetViews>
    <sheetView tabSelected="1" workbookViewId="0">
      <selection activeCell="T18" sqref="T18"/>
    </sheetView>
  </sheetViews>
  <sheetFormatPr defaultColWidth="8.77734375" defaultRowHeight="14.4" x14ac:dyDescent="0.3"/>
  <cols>
    <col min="1" max="1" width="9.44140625" style="2" bestFit="1" customWidth="1"/>
    <col min="2" max="2" width="11.21875" style="2" bestFit="1" customWidth="1"/>
    <col min="3" max="3" width="4.109375" style="2" bestFit="1" customWidth="1"/>
    <col min="4" max="4" width="7.21875" style="1" bestFit="1" customWidth="1"/>
    <col min="5" max="6" width="7" style="1" bestFit="1" customWidth="1"/>
    <col min="7" max="7" width="6.33203125" style="1" bestFit="1" customWidth="1"/>
    <col min="8" max="8" width="5.77734375" style="1" bestFit="1" customWidth="1"/>
    <col min="9" max="9" width="6.44140625" style="1" bestFit="1" customWidth="1"/>
    <col min="10" max="10" width="6.109375" style="1" bestFit="1" customWidth="1"/>
    <col min="11" max="11" width="6.5546875" style="1" bestFit="1" customWidth="1"/>
    <col min="12" max="12" width="6.77734375" style="1" bestFit="1" customWidth="1"/>
    <col min="13" max="13" width="6.109375" style="1" bestFit="1" customWidth="1"/>
    <col min="14" max="14" width="6.21875" style="1" bestFit="1" customWidth="1"/>
    <col min="15" max="15" width="6.109375" style="1" bestFit="1" customWidth="1"/>
    <col min="16" max="16" width="7.109375" style="1" bestFit="1" customWidth="1"/>
    <col min="17" max="17" width="7" style="1" bestFit="1" customWidth="1"/>
    <col min="18" max="18" width="10.44140625" style="1" bestFit="1" customWidth="1"/>
    <col min="19" max="19" width="6.21875" style="1" bestFit="1" customWidth="1"/>
    <col min="20" max="20" width="5.88671875" style="1" bestFit="1" customWidth="1"/>
    <col min="21" max="21" width="7.109375" style="1" bestFit="1" customWidth="1"/>
    <col min="22" max="25" width="7.109375" style="1" customWidth="1"/>
    <col min="26" max="26" width="13.33203125" style="1" bestFit="1" customWidth="1"/>
    <col min="27" max="27" width="13.88671875" style="1" bestFit="1" customWidth="1"/>
    <col min="28" max="28" width="16.109375" style="1" bestFit="1" customWidth="1"/>
    <col min="29" max="29" width="14.5546875" style="1" bestFit="1" customWidth="1"/>
    <col min="30" max="30" width="19.109375" style="1" bestFit="1" customWidth="1"/>
    <col min="31" max="16384" width="8.77734375" style="1"/>
  </cols>
  <sheetData>
    <row r="1" spans="1:30" s="2" customFormat="1" x14ac:dyDescent="0.3">
      <c r="A1" s="2" t="s">
        <v>69</v>
      </c>
      <c r="B1" s="2" t="s">
        <v>33</v>
      </c>
      <c r="C1" s="2" t="s">
        <v>34</v>
      </c>
      <c r="D1" s="2" t="s">
        <v>37</v>
      </c>
      <c r="E1" s="2" t="s">
        <v>38</v>
      </c>
      <c r="F1" s="2" t="s">
        <v>39</v>
      </c>
      <c r="G1" s="2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2" t="s">
        <v>45</v>
      </c>
      <c r="M1" s="2" t="s">
        <v>46</v>
      </c>
      <c r="N1" s="3" t="s">
        <v>47</v>
      </c>
      <c r="O1" s="2" t="s">
        <v>48</v>
      </c>
      <c r="P1" s="2" t="s">
        <v>49</v>
      </c>
      <c r="Q1" s="2" t="s">
        <v>50</v>
      </c>
      <c r="R1" s="2" t="s">
        <v>70</v>
      </c>
      <c r="S1" s="3" t="s">
        <v>51</v>
      </c>
      <c r="T1" s="2" t="s">
        <v>52</v>
      </c>
      <c r="U1" s="2" t="s">
        <v>53</v>
      </c>
      <c r="V1" s="3" t="s">
        <v>61</v>
      </c>
      <c r="W1" s="4" t="s">
        <v>63</v>
      </c>
      <c r="X1" s="4" t="s">
        <v>64</v>
      </c>
      <c r="Y1" s="4" t="s">
        <v>67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66</v>
      </c>
    </row>
    <row r="2" spans="1:30" x14ac:dyDescent="0.3">
      <c r="A2" s="2" t="s">
        <v>17</v>
      </c>
      <c r="B2" s="2" t="s">
        <v>35</v>
      </c>
      <c r="C2" s="2">
        <v>1</v>
      </c>
      <c r="D2" s="2">
        <f>1+1</f>
        <v>2</v>
      </c>
      <c r="E2" s="2">
        <f>15+7+9+8+6+4+1+1+1+1+20+13+5</f>
        <v>91</v>
      </c>
      <c r="F2" s="2">
        <v>16</v>
      </c>
      <c r="G2" s="2">
        <v>0</v>
      </c>
      <c r="H2" s="2">
        <f>6+2</f>
        <v>8</v>
      </c>
      <c r="I2" s="2">
        <v>0</v>
      </c>
      <c r="J2" s="2">
        <v>0</v>
      </c>
      <c r="K2" s="2">
        <f>2+1</f>
        <v>3</v>
      </c>
      <c r="L2" s="2">
        <f>1+1+1</f>
        <v>3</v>
      </c>
      <c r="M2" s="2">
        <v>0</v>
      </c>
      <c r="N2" s="2">
        <f>3</f>
        <v>3</v>
      </c>
      <c r="O2" s="2">
        <v>0</v>
      </c>
      <c r="P2" s="2">
        <v>0</v>
      </c>
      <c r="Q2" s="2">
        <f>1+5+7+1</f>
        <v>14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f>SUM(D2:Y2)</f>
        <v>141</v>
      </c>
      <c r="AA2" s="2">
        <v>9</v>
      </c>
      <c r="AB2" s="2">
        <f>SUM(P2,D2,E2,F2)</f>
        <v>109</v>
      </c>
      <c r="AC2" s="2">
        <f>SUM(H2,I2,J2,K2,N2,S2,V2)</f>
        <v>14</v>
      </c>
      <c r="AD2" s="1">
        <f>SUM(G2,L2,M2,O2,P2,Q2,R2,T2,U2,W2,X2)</f>
        <v>18</v>
      </c>
    </row>
    <row r="3" spans="1:30" x14ac:dyDescent="0.3">
      <c r="A3" s="2" t="s">
        <v>18</v>
      </c>
      <c r="B3" s="2" t="s">
        <v>35</v>
      </c>
      <c r="C3" s="2">
        <v>1</v>
      </c>
      <c r="D3" s="2">
        <f>1</f>
        <v>1</v>
      </c>
      <c r="E3" s="2">
        <f>7+7+5+3+4+27+1</f>
        <v>54</v>
      </c>
      <c r="F3" s="2">
        <v>15</v>
      </c>
      <c r="G3" s="2">
        <v>0</v>
      </c>
      <c r="H3" s="2">
        <f>2</f>
        <v>2</v>
      </c>
      <c r="I3" s="2">
        <v>1</v>
      </c>
      <c r="J3" s="2">
        <v>0</v>
      </c>
      <c r="K3" s="2">
        <v>0</v>
      </c>
      <c r="L3" s="2">
        <f>3+1+1</f>
        <v>5</v>
      </c>
      <c r="M3" s="2">
        <v>6</v>
      </c>
      <c r="N3" s="2">
        <v>0</v>
      </c>
      <c r="O3" s="2">
        <v>0</v>
      </c>
      <c r="P3" s="2">
        <v>0</v>
      </c>
      <c r="Q3" s="2">
        <f>1+3+2+4</f>
        <v>10</v>
      </c>
      <c r="R3" s="2">
        <v>0</v>
      </c>
      <c r="S3" s="2">
        <f>1</f>
        <v>1</v>
      </c>
      <c r="T3" s="2">
        <f>1</f>
        <v>1</v>
      </c>
      <c r="U3" s="2">
        <v>0</v>
      </c>
      <c r="V3" s="2">
        <f>1</f>
        <v>1</v>
      </c>
      <c r="W3" s="2">
        <v>0</v>
      </c>
      <c r="X3" s="2">
        <v>0</v>
      </c>
      <c r="Y3" s="2">
        <v>0</v>
      </c>
      <c r="Z3" s="2">
        <f t="shared" ref="Z3:Z17" si="0">SUM(D3:Y3)</f>
        <v>97</v>
      </c>
      <c r="AA3" s="2">
        <v>11</v>
      </c>
      <c r="AB3" s="2">
        <f t="shared" ref="AB3:AB17" si="1">SUM(P3,D3,E3,F3)</f>
        <v>70</v>
      </c>
      <c r="AC3" s="2">
        <f t="shared" ref="AC3:AC4" si="2">SUM(H3,I3,J3,K3,N3,S3,V3)</f>
        <v>5</v>
      </c>
      <c r="AD3" s="1">
        <f t="shared" ref="AD3:AD17" si="3">SUM(G3,L3,M3,O3,P3,Q3,R3,T3,U3,W3,X3)</f>
        <v>22</v>
      </c>
    </row>
    <row r="4" spans="1:30" x14ac:dyDescent="0.3">
      <c r="A4" s="2" t="s">
        <v>19</v>
      </c>
      <c r="B4" s="2" t="s">
        <v>35</v>
      </c>
      <c r="C4" s="2">
        <v>2</v>
      </c>
      <c r="D4" s="2">
        <f>2+1</f>
        <v>3</v>
      </c>
      <c r="E4" s="2">
        <f>37+3+28+6+13+24+4+6+75+10+17+5</f>
        <v>228</v>
      </c>
      <c r="F4" s="2">
        <v>10</v>
      </c>
      <c r="G4" s="2">
        <v>0</v>
      </c>
      <c r="H4" s="2">
        <f>2+9</f>
        <v>11</v>
      </c>
      <c r="I4" s="2">
        <v>0</v>
      </c>
      <c r="J4" s="2">
        <v>0</v>
      </c>
      <c r="K4" s="2">
        <v>8</v>
      </c>
      <c r="L4" s="2">
        <f>1+1+2+32</f>
        <v>36</v>
      </c>
      <c r="M4" s="2">
        <v>1</v>
      </c>
      <c r="N4" s="2">
        <v>0</v>
      </c>
      <c r="O4" s="2">
        <f>1</f>
        <v>1</v>
      </c>
      <c r="P4" s="2">
        <v>0</v>
      </c>
      <c r="Q4" s="2">
        <f>1+2</f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f t="shared" si="0"/>
        <v>301</v>
      </c>
      <c r="AA4" s="2">
        <v>9</v>
      </c>
      <c r="AB4" s="2">
        <f t="shared" si="1"/>
        <v>241</v>
      </c>
      <c r="AC4" s="2">
        <f t="shared" si="2"/>
        <v>19</v>
      </c>
      <c r="AD4" s="1">
        <f t="shared" si="3"/>
        <v>41</v>
      </c>
    </row>
    <row r="5" spans="1:30" x14ac:dyDescent="0.3">
      <c r="A5" s="2" t="s">
        <v>20</v>
      </c>
      <c r="B5" s="2" t="s">
        <v>35</v>
      </c>
      <c r="C5" s="2">
        <v>2</v>
      </c>
      <c r="D5" s="2">
        <f>1</f>
        <v>1</v>
      </c>
      <c r="E5" s="2">
        <f>11+5+1+2+1+8+1</f>
        <v>29</v>
      </c>
      <c r="F5" s="2">
        <v>0</v>
      </c>
      <c r="G5" s="2">
        <v>0</v>
      </c>
      <c r="H5" s="2">
        <f>1</f>
        <v>1</v>
      </c>
      <c r="I5" s="2">
        <v>0</v>
      </c>
      <c r="J5" s="2">
        <v>0</v>
      </c>
      <c r="K5" s="2">
        <f>1</f>
        <v>1</v>
      </c>
      <c r="L5" s="2">
        <f>2</f>
        <v>2</v>
      </c>
      <c r="M5" s="2">
        <v>9</v>
      </c>
      <c r="N5" s="2">
        <v>0</v>
      </c>
      <c r="O5" s="2">
        <v>0</v>
      </c>
      <c r="P5" s="2">
        <v>0</v>
      </c>
      <c r="Q5" s="2">
        <f>2</f>
        <v>2</v>
      </c>
      <c r="R5" s="2">
        <v>0</v>
      </c>
      <c r="S5" s="2">
        <v>0</v>
      </c>
      <c r="T5" s="2">
        <v>0</v>
      </c>
      <c r="U5" s="2">
        <v>0</v>
      </c>
      <c r="V5" s="2">
        <f>1</f>
        <v>1</v>
      </c>
      <c r="W5" s="2">
        <v>0</v>
      </c>
      <c r="X5" s="2">
        <f>1</f>
        <v>1</v>
      </c>
      <c r="Y5" s="2">
        <v>0</v>
      </c>
      <c r="Z5" s="2">
        <f t="shared" si="0"/>
        <v>47</v>
      </c>
      <c r="AA5" s="2">
        <v>9</v>
      </c>
      <c r="AB5" s="2">
        <f t="shared" si="1"/>
        <v>30</v>
      </c>
      <c r="AC5" s="2">
        <f>SUM(H5,I5,J5,K5,N5,S5,V5)</f>
        <v>3</v>
      </c>
      <c r="AD5" s="1">
        <f t="shared" si="3"/>
        <v>14</v>
      </c>
    </row>
    <row r="6" spans="1:30" x14ac:dyDescent="0.3">
      <c r="A6" s="2" t="s">
        <v>21</v>
      </c>
      <c r="B6" s="2" t="s">
        <v>35</v>
      </c>
      <c r="C6" s="2">
        <v>3</v>
      </c>
      <c r="D6" s="2">
        <v>0</v>
      </c>
      <c r="E6" s="2">
        <f>5+8+6+4+5+1+20+3+1</f>
        <v>53</v>
      </c>
      <c r="F6" s="2">
        <v>13</v>
      </c>
      <c r="G6" s="2">
        <f>1</f>
        <v>1</v>
      </c>
      <c r="H6" s="2">
        <f>2</f>
        <v>2</v>
      </c>
      <c r="I6" s="2">
        <v>0</v>
      </c>
      <c r="J6" s="2">
        <v>0</v>
      </c>
      <c r="K6" s="2">
        <f>2</f>
        <v>2</v>
      </c>
      <c r="L6" s="2">
        <f>4+8</f>
        <v>12</v>
      </c>
      <c r="M6" s="2">
        <f>1+4</f>
        <v>5</v>
      </c>
      <c r="N6" s="2">
        <v>1</v>
      </c>
      <c r="O6" s="2">
        <v>0</v>
      </c>
      <c r="P6" s="2">
        <v>0</v>
      </c>
      <c r="Q6" s="2">
        <f>2+4+5+1</f>
        <v>12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f t="shared" si="0"/>
        <v>101</v>
      </c>
      <c r="AA6" s="2">
        <v>9</v>
      </c>
      <c r="AB6" s="2">
        <f t="shared" si="1"/>
        <v>66</v>
      </c>
      <c r="AC6" s="2">
        <f t="shared" ref="AC6:AC17" si="4">SUM(H6,I6,J6,K6,N6,S6,V6)</f>
        <v>5</v>
      </c>
      <c r="AD6" s="1">
        <f t="shared" si="3"/>
        <v>30</v>
      </c>
    </row>
    <row r="7" spans="1:30" x14ac:dyDescent="0.3">
      <c r="A7" s="2" t="s">
        <v>22</v>
      </c>
      <c r="B7" s="2" t="s">
        <v>35</v>
      </c>
      <c r="C7" s="2">
        <v>3</v>
      </c>
      <c r="D7" s="2">
        <f>3</f>
        <v>3</v>
      </c>
      <c r="E7" s="2">
        <f>29+20+5+8+3+5+19+7+2+2+87+6+1</f>
        <v>194</v>
      </c>
      <c r="F7" s="2">
        <f>6+17</f>
        <v>23</v>
      </c>
      <c r="G7" s="2">
        <v>0</v>
      </c>
      <c r="H7" s="2">
        <f>4</f>
        <v>4</v>
      </c>
      <c r="I7" s="2">
        <v>0</v>
      </c>
      <c r="J7" s="2">
        <f>1</f>
        <v>1</v>
      </c>
      <c r="K7" s="2">
        <f>5+2+3</f>
        <v>10</v>
      </c>
      <c r="L7" s="2">
        <f>5+1+1+9+53</f>
        <v>69</v>
      </c>
      <c r="M7" s="2">
        <v>6</v>
      </c>
      <c r="N7" s="2">
        <f>1+1+1+1</f>
        <v>4</v>
      </c>
      <c r="O7" s="2">
        <f>1</f>
        <v>1</v>
      </c>
      <c r="P7" s="2">
        <v>0</v>
      </c>
      <c r="Q7" s="2">
        <v>0</v>
      </c>
      <c r="R7" s="2">
        <v>0</v>
      </c>
      <c r="S7" s="2">
        <f>1+1</f>
        <v>2</v>
      </c>
      <c r="T7" s="2">
        <v>0</v>
      </c>
      <c r="U7" s="2">
        <v>0</v>
      </c>
      <c r="V7" s="2">
        <f>1</f>
        <v>1</v>
      </c>
      <c r="W7" s="2">
        <v>0</v>
      </c>
      <c r="X7" s="2">
        <v>0</v>
      </c>
      <c r="Y7" s="2">
        <v>0</v>
      </c>
      <c r="Z7" s="2">
        <f t="shared" si="0"/>
        <v>318</v>
      </c>
      <c r="AA7" s="2">
        <v>12</v>
      </c>
      <c r="AB7" s="2">
        <f t="shared" si="1"/>
        <v>220</v>
      </c>
      <c r="AC7" s="2">
        <f t="shared" si="4"/>
        <v>22</v>
      </c>
      <c r="AD7" s="1">
        <f t="shared" si="3"/>
        <v>76</v>
      </c>
    </row>
    <row r="8" spans="1:30" x14ac:dyDescent="0.3">
      <c r="A8" s="2" t="s">
        <v>23</v>
      </c>
      <c r="B8" s="2" t="s">
        <v>35</v>
      </c>
      <c r="C8" s="2">
        <v>4</v>
      </c>
      <c r="D8" s="2">
        <f>3</f>
        <v>3</v>
      </c>
      <c r="E8" s="2">
        <f>21+5+7+1+5+2+12+1+1+17+5+1</f>
        <v>78</v>
      </c>
      <c r="F8" s="2">
        <v>9</v>
      </c>
      <c r="G8" s="2">
        <v>0</v>
      </c>
      <c r="H8" s="2">
        <f>3</f>
        <v>3</v>
      </c>
      <c r="I8" s="2">
        <v>0</v>
      </c>
      <c r="J8" s="2">
        <v>0</v>
      </c>
      <c r="K8" s="2">
        <v>1</v>
      </c>
      <c r="L8" s="2">
        <v>0</v>
      </c>
      <c r="M8" s="2">
        <v>5</v>
      </c>
      <c r="N8" s="2">
        <f>3+1</f>
        <v>4</v>
      </c>
      <c r="O8" s="2">
        <v>0</v>
      </c>
      <c r="P8" s="2">
        <v>0</v>
      </c>
      <c r="Q8" s="2">
        <f>1+3+6+4+2</f>
        <v>16</v>
      </c>
      <c r="R8" s="2">
        <v>0</v>
      </c>
      <c r="S8" s="2">
        <f>1</f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f t="shared" si="0"/>
        <v>120</v>
      </c>
      <c r="AA8" s="2">
        <v>9</v>
      </c>
      <c r="AB8" s="2">
        <f t="shared" si="1"/>
        <v>90</v>
      </c>
      <c r="AC8" s="2">
        <f t="shared" si="4"/>
        <v>9</v>
      </c>
      <c r="AD8" s="1">
        <f t="shared" si="3"/>
        <v>21</v>
      </c>
    </row>
    <row r="9" spans="1:30" x14ac:dyDescent="0.3">
      <c r="A9" s="2" t="s">
        <v>24</v>
      </c>
      <c r="B9" s="2" t="s">
        <v>35</v>
      </c>
      <c r="C9" s="2">
        <v>4</v>
      </c>
      <c r="D9" s="2">
        <v>0</v>
      </c>
      <c r="E9" s="2">
        <f>13+1+9+1+5+10+17+3+5</f>
        <v>64</v>
      </c>
      <c r="F9" s="2">
        <v>0</v>
      </c>
      <c r="G9" s="2">
        <v>0</v>
      </c>
      <c r="H9" s="2">
        <f>3+6</f>
        <v>9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f>2+6+2+1</f>
        <v>11</v>
      </c>
      <c r="O9" s="2">
        <f>2</f>
        <v>2</v>
      </c>
      <c r="P9" s="2">
        <v>0</v>
      </c>
      <c r="Q9" s="2">
        <f>1+3+3+5</f>
        <v>12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f t="shared" si="0"/>
        <v>99</v>
      </c>
      <c r="AA9" s="2">
        <v>6</v>
      </c>
      <c r="AB9" s="2">
        <f t="shared" si="1"/>
        <v>64</v>
      </c>
      <c r="AC9" s="2">
        <f t="shared" si="4"/>
        <v>21</v>
      </c>
      <c r="AD9" s="1">
        <f t="shared" si="3"/>
        <v>14</v>
      </c>
    </row>
    <row r="10" spans="1:30" x14ac:dyDescent="0.3">
      <c r="A10" s="2" t="s">
        <v>25</v>
      </c>
      <c r="B10" s="2" t="s">
        <v>36</v>
      </c>
      <c r="C10" s="2">
        <v>1</v>
      </c>
      <c r="D10" s="2">
        <v>0</v>
      </c>
      <c r="E10" s="2">
        <f>6+3+3+4</f>
        <v>16</v>
      </c>
      <c r="F10" s="2">
        <v>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f>2</f>
        <v>2</v>
      </c>
      <c r="M10" s="2">
        <f>16+1</f>
        <v>17</v>
      </c>
      <c r="N10" s="2">
        <v>4</v>
      </c>
      <c r="O10" s="2">
        <v>0</v>
      </c>
      <c r="P10" s="2">
        <f>1</f>
        <v>1</v>
      </c>
      <c r="Q10" s="2">
        <f>1+9+5+1</f>
        <v>16</v>
      </c>
      <c r="R10" s="2">
        <f>1</f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f t="shared" si="0"/>
        <v>62</v>
      </c>
      <c r="AA10" s="2">
        <v>8</v>
      </c>
      <c r="AB10" s="2">
        <f t="shared" si="1"/>
        <v>22</v>
      </c>
      <c r="AC10" s="2">
        <f t="shared" si="4"/>
        <v>4</v>
      </c>
      <c r="AD10" s="1">
        <f t="shared" si="3"/>
        <v>37</v>
      </c>
    </row>
    <row r="11" spans="1:30" x14ac:dyDescent="0.3">
      <c r="A11" s="2" t="s">
        <v>26</v>
      </c>
      <c r="B11" s="2" t="s">
        <v>36</v>
      </c>
      <c r="C11" s="2">
        <v>1</v>
      </c>
      <c r="D11" s="2">
        <f>1</f>
        <v>1</v>
      </c>
      <c r="E11" s="2">
        <f>8+2+3+3+2+17+1</f>
        <v>36</v>
      </c>
      <c r="F11" s="2">
        <v>10</v>
      </c>
      <c r="G11" s="2">
        <v>0</v>
      </c>
      <c r="H11" s="2">
        <f>2+1</f>
        <v>3</v>
      </c>
      <c r="I11" s="2">
        <v>0</v>
      </c>
      <c r="J11" s="2">
        <v>0</v>
      </c>
      <c r="K11" s="2">
        <f>1+1</f>
        <v>2</v>
      </c>
      <c r="L11" s="2">
        <f>5+2+2+4+1</f>
        <v>14</v>
      </c>
      <c r="M11" s="2">
        <v>0</v>
      </c>
      <c r="N11" s="2">
        <v>0</v>
      </c>
      <c r="O11" s="2">
        <v>0</v>
      </c>
      <c r="P11" s="2">
        <v>0</v>
      </c>
      <c r="Q11" s="2">
        <f>2+1+1</f>
        <v>4</v>
      </c>
      <c r="R11" s="2">
        <v>0</v>
      </c>
      <c r="S11" s="2">
        <f>1</f>
        <v>1</v>
      </c>
      <c r="T11" s="2">
        <v>0</v>
      </c>
      <c r="U11" s="2">
        <v>0</v>
      </c>
      <c r="V11" s="2">
        <f>1</f>
        <v>1</v>
      </c>
      <c r="W11" s="2">
        <v>0</v>
      </c>
      <c r="X11" s="2">
        <v>0</v>
      </c>
      <c r="Y11" s="2">
        <v>0</v>
      </c>
      <c r="Z11" s="2">
        <f t="shared" si="0"/>
        <v>72</v>
      </c>
      <c r="AA11" s="2">
        <v>9</v>
      </c>
      <c r="AB11" s="2">
        <f t="shared" si="1"/>
        <v>47</v>
      </c>
      <c r="AC11" s="2">
        <f t="shared" si="4"/>
        <v>7</v>
      </c>
      <c r="AD11" s="1">
        <f t="shared" si="3"/>
        <v>18</v>
      </c>
    </row>
    <row r="12" spans="1:30" x14ac:dyDescent="0.3">
      <c r="A12" s="2" t="s">
        <v>27</v>
      </c>
      <c r="B12" s="2" t="s">
        <v>36</v>
      </c>
      <c r="C12" s="2">
        <v>2</v>
      </c>
      <c r="D12" s="2">
        <v>1</v>
      </c>
      <c r="E12" s="2">
        <f>3+9+4+17+1</f>
        <v>34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f>6+2</f>
        <v>8</v>
      </c>
      <c r="N12" s="2">
        <v>0</v>
      </c>
      <c r="O12" s="2">
        <v>0</v>
      </c>
      <c r="P12" s="2">
        <v>0</v>
      </c>
      <c r="Q12" s="2">
        <f>3+18+1+19+3</f>
        <v>44</v>
      </c>
      <c r="R12" s="2">
        <v>0</v>
      </c>
      <c r="S12" s="2">
        <v>0</v>
      </c>
      <c r="T12" s="2">
        <v>0</v>
      </c>
      <c r="U12" s="2">
        <f>1</f>
        <v>1</v>
      </c>
      <c r="V12" s="2">
        <v>0</v>
      </c>
      <c r="W12" s="2">
        <v>0</v>
      </c>
      <c r="X12" s="2">
        <v>0</v>
      </c>
      <c r="Y12" s="2">
        <v>0</v>
      </c>
      <c r="Z12" s="2">
        <f t="shared" si="0"/>
        <v>88</v>
      </c>
      <c r="AA12" s="2">
        <v>5</v>
      </c>
      <c r="AB12" s="2">
        <f t="shared" si="1"/>
        <v>35</v>
      </c>
      <c r="AC12" s="2">
        <f t="shared" si="4"/>
        <v>0</v>
      </c>
      <c r="AD12" s="1">
        <f t="shared" si="3"/>
        <v>53</v>
      </c>
    </row>
    <row r="13" spans="1:30" x14ac:dyDescent="0.3">
      <c r="A13" s="2" t="s">
        <v>28</v>
      </c>
      <c r="B13" s="2" t="s">
        <v>36</v>
      </c>
      <c r="C13" s="2">
        <v>2</v>
      </c>
      <c r="D13" s="2">
        <f>3+4</f>
        <v>7</v>
      </c>
      <c r="E13" s="2">
        <f>2+2+8</f>
        <v>12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f>2</f>
        <v>2</v>
      </c>
      <c r="L13" s="2">
        <f>94+64+119+40+40+23+60+51</f>
        <v>491</v>
      </c>
      <c r="M13" s="2">
        <v>0</v>
      </c>
      <c r="N13" s="2">
        <v>0</v>
      </c>
      <c r="O13" s="2">
        <v>0</v>
      </c>
      <c r="P13" s="2">
        <v>0</v>
      </c>
      <c r="Q13" s="2">
        <f>1+3+5</f>
        <v>9</v>
      </c>
      <c r="R13" s="2">
        <v>0</v>
      </c>
      <c r="S13" s="2">
        <f>3+1</f>
        <v>4</v>
      </c>
      <c r="T13" s="2">
        <v>0</v>
      </c>
      <c r="U13" s="2">
        <v>0</v>
      </c>
      <c r="V13" s="2">
        <v>0</v>
      </c>
      <c r="W13" s="2">
        <f>13+2</f>
        <v>15</v>
      </c>
      <c r="X13" s="2">
        <v>0</v>
      </c>
      <c r="Y13" s="2">
        <v>0</v>
      </c>
      <c r="Z13" s="2">
        <f t="shared" si="0"/>
        <v>540</v>
      </c>
      <c r="AA13" s="2">
        <v>7</v>
      </c>
      <c r="AB13" s="2">
        <f t="shared" si="1"/>
        <v>19</v>
      </c>
      <c r="AC13" s="2">
        <f t="shared" si="4"/>
        <v>6</v>
      </c>
      <c r="AD13" s="1">
        <f t="shared" si="3"/>
        <v>515</v>
      </c>
    </row>
    <row r="14" spans="1:30" x14ac:dyDescent="0.3">
      <c r="A14" s="2" t="s">
        <v>29</v>
      </c>
      <c r="B14" s="2" t="s">
        <v>36</v>
      </c>
      <c r="C14" s="2">
        <v>3</v>
      </c>
      <c r="D14" s="2">
        <f>1+1</f>
        <v>2</v>
      </c>
      <c r="E14" s="2">
        <f>5+3+4</f>
        <v>12</v>
      </c>
      <c r="F14" s="2">
        <v>0</v>
      </c>
      <c r="G14" s="2">
        <f>1</f>
        <v>1</v>
      </c>
      <c r="H14" s="2">
        <f>1</f>
        <v>1</v>
      </c>
      <c r="I14" s="2">
        <v>0</v>
      </c>
      <c r="J14" s="2">
        <v>0</v>
      </c>
      <c r="K14" s="2">
        <f>1</f>
        <v>1</v>
      </c>
      <c r="L14" s="2">
        <f>1</f>
        <v>1</v>
      </c>
      <c r="M14" s="2">
        <f>8+2</f>
        <v>10</v>
      </c>
      <c r="N14" s="2">
        <f>1</f>
        <v>1</v>
      </c>
      <c r="O14" s="2">
        <v>0</v>
      </c>
      <c r="P14" s="2">
        <v>0</v>
      </c>
      <c r="Q14" s="2">
        <f>2+2+5</f>
        <v>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f t="shared" si="0"/>
        <v>38</v>
      </c>
      <c r="AA14" s="2">
        <v>9</v>
      </c>
      <c r="AB14" s="2">
        <f t="shared" si="1"/>
        <v>14</v>
      </c>
      <c r="AC14" s="2">
        <f t="shared" si="4"/>
        <v>3</v>
      </c>
      <c r="AD14" s="1">
        <f t="shared" si="3"/>
        <v>21</v>
      </c>
    </row>
    <row r="15" spans="1:30" x14ac:dyDescent="0.3">
      <c r="A15" s="2" t="s">
        <v>30</v>
      </c>
      <c r="B15" s="2" t="s">
        <v>36</v>
      </c>
      <c r="C15" s="2">
        <v>3</v>
      </c>
      <c r="D15" s="2">
        <v>0</v>
      </c>
      <c r="E15" s="2">
        <f>2+3+2+3+4+2+5</f>
        <v>21</v>
      </c>
      <c r="F15" s="2">
        <v>2</v>
      </c>
      <c r="G15" s="2">
        <v>0</v>
      </c>
      <c r="H15" s="2">
        <v>0</v>
      </c>
      <c r="I15" s="2">
        <v>3</v>
      </c>
      <c r="J15" s="2">
        <v>0</v>
      </c>
      <c r="K15" s="2">
        <f>37+50+5+3</f>
        <v>95</v>
      </c>
      <c r="L15" s="2">
        <f>7</f>
        <v>7</v>
      </c>
      <c r="M15" s="2">
        <v>8</v>
      </c>
      <c r="N15" s="2">
        <f>1</f>
        <v>1</v>
      </c>
      <c r="O15" s="2">
        <v>0</v>
      </c>
      <c r="P15" s="2">
        <v>0</v>
      </c>
      <c r="Q15" s="2">
        <f>1+1+1</f>
        <v>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f>1</f>
        <v>1</v>
      </c>
      <c r="Z15" s="2">
        <f t="shared" si="0"/>
        <v>141</v>
      </c>
      <c r="AA15" s="2">
        <v>9</v>
      </c>
      <c r="AB15" s="2">
        <f t="shared" si="1"/>
        <v>23</v>
      </c>
      <c r="AC15" s="2">
        <f t="shared" si="4"/>
        <v>99</v>
      </c>
      <c r="AD15" s="1">
        <f t="shared" si="3"/>
        <v>18</v>
      </c>
    </row>
    <row r="16" spans="1:30" x14ac:dyDescent="0.3">
      <c r="A16" s="2" t="s">
        <v>31</v>
      </c>
      <c r="B16" s="2" t="s">
        <v>36</v>
      </c>
      <c r="C16" s="2">
        <v>4</v>
      </c>
      <c r="D16" s="2">
        <v>0</v>
      </c>
      <c r="E16" s="2">
        <f>4+1+1+1+6+5+1</f>
        <v>19</v>
      </c>
      <c r="F16" s="2">
        <v>6</v>
      </c>
      <c r="G16" s="2">
        <v>0</v>
      </c>
      <c r="H16" s="2">
        <f>1</f>
        <v>1</v>
      </c>
      <c r="I16" s="2">
        <v>0</v>
      </c>
      <c r="J16" s="2">
        <v>0</v>
      </c>
      <c r="K16" s="2">
        <f>1+1</f>
        <v>2</v>
      </c>
      <c r="L16" s="2">
        <f>10+1+4+2+2</f>
        <v>19</v>
      </c>
      <c r="M16" s="2">
        <v>4</v>
      </c>
      <c r="N16" s="2">
        <v>0</v>
      </c>
      <c r="O16" s="2">
        <v>0</v>
      </c>
      <c r="P16" s="2">
        <v>0</v>
      </c>
      <c r="Q16" s="2">
        <f>1+2+3+1+5+1</f>
        <v>13</v>
      </c>
      <c r="R16" s="2">
        <v>0</v>
      </c>
      <c r="S16" s="2">
        <f>4+1+1</f>
        <v>6</v>
      </c>
      <c r="T16" s="2">
        <v>0</v>
      </c>
      <c r="U16" s="2">
        <v>0</v>
      </c>
      <c r="V16" s="2">
        <f>1</f>
        <v>1</v>
      </c>
      <c r="W16" s="2">
        <f>20+4+3</f>
        <v>27</v>
      </c>
      <c r="X16" s="2">
        <v>0</v>
      </c>
      <c r="Y16" s="2">
        <v>0</v>
      </c>
      <c r="Z16" s="2">
        <f t="shared" si="0"/>
        <v>98</v>
      </c>
      <c r="AA16" s="2">
        <v>10</v>
      </c>
      <c r="AB16" s="2">
        <f t="shared" si="1"/>
        <v>25</v>
      </c>
      <c r="AC16" s="2">
        <f t="shared" si="4"/>
        <v>10</v>
      </c>
      <c r="AD16" s="1">
        <f t="shared" si="3"/>
        <v>63</v>
      </c>
    </row>
    <row r="17" spans="1:30" x14ac:dyDescent="0.3">
      <c r="A17" s="2" t="s">
        <v>32</v>
      </c>
      <c r="B17" s="2" t="s">
        <v>36</v>
      </c>
      <c r="C17" s="2">
        <v>4</v>
      </c>
      <c r="D17" s="2">
        <v>0</v>
      </c>
      <c r="E17" s="2">
        <f>8+7+2+2+7+1</f>
        <v>27</v>
      </c>
      <c r="F17" s="2">
        <v>0</v>
      </c>
      <c r="G17" s="2">
        <v>0</v>
      </c>
      <c r="H17" s="2">
        <f>1</f>
        <v>1</v>
      </c>
      <c r="I17" s="2">
        <v>0</v>
      </c>
      <c r="J17" s="2">
        <v>0</v>
      </c>
      <c r="K17" s="2">
        <f>18+1+1+1</f>
        <v>21</v>
      </c>
      <c r="L17" s="2">
        <f>1</f>
        <v>1</v>
      </c>
      <c r="M17" s="2">
        <f>5+9</f>
        <v>14</v>
      </c>
      <c r="N17" s="2">
        <f>9+4+3+1+1+1</f>
        <v>19</v>
      </c>
      <c r="O17" s="2">
        <v>0</v>
      </c>
      <c r="P17" s="2">
        <v>0</v>
      </c>
      <c r="Q17" s="2">
        <f>3+1+5+2+2</f>
        <v>13</v>
      </c>
      <c r="R17" s="2">
        <v>0</v>
      </c>
      <c r="S17" s="2">
        <f>2</f>
        <v>2</v>
      </c>
      <c r="T17" s="2">
        <v>0</v>
      </c>
      <c r="U17" s="2">
        <v>0</v>
      </c>
      <c r="V17" s="2">
        <v>0</v>
      </c>
      <c r="W17" s="2">
        <f>1</f>
        <v>1</v>
      </c>
      <c r="X17" s="2">
        <v>0</v>
      </c>
      <c r="Y17" s="2">
        <v>0</v>
      </c>
      <c r="Z17" s="2">
        <f t="shared" si="0"/>
        <v>99</v>
      </c>
      <c r="AA17" s="2">
        <v>9</v>
      </c>
      <c r="AB17" s="2">
        <f t="shared" si="1"/>
        <v>27</v>
      </c>
      <c r="AC17" s="2">
        <f t="shared" si="4"/>
        <v>43</v>
      </c>
      <c r="AD17" s="1">
        <f t="shared" si="3"/>
        <v>29</v>
      </c>
    </row>
    <row r="18" spans="1:30" x14ac:dyDescent="0.3">
      <c r="Z18" s="2"/>
    </row>
    <row r="20" spans="1:30" x14ac:dyDescent="0.3">
      <c r="U20" s="2"/>
      <c r="V20" s="2"/>
      <c r="W20" s="2"/>
      <c r="X20" s="2"/>
      <c r="Y20" s="2"/>
      <c r="Z20" s="2"/>
      <c r="AA20" s="2"/>
      <c r="AB20" s="2"/>
      <c r="AC20" s="2"/>
    </row>
    <row r="21" spans="1:30" x14ac:dyDescent="0.3">
      <c r="U21" s="2"/>
      <c r="V21" s="2"/>
      <c r="W21" s="2"/>
      <c r="X21" s="2"/>
      <c r="Y21" s="2"/>
      <c r="Z21" s="2"/>
      <c r="AA21" s="2"/>
      <c r="AB21" s="3"/>
      <c r="AC21" s="3"/>
    </row>
    <row r="22" spans="1:30" x14ac:dyDescent="0.3">
      <c r="U22" s="2"/>
      <c r="V22" s="2"/>
      <c r="W22" s="2"/>
      <c r="X22" s="2"/>
      <c r="Y22" s="2"/>
      <c r="Z22" s="2"/>
      <c r="AA22" s="2"/>
      <c r="AB22" s="3"/>
      <c r="A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E5E9-971D-4367-841C-4C99AA54186C}">
  <dimension ref="A1:B23"/>
  <sheetViews>
    <sheetView workbookViewId="0">
      <selection activeCell="B23" sqref="B23"/>
    </sheetView>
  </sheetViews>
  <sheetFormatPr defaultRowHeight="14.4" x14ac:dyDescent="0.3"/>
  <cols>
    <col min="1" max="1" width="19.5546875" style="2" bestFit="1" customWidth="1"/>
    <col min="2" max="2" width="23.88671875" style="2" bestFit="1" customWidth="1"/>
  </cols>
  <sheetData>
    <row r="1" spans="1:2" x14ac:dyDescent="0.3">
      <c r="A1" s="3" t="s">
        <v>58</v>
      </c>
      <c r="B1" s="3" t="s">
        <v>59</v>
      </c>
    </row>
    <row r="2" spans="1:2" x14ac:dyDescent="0.3">
      <c r="A2" s="5" t="s">
        <v>37</v>
      </c>
      <c r="B2" s="5" t="s">
        <v>0</v>
      </c>
    </row>
    <row r="3" spans="1:2" x14ac:dyDescent="0.3">
      <c r="A3" s="5" t="s">
        <v>38</v>
      </c>
      <c r="B3" s="5" t="s">
        <v>1</v>
      </c>
    </row>
    <row r="4" spans="1:2" x14ac:dyDescent="0.3">
      <c r="A4" s="5" t="s">
        <v>39</v>
      </c>
      <c r="B4" s="5" t="s">
        <v>2</v>
      </c>
    </row>
    <row r="5" spans="1:2" x14ac:dyDescent="0.3">
      <c r="A5" s="5" t="s">
        <v>40</v>
      </c>
      <c r="B5" s="5" t="s">
        <v>3</v>
      </c>
    </row>
    <row r="6" spans="1:2" x14ac:dyDescent="0.3">
      <c r="A6" s="6" t="s">
        <v>41</v>
      </c>
      <c r="B6" s="5" t="s">
        <v>4</v>
      </c>
    </row>
    <row r="7" spans="1:2" x14ac:dyDescent="0.3">
      <c r="A7" s="6" t="s">
        <v>42</v>
      </c>
      <c r="B7" s="5" t="s">
        <v>5</v>
      </c>
    </row>
    <row r="8" spans="1:2" x14ac:dyDescent="0.3">
      <c r="A8" s="6" t="s">
        <v>43</v>
      </c>
      <c r="B8" s="5" t="s">
        <v>6</v>
      </c>
    </row>
    <row r="9" spans="1:2" x14ac:dyDescent="0.3">
      <c r="A9" s="6" t="s">
        <v>44</v>
      </c>
      <c r="B9" s="5" t="s">
        <v>7</v>
      </c>
    </row>
    <row r="10" spans="1:2" x14ac:dyDescent="0.3">
      <c r="A10" s="5" t="s">
        <v>45</v>
      </c>
      <c r="B10" s="5" t="s">
        <v>8</v>
      </c>
    </row>
    <row r="11" spans="1:2" x14ac:dyDescent="0.3">
      <c r="A11" s="5" t="s">
        <v>46</v>
      </c>
      <c r="B11" s="5" t="s">
        <v>9</v>
      </c>
    </row>
    <row r="12" spans="1:2" x14ac:dyDescent="0.3">
      <c r="A12" s="6" t="s">
        <v>47</v>
      </c>
      <c r="B12" s="5" t="s">
        <v>10</v>
      </c>
    </row>
    <row r="13" spans="1:2" x14ac:dyDescent="0.3">
      <c r="A13" s="5" t="s">
        <v>48</v>
      </c>
      <c r="B13" s="5" t="s">
        <v>11</v>
      </c>
    </row>
    <row r="14" spans="1:2" x14ac:dyDescent="0.3">
      <c r="A14" s="5" t="s">
        <v>49</v>
      </c>
      <c r="B14" s="5" t="s">
        <v>12</v>
      </c>
    </row>
    <row r="15" spans="1:2" x14ac:dyDescent="0.3">
      <c r="A15" s="5" t="s">
        <v>50</v>
      </c>
      <c r="B15" s="5" t="s">
        <v>13</v>
      </c>
    </row>
    <row r="16" spans="1:2" x14ac:dyDescent="0.3">
      <c r="A16" s="5" t="s">
        <v>70</v>
      </c>
      <c r="B16" s="5" t="s">
        <v>71</v>
      </c>
    </row>
    <row r="17" spans="1:2" x14ac:dyDescent="0.3">
      <c r="A17" s="6" t="s">
        <v>51</v>
      </c>
      <c r="B17" s="5" t="s">
        <v>14</v>
      </c>
    </row>
    <row r="18" spans="1:2" x14ac:dyDescent="0.3">
      <c r="A18" s="5" t="s">
        <v>52</v>
      </c>
      <c r="B18" s="5" t="s">
        <v>15</v>
      </c>
    </row>
    <row r="19" spans="1:2" x14ac:dyDescent="0.3">
      <c r="A19" s="5" t="s">
        <v>53</v>
      </c>
      <c r="B19" s="5" t="s">
        <v>16</v>
      </c>
    </row>
    <row r="20" spans="1:2" x14ac:dyDescent="0.3">
      <c r="A20" s="6" t="s">
        <v>61</v>
      </c>
      <c r="B20" s="5" t="s">
        <v>60</v>
      </c>
    </row>
    <row r="21" spans="1:2" x14ac:dyDescent="0.3">
      <c r="A21" s="5" t="s">
        <v>63</v>
      </c>
      <c r="B21" s="5" t="s">
        <v>62</v>
      </c>
    </row>
    <row r="22" spans="1:2" x14ac:dyDescent="0.3">
      <c r="A22" s="5" t="s">
        <v>64</v>
      </c>
      <c r="B22" s="5" t="s">
        <v>65</v>
      </c>
    </row>
    <row r="23" spans="1:2" x14ac:dyDescent="0.3">
      <c r="A23" s="5" t="s">
        <v>67</v>
      </c>
      <c r="B23" s="5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Oys, Elizabeth A</cp:lastModifiedBy>
  <dcterms:created xsi:type="dcterms:W3CDTF">2021-06-20T16:37:52Z</dcterms:created>
  <dcterms:modified xsi:type="dcterms:W3CDTF">2021-09-07T19:00:58Z</dcterms:modified>
</cp:coreProperties>
</file>