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rvey1/repos/gunns/aspects/electrical/SolarArray/"/>
    </mc:Choice>
  </mc:AlternateContent>
  <xr:revisionPtr revIDLastSave="0" documentId="13_ncr:1_{53DB88F4-2A14-ED4C-B26E-B228B331A0E2}" xr6:coauthVersionLast="45" xr6:coauthVersionMax="45" xr10:uidLastSave="{00000000-0000-0000-0000-000000000000}"/>
  <bookViews>
    <workbookView xWindow="3180" yWindow="2060" windowWidth="27640" windowHeight="16940" activeTab="1" xr2:uid="{799CC822-F0E2-A74F-8338-8871D2686EE5}"/>
  </bookViews>
  <sheets>
    <sheet name="Instructions" sheetId="1" r:id="rId1"/>
    <sheet name="Tuning" sheetId="2" r:id="rId2"/>
    <sheet name="calcul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13" i="3" l="1"/>
  <c r="C8" i="3"/>
  <c r="C10" i="3" l="1"/>
  <c r="C9" i="3"/>
  <c r="C12" i="3"/>
  <c r="C14" i="3"/>
  <c r="C16" i="3" s="1"/>
  <c r="F5" i="3" l="1"/>
  <c r="C21" i="3"/>
  <c r="F4" i="3"/>
  <c r="C22" i="3"/>
  <c r="F22" i="3" s="1"/>
  <c r="G3" i="3"/>
  <c r="C20" i="3"/>
  <c r="C15" i="3"/>
  <c r="F23" i="3" l="1"/>
  <c r="D23" i="2"/>
  <c r="D24" i="2"/>
  <c r="G21" i="3"/>
  <c r="C17" i="3"/>
  <c r="C18" i="3"/>
  <c r="C23" i="3" l="1"/>
  <c r="G4" i="3"/>
  <c r="H4" i="3" s="1"/>
  <c r="G22" i="3" l="1"/>
  <c r="C24" i="3"/>
  <c r="C25" i="3" l="1"/>
  <c r="C26" i="3" s="1"/>
  <c r="C27" i="3" s="1"/>
  <c r="D20" i="2" l="1"/>
  <c r="C29" i="3"/>
  <c r="D25" i="2" s="1"/>
  <c r="C28" i="3"/>
  <c r="F24" i="3"/>
  <c r="D21" i="2"/>
  <c r="H24" i="3" l="1"/>
  <c r="D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72EBBA55-40BE-9E4E-85B5-6B4F1E4C602C}">
      <text>
        <r>
          <rPr>
            <b/>
            <sz val="10"/>
            <color rgb="FF000000"/>
            <rFont val="Tahoma"/>
            <family val="2"/>
          </rPr>
          <t>Average at earth low orbit is 1361, at surface is 1000</t>
        </r>
      </text>
    </comment>
  </commentList>
</comments>
</file>

<file path=xl/sharedStrings.xml><?xml version="1.0" encoding="utf-8"?>
<sst xmlns="http://schemas.openxmlformats.org/spreadsheetml/2006/main" count="112" uniqueCount="72">
  <si>
    <t>GunnsElectPvArray Tuning Helper</t>
  </si>
  <si>
    <t>Config Data</t>
  </si>
  <si>
    <t># strings</t>
  </si>
  <si>
    <t>Blocking diode voltage drop</t>
  </si>
  <si>
    <t>V</t>
  </si>
  <si>
    <t># cells</t>
  </si>
  <si>
    <t>Surface area</t>
  </si>
  <si>
    <t>Efficiency</t>
  </si>
  <si>
    <t>(0-1)</t>
  </si>
  <si>
    <t>ohm</t>
  </si>
  <si>
    <t>Shunt resistance</t>
  </si>
  <si>
    <t>Series resistance</t>
  </si>
  <si>
    <t>Source flux magnitude</t>
  </si>
  <si>
    <t>Input Data</t>
  </si>
  <si>
    <t>Open circuit voltage</t>
  </si>
  <si>
    <t>Output Performance</t>
  </si>
  <si>
    <t>MPP</t>
  </si>
  <si>
    <t>Power</t>
  </si>
  <si>
    <t>Voltage</t>
  </si>
  <si>
    <t>Current</t>
  </si>
  <si>
    <t>Short circuit current</t>
  </si>
  <si>
    <t>Fill Fraction</t>
  </si>
  <si>
    <t>W</t>
  </si>
  <si>
    <t>amp</t>
  </si>
  <si>
    <t>Maximum Power Point:</t>
  </si>
  <si>
    <t>GunnsElectPvString::update</t>
  </si>
  <si>
    <t>mEqProps.mShuntVoltageDrop</t>
  </si>
  <si>
    <t>mEqProps.mSeriesResistance</t>
  </si>
  <si>
    <t>mEqProps.mSeriesVoltageDrop</t>
  </si>
  <si>
    <t>power</t>
  </si>
  <si>
    <t>mEqProps.mSourceCurrent</t>
  </si>
  <si>
    <t>mOpenCircuitVoltage</t>
  </si>
  <si>
    <t>mShortCircuitCurrent</t>
  </si>
  <si>
    <t>ish</t>
  </si>
  <si>
    <t>is</t>
  </si>
  <si>
    <t>mMpp.mPower</t>
  </si>
  <si>
    <t>mMpp.mVoltage</t>
  </si>
  <si>
    <t>mMpp.mCurrent</t>
  </si>
  <si>
    <t>mIdealDiodeFactor</t>
  </si>
  <si>
    <t>mEqProps.mShuntResistsance</t>
  </si>
  <si>
    <t>GunnsElectPvString::updateMpp</t>
  </si>
  <si>
    <t>String PV curve plot:</t>
  </si>
  <si>
    <t>voltage</t>
  </si>
  <si>
    <t>current</t>
  </si>
  <si>
    <t>GunnsElectPvArray::updateArray</t>
  </si>
  <si>
    <t>mIvCornerVoltage</t>
  </si>
  <si>
    <t>mIvCornerCurrent</t>
  </si>
  <si>
    <t>dI</t>
  </si>
  <si>
    <t>fluxMpp</t>
  </si>
  <si>
    <t>Array PV curve plot:</t>
  </si>
  <si>
    <t>&gt; 0</t>
  </si>
  <si>
    <t>&gt; 0 W/m2</t>
  </si>
  <si>
    <t>&gt; 0 V</t>
  </si>
  <si>
    <t>&gt; 0 m2</t>
  </si>
  <si>
    <t>&gt; 0 ohm</t>
  </si>
  <si>
    <t>Refer to the GunnsElectPvArray link help page in the wiki for more info about the model and the input &amp; config data terms.</t>
  </si>
  <si>
    <t>All sections face directly towards sun</t>
  </si>
  <si>
    <t>No temperature effects</t>
  </si>
  <si>
    <t>No shading</t>
  </si>
  <si>
    <t>The 'Tuning' sheet predicts the performance of the GunnsElectPvArray model with the given input &amp; config data.</t>
  </si>
  <si>
    <t>This can be used to help tune a GunnsElectPvArray.</t>
  </si>
  <si>
    <t>Enter your input &amp; config data in the orange fields, noting the ranges and units to the right.</t>
  </si>
  <si>
    <t>MPP = Maximum Power Point</t>
  </si>
  <si>
    <t>Assumptions &amp; Limitations of this spreadsheet:</t>
  </si>
  <si>
    <t>See the Instructions sheet for more info</t>
  </si>
  <si>
    <t>Array:</t>
  </si>
  <si>
    <t>String:</t>
  </si>
  <si>
    <t>Cell:</t>
  </si>
  <si>
    <t>Some combinations of input values give invalid results, which will show up as a weird looking performance curve or bad cell values.</t>
  </si>
  <si>
    <t>The initial default input &amp; config values give what a typical array curve should look like.</t>
  </si>
  <si>
    <t>The output performance curve for the array is shown in the green fields and the graph.</t>
  </si>
  <si>
    <t>All sections &amp; strings are identical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</si>
</sst>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5" fillId="0" borderId="0" xfId="0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applyFont="1"/>
    <xf numFmtId="0" fontId="3" fillId="3" borderId="1" xfId="2"/>
    <xf numFmtId="171" fontId="2" fillId="2" borderId="0" xfId="1" applyNumberFormat="1"/>
    <xf numFmtId="0" fontId="4" fillId="0" borderId="0" xfId="0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Performance</a:t>
            </a:r>
          </a:p>
        </c:rich>
      </c:tx>
      <c:layout>
        <c:manualLayout>
          <c:xMode val="edge"/>
          <c:yMode val="edge"/>
          <c:x val="0.393572077528770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8794669897038E-2"/>
          <c:y val="6.1601574803149609E-2"/>
          <c:w val="0.79881874621441551"/>
          <c:h val="0.86182303149606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calculations!$G$20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calculations!$F$21:$F$23</c:f>
              <c:numCache>
                <c:formatCode>General</c:formatCode>
                <c:ptCount val="3"/>
                <c:pt idx="0">
                  <c:v>0</c:v>
                </c:pt>
                <c:pt idx="1">
                  <c:v>123.51013953488373</c:v>
                </c:pt>
                <c:pt idx="2" formatCode="0.00">
                  <c:v>171.40316511627907</c:v>
                </c:pt>
              </c:numCache>
            </c:numRef>
          </c:xVal>
          <c:yVal>
            <c:numRef>
              <c:f>calculations!$G$21:$G$23</c:f>
              <c:numCache>
                <c:formatCode>General</c:formatCode>
                <c:ptCount val="3"/>
                <c:pt idx="0">
                  <c:v>62.293627540743451</c:v>
                </c:pt>
                <c:pt idx="1">
                  <c:v>59.862325581395346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3-E94D-AA89-D641F873D34B}"/>
            </c:ext>
          </c:extLst>
        </c:ser>
        <c:ser>
          <c:idx val="1"/>
          <c:order val="1"/>
          <c:tx>
            <c:v>MPP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1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calculations!$F$24</c:f>
              <c:numCache>
                <c:formatCode>General</c:formatCode>
                <c:ptCount val="1"/>
                <c:pt idx="0">
                  <c:v>123.51013953488373</c:v>
                </c:pt>
              </c:numCache>
            </c:numRef>
          </c:xVal>
          <c:yVal>
            <c:numRef>
              <c:f>calculations!$H$24</c:f>
              <c:numCache>
                <c:formatCode>General</c:formatCode>
                <c:ptCount val="1"/>
                <c:pt idx="0">
                  <c:v>59.862325581395346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3-E94D-AA89-D641F873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31087"/>
        <c:axId val="734477551"/>
      </c:scatterChart>
      <c:valAx>
        <c:axId val="9046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voltage,</a:t>
                </a:r>
                <a:r>
                  <a:rPr lang="en-US" baseline="0"/>
                  <a:t> 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6832222895217"/>
              <c:y val="0.9606053149606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77551"/>
        <c:crosses val="autoZero"/>
        <c:crossBetween val="midCat"/>
      </c:valAx>
      <c:valAx>
        <c:axId val="7344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 amp</a:t>
                </a:r>
              </a:p>
            </c:rich>
          </c:tx>
          <c:layout>
            <c:manualLayout>
              <c:xMode val="edge"/>
              <c:yMode val="edge"/>
              <c:x val="1.9230769230769232E-3"/>
              <c:y val="0.36105807086614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3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30754088431252"/>
          <c:y val="0.46042460629921261"/>
          <c:w val="0.10969245911568747"/>
          <c:h val="8.437559055118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A71450-59EB-DE40-820F-69DC9BAA1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29A3-E6B4-2042-ADD7-33E336227F9C}">
  <dimension ref="A1:C14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9" t="s">
        <v>0</v>
      </c>
    </row>
    <row r="2" spans="1:3" x14ac:dyDescent="0.2">
      <c r="B2" t="s">
        <v>59</v>
      </c>
    </row>
    <row r="3" spans="1:3" x14ac:dyDescent="0.2">
      <c r="B3" t="s">
        <v>60</v>
      </c>
    </row>
    <row r="4" spans="1:3" x14ac:dyDescent="0.2">
      <c r="B4" t="s">
        <v>61</v>
      </c>
    </row>
    <row r="5" spans="1:3" x14ac:dyDescent="0.2">
      <c r="B5" t="s">
        <v>70</v>
      </c>
    </row>
    <row r="6" spans="1:3" x14ac:dyDescent="0.2">
      <c r="B6" t="s">
        <v>68</v>
      </c>
    </row>
    <row r="7" spans="1:3" x14ac:dyDescent="0.2">
      <c r="B7" t="s">
        <v>69</v>
      </c>
    </row>
    <row r="8" spans="1:3" x14ac:dyDescent="0.2">
      <c r="B8" t="s">
        <v>62</v>
      </c>
    </row>
    <row r="9" spans="1:3" x14ac:dyDescent="0.2">
      <c r="B9" t="s">
        <v>55</v>
      </c>
    </row>
    <row r="10" spans="1:3" x14ac:dyDescent="0.2">
      <c r="B10" t="s">
        <v>63</v>
      </c>
    </row>
    <row r="11" spans="1:3" x14ac:dyDescent="0.2">
      <c r="C11" t="s">
        <v>56</v>
      </c>
    </row>
    <row r="12" spans="1:3" x14ac:dyDescent="0.2">
      <c r="C12" t="s">
        <v>71</v>
      </c>
    </row>
    <row r="13" spans="1:3" x14ac:dyDescent="0.2">
      <c r="C13" t="s">
        <v>57</v>
      </c>
    </row>
    <row r="14" spans="1:3" x14ac:dyDescent="0.2">
      <c r="C1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5403-6B3E-7E49-A136-7D3956DE9B36}">
  <dimension ref="A1:E27"/>
  <sheetViews>
    <sheetView tabSelected="1" workbookViewId="0">
      <selection activeCell="C3" sqref="C3"/>
    </sheetView>
  </sheetViews>
  <sheetFormatPr baseColWidth="10" defaultRowHeight="16" x14ac:dyDescent="0.2"/>
  <cols>
    <col min="2" max="2" width="7.1640625" customWidth="1"/>
    <col min="3" max="3" width="24.33203125" customWidth="1"/>
  </cols>
  <sheetData>
    <row r="1" spans="1:5" x14ac:dyDescent="0.2">
      <c r="A1" s="9" t="s">
        <v>13</v>
      </c>
    </row>
    <row r="2" spans="1:5" x14ac:dyDescent="0.2">
      <c r="B2" t="s">
        <v>12</v>
      </c>
      <c r="D2" s="7">
        <v>1361</v>
      </c>
      <c r="E2" t="s">
        <v>51</v>
      </c>
    </row>
    <row r="4" spans="1:5" x14ac:dyDescent="0.2">
      <c r="A4" s="9" t="s">
        <v>1</v>
      </c>
    </row>
    <row r="5" spans="1:5" x14ac:dyDescent="0.2">
      <c r="B5" t="s">
        <v>65</v>
      </c>
    </row>
    <row r="6" spans="1:5" x14ac:dyDescent="0.2">
      <c r="C6" t="s">
        <v>2</v>
      </c>
      <c r="D6" s="7">
        <v>10</v>
      </c>
      <c r="E6" t="s">
        <v>50</v>
      </c>
    </row>
    <row r="7" spans="1:5" x14ac:dyDescent="0.2">
      <c r="B7" t="s">
        <v>66</v>
      </c>
    </row>
    <row r="8" spans="1:5" x14ac:dyDescent="0.2">
      <c r="C8" t="s">
        <v>5</v>
      </c>
      <c r="D8" s="7">
        <v>80</v>
      </c>
      <c r="E8" t="s">
        <v>50</v>
      </c>
    </row>
    <row r="9" spans="1:5" x14ac:dyDescent="0.2">
      <c r="C9" t="s">
        <v>3</v>
      </c>
      <c r="D9" s="7">
        <v>0.6</v>
      </c>
      <c r="E9" t="s">
        <v>52</v>
      </c>
    </row>
    <row r="10" spans="1:5" x14ac:dyDescent="0.2">
      <c r="B10" t="s">
        <v>67</v>
      </c>
    </row>
    <row r="11" spans="1:5" x14ac:dyDescent="0.2">
      <c r="C11" t="s">
        <v>6</v>
      </c>
      <c r="D11" s="7">
        <v>0.05</v>
      </c>
      <c r="E11" t="s">
        <v>53</v>
      </c>
    </row>
    <row r="12" spans="1:5" x14ac:dyDescent="0.2">
      <c r="C12" t="s">
        <v>7</v>
      </c>
      <c r="D12" s="7">
        <v>0.2</v>
      </c>
      <c r="E12" t="s">
        <v>8</v>
      </c>
    </row>
    <row r="13" spans="1:5" x14ac:dyDescent="0.2">
      <c r="C13" t="s">
        <v>14</v>
      </c>
      <c r="D13" s="7">
        <v>2.15</v>
      </c>
      <c r="E13" t="s">
        <v>52</v>
      </c>
    </row>
    <row r="14" spans="1:5" x14ac:dyDescent="0.2">
      <c r="C14" t="s">
        <v>11</v>
      </c>
      <c r="D14" s="7">
        <v>0.1</v>
      </c>
      <c r="E14" t="s">
        <v>54</v>
      </c>
    </row>
    <row r="15" spans="1:5" x14ac:dyDescent="0.2">
      <c r="C15" t="s">
        <v>10</v>
      </c>
      <c r="D15" s="7">
        <v>500</v>
      </c>
      <c r="E15" t="s">
        <v>54</v>
      </c>
    </row>
    <row r="17" spans="1:5" x14ac:dyDescent="0.2">
      <c r="A17" s="9" t="s">
        <v>15</v>
      </c>
    </row>
    <row r="19" spans="1:5" x14ac:dyDescent="0.2">
      <c r="B19" t="s">
        <v>24</v>
      </c>
    </row>
    <row r="20" spans="1:5" x14ac:dyDescent="0.2">
      <c r="C20" t="s">
        <v>17</v>
      </c>
      <c r="D20" s="8">
        <f>calculations!C27</f>
        <v>7393.6041854407795</v>
      </c>
      <c r="E20" t="s">
        <v>22</v>
      </c>
    </row>
    <row r="21" spans="1:5" x14ac:dyDescent="0.2">
      <c r="C21" t="s">
        <v>18</v>
      </c>
      <c r="D21" s="8">
        <f>calculations!C25</f>
        <v>123.51013953488373</v>
      </c>
      <c r="E21" t="s">
        <v>4</v>
      </c>
    </row>
    <row r="22" spans="1:5" x14ac:dyDescent="0.2">
      <c r="C22" t="s">
        <v>19</v>
      </c>
      <c r="D22" s="8">
        <f>calculations!C28</f>
        <v>59.862325581395346</v>
      </c>
      <c r="E22" t="s">
        <v>23</v>
      </c>
    </row>
    <row r="23" spans="1:5" x14ac:dyDescent="0.2">
      <c r="B23" t="s">
        <v>14</v>
      </c>
      <c r="D23" s="8">
        <f>calculations!C21</f>
        <v>171.40316511627907</v>
      </c>
      <c r="E23" t="s">
        <v>4</v>
      </c>
    </row>
    <row r="24" spans="1:5" x14ac:dyDescent="0.2">
      <c r="B24" t="s">
        <v>20</v>
      </c>
      <c r="D24" s="8">
        <f>calculations!C20</f>
        <v>62.293627540743451</v>
      </c>
      <c r="E24" t="s">
        <v>23</v>
      </c>
    </row>
    <row r="25" spans="1:5" x14ac:dyDescent="0.2">
      <c r="B25" t="s">
        <v>21</v>
      </c>
      <c r="D25" s="8">
        <f>calculations!C29</f>
        <v>0.69245847962388141</v>
      </c>
      <c r="E25" t="s">
        <v>8</v>
      </c>
    </row>
    <row r="27" spans="1:5" x14ac:dyDescent="0.2">
      <c r="A27" s="9" t="s">
        <v>64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15B4-0015-7448-8480-61C0838F37D8}">
  <dimension ref="A1:H29"/>
  <sheetViews>
    <sheetView workbookViewId="0">
      <selection activeCell="C10" sqref="C10"/>
    </sheetView>
  </sheetViews>
  <sheetFormatPr baseColWidth="10" defaultRowHeight="16" x14ac:dyDescent="0.2"/>
  <cols>
    <col min="2" max="2" width="27.33203125" customWidth="1"/>
  </cols>
  <sheetData>
    <row r="1" spans="1:8" x14ac:dyDescent="0.2">
      <c r="A1" s="1" t="s">
        <v>25</v>
      </c>
      <c r="B1" s="1"/>
      <c r="C1" s="1"/>
      <c r="D1" s="1"/>
      <c r="F1" t="s">
        <v>41</v>
      </c>
    </row>
    <row r="2" spans="1:8" x14ac:dyDescent="0.2">
      <c r="B2" t="s">
        <v>38</v>
      </c>
      <c r="C2" s="3">
        <v>1000000</v>
      </c>
      <c r="F2" t="s">
        <v>42</v>
      </c>
      <c r="G2" t="s">
        <v>43</v>
      </c>
      <c r="H2" t="s">
        <v>16</v>
      </c>
    </row>
    <row r="3" spans="1:8" x14ac:dyDescent="0.2">
      <c r="B3" t="s">
        <v>39</v>
      </c>
      <c r="C3">
        <f>MAX(1/C2,Tuning!D15)</f>
        <v>500</v>
      </c>
      <c r="D3" t="s">
        <v>9</v>
      </c>
      <c r="F3">
        <v>0</v>
      </c>
      <c r="G3">
        <f>C10</f>
        <v>6.2293627540743453</v>
      </c>
    </row>
    <row r="4" spans="1:8" x14ac:dyDescent="0.2">
      <c r="A4" s="1"/>
      <c r="B4" s="1" t="s">
        <v>26</v>
      </c>
      <c r="C4" s="1">
        <f>Tuning!D8*Tuning!D13</f>
        <v>172</v>
      </c>
      <c r="D4" s="1" t="s">
        <v>4</v>
      </c>
      <c r="F4">
        <f>C16</f>
        <v>123.51013953488373</v>
      </c>
      <c r="G4">
        <f>C17</f>
        <v>5.9862325581395348</v>
      </c>
      <c r="H4">
        <f>G4</f>
        <v>5.9862325581395348</v>
      </c>
    </row>
    <row r="5" spans="1:8" x14ac:dyDescent="0.2">
      <c r="A5" s="1"/>
      <c r="B5" s="1" t="s">
        <v>27</v>
      </c>
      <c r="C5" s="1">
        <f>MAX(1/C2,Tuning!D8*Tuning!D14)</f>
        <v>8</v>
      </c>
      <c r="D5" s="1" t="s">
        <v>9</v>
      </c>
      <c r="F5" s="5">
        <f>C9</f>
        <v>171.40316511627907</v>
      </c>
      <c r="G5">
        <v>0</v>
      </c>
    </row>
    <row r="6" spans="1:8" x14ac:dyDescent="0.2">
      <c r="A6" s="1"/>
      <c r="B6" s="1" t="s">
        <v>28</v>
      </c>
      <c r="C6" s="1">
        <f>Tuning!D9</f>
        <v>0.6</v>
      </c>
      <c r="D6" s="1" t="s">
        <v>4</v>
      </c>
    </row>
    <row r="7" spans="1:8" x14ac:dyDescent="0.2">
      <c r="A7" s="1"/>
      <c r="B7" s="1" t="s">
        <v>29</v>
      </c>
      <c r="C7" s="1">
        <f>Tuning!D2*Tuning!D8*Tuning!D11*Tuning!D12</f>
        <v>1088.8</v>
      </c>
      <c r="D7" s="1" t="s">
        <v>22</v>
      </c>
    </row>
    <row r="8" spans="1:8" x14ac:dyDescent="0.2">
      <c r="B8" s="1" t="s">
        <v>30</v>
      </c>
      <c r="C8" s="1">
        <f>C7/C4</f>
        <v>6.3302325581395342</v>
      </c>
      <c r="D8" s="1" t="s">
        <v>23</v>
      </c>
    </row>
    <row r="9" spans="1:8" x14ac:dyDescent="0.2">
      <c r="B9" s="1" t="s">
        <v>31</v>
      </c>
      <c r="C9" s="4">
        <f>C4-C6+C8*C3/C2</f>
        <v>171.40316511627907</v>
      </c>
      <c r="D9" s="1" t="s">
        <v>4</v>
      </c>
    </row>
    <row r="10" spans="1:8" x14ac:dyDescent="0.2">
      <c r="B10" s="1" t="s">
        <v>32</v>
      </c>
      <c r="C10" s="1">
        <f>MAX(0,(C8*C3-C6)/(C5+C3))</f>
        <v>6.2293627540743453</v>
      </c>
      <c r="D10" s="1" t="s">
        <v>23</v>
      </c>
    </row>
    <row r="11" spans="1:8" x14ac:dyDescent="0.2">
      <c r="A11" s="1" t="s">
        <v>40</v>
      </c>
    </row>
    <row r="12" spans="1:8" x14ac:dyDescent="0.2">
      <c r="B12" s="1" t="s">
        <v>29</v>
      </c>
      <c r="C12" s="1">
        <f>C4*C8</f>
        <v>1088.8</v>
      </c>
      <c r="D12" s="1" t="s">
        <v>22</v>
      </c>
    </row>
    <row r="13" spans="1:8" x14ac:dyDescent="0.2">
      <c r="B13" s="1" t="s">
        <v>33</v>
      </c>
      <c r="C13" s="1">
        <f>C4/C3</f>
        <v>0.34399999999999997</v>
      </c>
      <c r="D13" s="1" t="s">
        <v>23</v>
      </c>
    </row>
    <row r="14" spans="1:8" x14ac:dyDescent="0.2">
      <c r="B14" s="1" t="s">
        <v>34</v>
      </c>
      <c r="C14" s="1">
        <f>C8-C13</f>
        <v>5.9862325581395339</v>
      </c>
      <c r="D14" s="1" t="s">
        <v>23</v>
      </c>
    </row>
    <row r="15" spans="1:8" x14ac:dyDescent="0.2">
      <c r="B15" s="1" t="s">
        <v>35</v>
      </c>
      <c r="C15" s="1">
        <f>MAX(0,C12-C4*C13-C14*C6-C14*C14*Tuning!D8*Tuning!D14)</f>
        <v>739.3604185440779</v>
      </c>
      <c r="D15" s="1" t="s">
        <v>22</v>
      </c>
    </row>
    <row r="16" spans="1:8" x14ac:dyDescent="0.2">
      <c r="B16" s="1" t="s">
        <v>36</v>
      </c>
      <c r="C16" s="1">
        <f>MAX(0.0000000000000002,C4-C14*C5-C6)</f>
        <v>123.51013953488373</v>
      </c>
      <c r="D16" s="1" t="s">
        <v>4</v>
      </c>
    </row>
    <row r="17" spans="1:8" x14ac:dyDescent="0.2">
      <c r="B17" s="1" t="s">
        <v>37</v>
      </c>
      <c r="C17" s="1">
        <f>C15/C16</f>
        <v>5.9862325581395348</v>
      </c>
      <c r="D17" s="1" t="s">
        <v>23</v>
      </c>
    </row>
    <row r="18" spans="1:8" x14ac:dyDescent="0.2">
      <c r="B18" s="2" t="s">
        <v>21</v>
      </c>
      <c r="C18" s="2">
        <f>C15/C9/C10</f>
        <v>0.6924584796238813</v>
      </c>
      <c r="D18" s="1"/>
    </row>
    <row r="19" spans="1:8" x14ac:dyDescent="0.2">
      <c r="A19" t="s">
        <v>44</v>
      </c>
      <c r="F19" t="s">
        <v>49</v>
      </c>
    </row>
    <row r="20" spans="1:8" x14ac:dyDescent="0.2">
      <c r="B20" t="s">
        <v>32</v>
      </c>
      <c r="C20">
        <f>C10*Tuning!D6</f>
        <v>62.293627540743451</v>
      </c>
      <c r="D20" s="1" t="s">
        <v>23</v>
      </c>
      <c r="F20" t="s">
        <v>42</v>
      </c>
      <c r="G20" t="s">
        <v>43</v>
      </c>
      <c r="H20" t="s">
        <v>16</v>
      </c>
    </row>
    <row r="21" spans="1:8" x14ac:dyDescent="0.2">
      <c r="B21" t="s">
        <v>31</v>
      </c>
      <c r="C21" s="5">
        <f>C9</f>
        <v>171.40316511627907</v>
      </c>
      <c r="D21" s="6" t="s">
        <v>4</v>
      </c>
      <c r="F21">
        <v>0</v>
      </c>
      <c r="G21">
        <f>C20</f>
        <v>62.293627540743451</v>
      </c>
    </row>
    <row r="22" spans="1:8" x14ac:dyDescent="0.2">
      <c r="B22" t="s">
        <v>45</v>
      </c>
      <c r="C22">
        <f>C16</f>
        <v>123.51013953488373</v>
      </c>
      <c r="D22" s="6" t="s">
        <v>4</v>
      </c>
      <c r="F22">
        <f>C22</f>
        <v>123.51013953488373</v>
      </c>
      <c r="G22">
        <f>C23</f>
        <v>59.862325581395346</v>
      </c>
    </row>
    <row r="23" spans="1:8" x14ac:dyDescent="0.2">
      <c r="B23" t="s">
        <v>46</v>
      </c>
      <c r="C23">
        <f>C17*Tuning!D6</f>
        <v>59.862325581395346</v>
      </c>
      <c r="D23" s="6" t="s">
        <v>23</v>
      </c>
      <c r="F23" s="5">
        <f>C21</f>
        <v>171.40316511627907</v>
      </c>
      <c r="G23">
        <v>0</v>
      </c>
    </row>
    <row r="24" spans="1:8" x14ac:dyDescent="0.2">
      <c r="B24" t="s">
        <v>47</v>
      </c>
      <c r="C24">
        <f>C20-C23</f>
        <v>2.4313019593481044</v>
      </c>
      <c r="D24" s="6" t="s">
        <v>23</v>
      </c>
      <c r="F24">
        <f>C25</f>
        <v>123.51013953488373</v>
      </c>
      <c r="H24">
        <f>C28</f>
        <v>59.862325581395346</v>
      </c>
    </row>
    <row r="25" spans="1:8" x14ac:dyDescent="0.2">
      <c r="B25" t="s">
        <v>36</v>
      </c>
      <c r="C25">
        <f>MIN(0.5*C20*C22/C24,C22)</f>
        <v>123.51013953488373</v>
      </c>
      <c r="D25" s="6" t="s">
        <v>4</v>
      </c>
    </row>
    <row r="26" spans="1:8" x14ac:dyDescent="0.2">
      <c r="B26" t="s">
        <v>48</v>
      </c>
      <c r="C26">
        <f>C20-C24*C25/C22</f>
        <v>59.862325581395346</v>
      </c>
      <c r="D26" s="6" t="s">
        <v>23</v>
      </c>
    </row>
    <row r="27" spans="1:8" x14ac:dyDescent="0.2">
      <c r="B27" t="s">
        <v>35</v>
      </c>
      <c r="C27">
        <f>C26*C25</f>
        <v>7393.6041854407795</v>
      </c>
      <c r="D27" s="6" t="s">
        <v>22</v>
      </c>
    </row>
    <row r="28" spans="1:8" x14ac:dyDescent="0.2">
      <c r="B28" t="s">
        <v>37</v>
      </c>
      <c r="C28">
        <f>C27/MAX(0.0000000000000002,C25)</f>
        <v>59.862325581395346</v>
      </c>
      <c r="D28" s="6" t="s">
        <v>23</v>
      </c>
    </row>
    <row r="29" spans="1:8" x14ac:dyDescent="0.2">
      <c r="B29" s="2" t="s">
        <v>21</v>
      </c>
      <c r="C29" s="2">
        <f>C27/C20/C21</f>
        <v>0.69245847962388141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Tuning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2020-06-15T11:53:21Z</dcterms:created>
  <dcterms:modified xsi:type="dcterms:W3CDTF">2020-06-15T13:48:31Z</dcterms:modified>
</cp:coreProperties>
</file>