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08"/>
  <workbookPr date1904="1" defaultThemeVersion="124226"/>
  <xr:revisionPtr revIDLastSave="2" documentId="11_DC13E4DEF6916F278FA136CF247AA7F6AE86A03A" xr6:coauthVersionLast="45" xr6:coauthVersionMax="45" xr10:uidLastSave="{C2B4EB44-CB94-45BA-8E03-86E50FA63BEB}"/>
  <bookViews>
    <workbookView xWindow="0" yWindow="0" windowWidth="16380" windowHeight="8190" tabRatio="386" xr2:uid="{00000000-000D-0000-FFFF-FFFF00000000}"/>
  </bookViews>
  <sheets>
    <sheet name="Tuner" sheetId="1" r:id="rId1"/>
    <sheet name="example IMV" sheetId="2" r:id="rId2"/>
    <sheet name="example ACS N2" sheetId="3" r:id="rId3"/>
    <sheet name="example ITCS" sheetId="4" r:id="rId4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4" l="1"/>
  <c r="A32" i="4" s="1"/>
  <c r="B32" i="4" s="1"/>
  <c r="C32" i="4" s="1"/>
  <c r="B30" i="4"/>
  <c r="B28" i="4"/>
  <c r="B27" i="4"/>
  <c r="F27" i="4" s="1"/>
  <c r="B26" i="4"/>
  <c r="F26" i="4" s="1"/>
  <c r="F9" i="4"/>
  <c r="F7" i="4"/>
  <c r="F4" i="4"/>
  <c r="F3" i="4"/>
  <c r="F2" i="4"/>
  <c r="A31" i="3"/>
  <c r="B30" i="3"/>
  <c r="B28" i="3"/>
  <c r="B27" i="3"/>
  <c r="F27" i="3" s="1"/>
  <c r="B26" i="3"/>
  <c r="F26" i="3" s="1"/>
  <c r="F9" i="3"/>
  <c r="F7" i="3"/>
  <c r="F4" i="3"/>
  <c r="F3" i="3"/>
  <c r="F2" i="3"/>
  <c r="A31" i="2"/>
  <c r="B30" i="2"/>
  <c r="B28" i="2"/>
  <c r="B27" i="2"/>
  <c r="F27" i="2" s="1"/>
  <c r="B26" i="2"/>
  <c r="F26" i="2" s="1"/>
  <c r="F9" i="2"/>
  <c r="F7" i="2"/>
  <c r="F4" i="2"/>
  <c r="F3" i="2"/>
  <c r="F2" i="2"/>
  <c r="A33" i="1"/>
  <c r="A34" i="1" s="1"/>
  <c r="B34" i="1" s="1"/>
  <c r="C34" i="1" s="1"/>
  <c r="B32" i="1"/>
  <c r="C32" i="1" s="1"/>
  <c r="B30" i="1"/>
  <c r="B29" i="1"/>
  <c r="B28" i="1"/>
  <c r="H28" i="1" s="1"/>
  <c r="B27" i="1"/>
  <c r="H27" i="1" s="1"/>
  <c r="H10" i="1"/>
  <c r="H8" i="1"/>
  <c r="H5" i="1"/>
  <c r="H4" i="1"/>
  <c r="H3" i="1"/>
  <c r="D32" i="1" l="1"/>
  <c r="M32" i="1"/>
  <c r="D34" i="1"/>
  <c r="B31" i="2"/>
  <c r="C31" i="2" s="1"/>
  <c r="M31" i="2" s="1"/>
  <c r="A32" i="2"/>
  <c r="A32" i="3"/>
  <c r="B31" i="3"/>
  <c r="C31" i="3" s="1"/>
  <c r="D32" i="4"/>
  <c r="M31" i="3"/>
  <c r="D31" i="3"/>
  <c r="G32" i="4"/>
  <c r="H32" i="4" s="1"/>
  <c r="F32" i="4"/>
  <c r="B33" i="1"/>
  <c r="A35" i="1"/>
  <c r="G32" i="1"/>
  <c r="H32" i="1" s="1"/>
  <c r="F32" i="1"/>
  <c r="E32" i="1"/>
  <c r="L32" i="1" s="1"/>
  <c r="N32" i="1" s="1"/>
  <c r="M34" i="1"/>
  <c r="G34" i="1"/>
  <c r="H34" i="1" s="1"/>
  <c r="F34" i="1"/>
  <c r="E34" i="1"/>
  <c r="E32" i="4"/>
  <c r="M32" i="4"/>
  <c r="C30" i="3"/>
  <c r="C30" i="4"/>
  <c r="B32" i="2"/>
  <c r="A33" i="2"/>
  <c r="C30" i="2"/>
  <c r="D31" i="2"/>
  <c r="A33" i="4"/>
  <c r="B31" i="4"/>
  <c r="B32" i="3" l="1"/>
  <c r="C32" i="3" s="1"/>
  <c r="A33" i="3"/>
  <c r="M30" i="3"/>
  <c r="D30" i="3"/>
  <c r="A36" i="1"/>
  <c r="B35" i="1"/>
  <c r="C31" i="4"/>
  <c r="I32" i="1"/>
  <c r="I32" i="4"/>
  <c r="I34" i="1"/>
  <c r="D30" i="2"/>
  <c r="M30" i="2"/>
  <c r="B33" i="2"/>
  <c r="A34" i="2"/>
  <c r="C32" i="2"/>
  <c r="F31" i="3"/>
  <c r="E31" i="3"/>
  <c r="L31" i="3" s="1"/>
  <c r="N31" i="3" s="1"/>
  <c r="G31" i="3"/>
  <c r="H31" i="3" s="1"/>
  <c r="M30" i="4"/>
  <c r="D30" i="4"/>
  <c r="E31" i="2"/>
  <c r="F31" i="2"/>
  <c r="G31" i="2"/>
  <c r="H31" i="2" s="1"/>
  <c r="C33" i="1"/>
  <c r="J32" i="1"/>
  <c r="A34" i="4"/>
  <c r="B33" i="4"/>
  <c r="K32" i="1" l="1"/>
  <c r="A34" i="3"/>
  <c r="B33" i="3"/>
  <c r="C33" i="3" s="1"/>
  <c r="D32" i="3"/>
  <c r="M32" i="3"/>
  <c r="C33" i="4"/>
  <c r="A35" i="2"/>
  <c r="B34" i="2"/>
  <c r="M33" i="1"/>
  <c r="D33" i="1"/>
  <c r="G30" i="4"/>
  <c r="H30" i="4" s="1"/>
  <c r="F30" i="4"/>
  <c r="E30" i="4"/>
  <c r="G30" i="3"/>
  <c r="H30" i="3" s="1"/>
  <c r="E30" i="3"/>
  <c r="F30" i="3"/>
  <c r="A35" i="4"/>
  <c r="B34" i="4"/>
  <c r="M33" i="3"/>
  <c r="D33" i="3"/>
  <c r="D32" i="2"/>
  <c r="M32" i="2"/>
  <c r="C33" i="2"/>
  <c r="G30" i="2"/>
  <c r="H30" i="2" s="1"/>
  <c r="F30" i="2"/>
  <c r="E30" i="2"/>
  <c r="J34" i="1"/>
  <c r="K34" i="1" s="1"/>
  <c r="L34" i="1" s="1"/>
  <c r="N34" i="1" s="1"/>
  <c r="J32" i="4"/>
  <c r="K32" i="4" s="1"/>
  <c r="L32" i="4" s="1"/>
  <c r="N32" i="4" s="1"/>
  <c r="D31" i="4"/>
  <c r="M31" i="4"/>
  <c r="I31" i="2"/>
  <c r="J31" i="2" s="1"/>
  <c r="K31" i="2" s="1"/>
  <c r="L31" i="2" s="1"/>
  <c r="N31" i="2" s="1"/>
  <c r="C35" i="1"/>
  <c r="A37" i="1"/>
  <c r="B36" i="1"/>
  <c r="I31" i="3"/>
  <c r="L30" i="3" l="1"/>
  <c r="N30" i="3" s="1"/>
  <c r="G32" i="3"/>
  <c r="H32" i="3" s="1"/>
  <c r="F32" i="3"/>
  <c r="E32" i="3"/>
  <c r="L32" i="3" s="1"/>
  <c r="N32" i="3" s="1"/>
  <c r="B34" i="3"/>
  <c r="C34" i="3" s="1"/>
  <c r="A35" i="3"/>
  <c r="J31" i="3"/>
  <c r="K31" i="3" s="1"/>
  <c r="C36" i="1"/>
  <c r="B37" i="1"/>
  <c r="A38" i="1"/>
  <c r="C34" i="4"/>
  <c r="B35" i="4"/>
  <c r="A36" i="4"/>
  <c r="G33" i="1"/>
  <c r="H33" i="1" s="1"/>
  <c r="F33" i="1"/>
  <c r="E33" i="1"/>
  <c r="D33" i="4"/>
  <c r="M33" i="4"/>
  <c r="I30" i="3"/>
  <c r="J30" i="3" s="1"/>
  <c r="E31" i="4"/>
  <c r="F31" i="4"/>
  <c r="G31" i="4"/>
  <c r="H31" i="4" s="1"/>
  <c r="C34" i="2"/>
  <c r="E32" i="2"/>
  <c r="G32" i="2"/>
  <c r="H32" i="2" s="1"/>
  <c r="F32" i="2"/>
  <c r="F33" i="3"/>
  <c r="E33" i="3"/>
  <c r="L33" i="3" s="1"/>
  <c r="N33" i="3" s="1"/>
  <c r="G33" i="3"/>
  <c r="H33" i="3" s="1"/>
  <c r="M35" i="1"/>
  <c r="D35" i="1"/>
  <c r="L30" i="4"/>
  <c r="N30" i="4" s="1"/>
  <c r="I30" i="4"/>
  <c r="A36" i="2"/>
  <c r="B35" i="2"/>
  <c r="I30" i="2"/>
  <c r="J30" i="2" s="1"/>
  <c r="M33" i="2"/>
  <c r="D33" i="2"/>
  <c r="A36" i="3" l="1"/>
  <c r="B35" i="3"/>
  <c r="C35" i="3" s="1"/>
  <c r="M34" i="3"/>
  <c r="D34" i="3"/>
  <c r="I32" i="3"/>
  <c r="J32" i="3"/>
  <c r="K32" i="3" s="1"/>
  <c r="B36" i="4"/>
  <c r="A37" i="4"/>
  <c r="D34" i="4"/>
  <c r="M34" i="4"/>
  <c r="A39" i="1"/>
  <c r="B38" i="1"/>
  <c r="M34" i="2"/>
  <c r="D34" i="2"/>
  <c r="C35" i="4"/>
  <c r="K30" i="2"/>
  <c r="L30" i="2" s="1"/>
  <c r="N30" i="2" s="1"/>
  <c r="M36" i="1"/>
  <c r="D36" i="1"/>
  <c r="I31" i="4"/>
  <c r="J31" i="4"/>
  <c r="K30" i="3"/>
  <c r="I33" i="3"/>
  <c r="I32" i="2"/>
  <c r="J32" i="2"/>
  <c r="C35" i="2"/>
  <c r="J30" i="4"/>
  <c r="K30" i="4" s="1"/>
  <c r="G35" i="1"/>
  <c r="H35" i="1" s="1"/>
  <c r="E35" i="1"/>
  <c r="F35" i="1"/>
  <c r="E33" i="4"/>
  <c r="G33" i="4"/>
  <c r="H33" i="4" s="1"/>
  <c r="F33" i="4"/>
  <c r="I33" i="1"/>
  <c r="J33" i="1"/>
  <c r="G33" i="2"/>
  <c r="H33" i="2" s="1"/>
  <c r="F33" i="2"/>
  <c r="E33" i="2"/>
  <c r="C37" i="1"/>
  <c r="A37" i="2"/>
  <c r="B36" i="2"/>
  <c r="K33" i="1" l="1"/>
  <c r="L33" i="1" s="1"/>
  <c r="N33" i="1" s="1"/>
  <c r="K32" i="2"/>
  <c r="L32" i="2" s="1"/>
  <c r="N32" i="2" s="1"/>
  <c r="K31" i="4"/>
  <c r="L31" i="4" s="1"/>
  <c r="N31" i="4" s="1"/>
  <c r="G34" i="3"/>
  <c r="H34" i="3" s="1"/>
  <c r="I34" i="3" s="1"/>
  <c r="J34" i="3" s="1"/>
  <c r="K34" i="3" s="1"/>
  <c r="E34" i="3"/>
  <c r="F34" i="3"/>
  <c r="D35" i="3"/>
  <c r="M35" i="3"/>
  <c r="A37" i="3"/>
  <c r="B36" i="3"/>
  <c r="C36" i="3" s="1"/>
  <c r="C38" i="1"/>
  <c r="I33" i="2"/>
  <c r="J33" i="3"/>
  <c r="K33" i="3" s="1"/>
  <c r="B37" i="2"/>
  <c r="A38" i="2"/>
  <c r="D37" i="1"/>
  <c r="M37" i="1"/>
  <c r="M35" i="2"/>
  <c r="D35" i="2"/>
  <c r="B39" i="1"/>
  <c r="A40" i="1"/>
  <c r="G34" i="4"/>
  <c r="H34" i="4" s="1"/>
  <c r="E34" i="4"/>
  <c r="F34" i="4"/>
  <c r="C36" i="4"/>
  <c r="I33" i="4"/>
  <c r="J33" i="4" s="1"/>
  <c r="G36" i="1"/>
  <c r="H36" i="1" s="1"/>
  <c r="F36" i="1"/>
  <c r="E36" i="1"/>
  <c r="I35" i="1"/>
  <c r="J35" i="1"/>
  <c r="D35" i="4"/>
  <c r="M35" i="4"/>
  <c r="E34" i="2"/>
  <c r="F34" i="2"/>
  <c r="G34" i="2"/>
  <c r="H34" i="2" s="1"/>
  <c r="C36" i="2"/>
  <c r="A38" i="4"/>
  <c r="B37" i="4"/>
  <c r="K35" i="1" l="1"/>
  <c r="L35" i="1" s="1"/>
  <c r="N35" i="1" s="1"/>
  <c r="M36" i="3"/>
  <c r="D36" i="3"/>
  <c r="A38" i="3"/>
  <c r="B37" i="3"/>
  <c r="C37" i="3" s="1"/>
  <c r="G35" i="3"/>
  <c r="H35" i="3" s="1"/>
  <c r="F35" i="3"/>
  <c r="E35" i="3"/>
  <c r="L35" i="3" s="1"/>
  <c r="N35" i="3" s="1"/>
  <c r="L34" i="3"/>
  <c r="N34" i="3" s="1"/>
  <c r="I34" i="2"/>
  <c r="J34" i="2"/>
  <c r="I36" i="1"/>
  <c r="J36" i="1" s="1"/>
  <c r="K36" i="1" s="1"/>
  <c r="L36" i="1" s="1"/>
  <c r="N36" i="1" s="1"/>
  <c r="K33" i="4"/>
  <c r="L33" i="4" s="1"/>
  <c r="N33" i="4" s="1"/>
  <c r="J33" i="2"/>
  <c r="K33" i="2" s="1"/>
  <c r="L33" i="2" s="1"/>
  <c r="N33" i="2" s="1"/>
  <c r="F35" i="4"/>
  <c r="E35" i="4"/>
  <c r="G35" i="4"/>
  <c r="H35" i="4" s="1"/>
  <c r="C39" i="1"/>
  <c r="G35" i="2"/>
  <c r="H35" i="2" s="1"/>
  <c r="F35" i="2"/>
  <c r="E35" i="2"/>
  <c r="G37" i="1"/>
  <c r="H37" i="1" s="1"/>
  <c r="F37" i="1"/>
  <c r="E37" i="1"/>
  <c r="M36" i="4"/>
  <c r="D36" i="4"/>
  <c r="A39" i="2"/>
  <c r="B38" i="2"/>
  <c r="C37" i="2"/>
  <c r="M38" i="1"/>
  <c r="D38" i="1"/>
  <c r="I34" i="4"/>
  <c r="J34" i="4"/>
  <c r="K34" i="4" s="1"/>
  <c r="L34" i="4" s="1"/>
  <c r="N34" i="4" s="1"/>
  <c r="A41" i="1"/>
  <c r="B40" i="1"/>
  <c r="C37" i="4"/>
  <c r="A39" i="4"/>
  <c r="B38" i="4"/>
  <c r="M36" i="2"/>
  <c r="D36" i="2"/>
  <c r="K34" i="2" l="1"/>
  <c r="L34" i="2" s="1"/>
  <c r="N34" i="2" s="1"/>
  <c r="I35" i="3"/>
  <c r="J35" i="3" s="1"/>
  <c r="K35" i="3"/>
  <c r="M37" i="3"/>
  <c r="D37" i="3"/>
  <c r="A39" i="3"/>
  <c r="B38" i="3"/>
  <c r="C38" i="3" s="1"/>
  <c r="G36" i="3"/>
  <c r="H36" i="3" s="1"/>
  <c r="F36" i="3"/>
  <c r="E36" i="3"/>
  <c r="L36" i="3" s="1"/>
  <c r="N36" i="3" s="1"/>
  <c r="C40" i="1"/>
  <c r="B41" i="1"/>
  <c r="A42" i="1"/>
  <c r="C38" i="2"/>
  <c r="A40" i="2"/>
  <c r="B39" i="2"/>
  <c r="E36" i="4"/>
  <c r="G36" i="4"/>
  <c r="H36" i="4" s="1"/>
  <c r="F36" i="4"/>
  <c r="A40" i="4"/>
  <c r="B39" i="4"/>
  <c r="I35" i="2"/>
  <c r="G38" i="1"/>
  <c r="H38" i="1" s="1"/>
  <c r="E38" i="1"/>
  <c r="F38" i="1"/>
  <c r="D39" i="1"/>
  <c r="M39" i="1"/>
  <c r="I35" i="4"/>
  <c r="M37" i="2"/>
  <c r="D37" i="2"/>
  <c r="G36" i="2"/>
  <c r="H36" i="2" s="1"/>
  <c r="F36" i="2"/>
  <c r="E36" i="2"/>
  <c r="C38" i="4"/>
  <c r="I37" i="1"/>
  <c r="J37" i="1"/>
  <c r="K37" i="1" s="1"/>
  <c r="L37" i="1" s="1"/>
  <c r="N37" i="1" s="1"/>
  <c r="D37" i="4"/>
  <c r="M37" i="4"/>
  <c r="I36" i="3" l="1"/>
  <c r="J36" i="3"/>
  <c r="K36" i="3" s="1"/>
  <c r="M38" i="3"/>
  <c r="D38" i="3"/>
  <c r="A40" i="3"/>
  <c r="B39" i="3"/>
  <c r="C39" i="3" s="1"/>
  <c r="E37" i="3"/>
  <c r="G37" i="3"/>
  <c r="H37" i="3" s="1"/>
  <c r="F37" i="3"/>
  <c r="M38" i="4"/>
  <c r="D38" i="4"/>
  <c r="B40" i="4"/>
  <c r="A41" i="4"/>
  <c r="G37" i="2"/>
  <c r="H37" i="2" s="1"/>
  <c r="F37" i="2"/>
  <c r="E37" i="2"/>
  <c r="I36" i="4"/>
  <c r="J36" i="4" s="1"/>
  <c r="M38" i="2"/>
  <c r="D38" i="2"/>
  <c r="E39" i="1"/>
  <c r="F39" i="1"/>
  <c r="G39" i="1"/>
  <c r="H39" i="1" s="1"/>
  <c r="M40" i="1"/>
  <c r="D40" i="1"/>
  <c r="I36" i="2"/>
  <c r="J36" i="2"/>
  <c r="C39" i="4"/>
  <c r="B40" i="2"/>
  <c r="A41" i="2"/>
  <c r="B42" i="1"/>
  <c r="A43" i="1"/>
  <c r="I38" i="1"/>
  <c r="J38" i="1"/>
  <c r="J35" i="2"/>
  <c r="K35" i="2" s="1"/>
  <c r="L35" i="2" s="1"/>
  <c r="N35" i="2" s="1"/>
  <c r="C39" i="2"/>
  <c r="J35" i="4"/>
  <c r="K35" i="4" s="1"/>
  <c r="L35" i="4" s="1"/>
  <c r="N35" i="4" s="1"/>
  <c r="C41" i="1"/>
  <c r="F37" i="4"/>
  <c r="G37" i="4"/>
  <c r="H37" i="4" s="1"/>
  <c r="E37" i="4"/>
  <c r="K38" i="1" l="1"/>
  <c r="L38" i="1" s="1"/>
  <c r="N38" i="1" s="1"/>
  <c r="K36" i="2"/>
  <c r="L36" i="2" s="1"/>
  <c r="N36" i="2" s="1"/>
  <c r="I37" i="3"/>
  <c r="J37" i="3" s="1"/>
  <c r="K37" i="3" s="1"/>
  <c r="L37" i="3"/>
  <c r="N37" i="3" s="1"/>
  <c r="M39" i="3"/>
  <c r="D39" i="3"/>
  <c r="B40" i="3"/>
  <c r="A41" i="3"/>
  <c r="G38" i="3"/>
  <c r="H38" i="3" s="1"/>
  <c r="F38" i="3"/>
  <c r="E38" i="3"/>
  <c r="L38" i="3" s="1"/>
  <c r="N38" i="3" s="1"/>
  <c r="K36" i="4"/>
  <c r="L36" i="4" s="1"/>
  <c r="N36" i="4" s="1"/>
  <c r="C42" i="1"/>
  <c r="M39" i="4"/>
  <c r="D39" i="4"/>
  <c r="G38" i="4"/>
  <c r="H38" i="4" s="1"/>
  <c r="F38" i="4"/>
  <c r="E38" i="4"/>
  <c r="E38" i="2"/>
  <c r="G38" i="2"/>
  <c r="H38" i="2" s="1"/>
  <c r="F38" i="2"/>
  <c r="A44" i="1"/>
  <c r="B43" i="1"/>
  <c r="B41" i="2"/>
  <c r="A42" i="2"/>
  <c r="I37" i="4"/>
  <c r="G40" i="1"/>
  <c r="H40" i="1" s="1"/>
  <c r="E40" i="1"/>
  <c r="F40" i="1"/>
  <c r="I39" i="1"/>
  <c r="J39" i="1" s="1"/>
  <c r="M41" i="1"/>
  <c r="D41" i="1"/>
  <c r="M39" i="2"/>
  <c r="D39" i="2"/>
  <c r="I37" i="2"/>
  <c r="J37" i="2"/>
  <c r="C40" i="2"/>
  <c r="A42" i="4"/>
  <c r="B41" i="4"/>
  <c r="C40" i="4"/>
  <c r="K37" i="2" l="1"/>
  <c r="L37" i="2" s="1"/>
  <c r="N37" i="2" s="1"/>
  <c r="I38" i="3"/>
  <c r="J38" i="3"/>
  <c r="A42" i="3"/>
  <c r="B41" i="3"/>
  <c r="C40" i="3"/>
  <c r="F39" i="3"/>
  <c r="G39" i="3"/>
  <c r="H39" i="3" s="1"/>
  <c r="E39" i="3"/>
  <c r="L39" i="3" s="1"/>
  <c r="D40" i="2"/>
  <c r="M40" i="2"/>
  <c r="B44" i="1"/>
  <c r="A45" i="1"/>
  <c r="G39" i="2"/>
  <c r="H39" i="2" s="1"/>
  <c r="E39" i="2"/>
  <c r="F39" i="2"/>
  <c r="K39" i="1"/>
  <c r="L39" i="1" s="1"/>
  <c r="N39" i="1" s="1"/>
  <c r="G39" i="4"/>
  <c r="H39" i="4" s="1"/>
  <c r="F39" i="4"/>
  <c r="E39" i="4"/>
  <c r="I38" i="2"/>
  <c r="I40" i="1"/>
  <c r="J37" i="4"/>
  <c r="K37" i="4" s="1"/>
  <c r="L37" i="4" s="1"/>
  <c r="N37" i="4" s="1"/>
  <c r="I38" i="4"/>
  <c r="C41" i="4"/>
  <c r="B42" i="4"/>
  <c r="A43" i="4"/>
  <c r="B42" i="2"/>
  <c r="A43" i="2"/>
  <c r="C43" i="1"/>
  <c r="E41" i="1"/>
  <c r="F41" i="1"/>
  <c r="G41" i="1"/>
  <c r="H41" i="1" s="1"/>
  <c r="D42" i="1"/>
  <c r="M42" i="1"/>
  <c r="M40" i="4"/>
  <c r="D40" i="4"/>
  <c r="C41" i="2"/>
  <c r="N39" i="3" l="1"/>
  <c r="B12" i="3"/>
  <c r="I39" i="3"/>
  <c r="J39" i="3"/>
  <c r="M40" i="3"/>
  <c r="D40" i="3"/>
  <c r="C41" i="3"/>
  <c r="O41" i="3"/>
  <c r="B42" i="3"/>
  <c r="A43" i="3"/>
  <c r="K38" i="3"/>
  <c r="J38" i="2"/>
  <c r="K38" i="2" s="1"/>
  <c r="L38" i="2" s="1"/>
  <c r="N38" i="2" s="1"/>
  <c r="B43" i="2"/>
  <c r="A44" i="2"/>
  <c r="M41" i="4"/>
  <c r="D41" i="4"/>
  <c r="C44" i="1"/>
  <c r="J40" i="1"/>
  <c r="K40" i="1" s="1"/>
  <c r="L40" i="1" s="1"/>
  <c r="N40" i="1" s="1"/>
  <c r="C42" i="4"/>
  <c r="I39" i="2"/>
  <c r="G42" i="1"/>
  <c r="H42" i="1" s="1"/>
  <c r="F42" i="1"/>
  <c r="E42" i="1"/>
  <c r="C42" i="2"/>
  <c r="B43" i="4"/>
  <c r="A44" i="4"/>
  <c r="I39" i="4"/>
  <c r="J38" i="4"/>
  <c r="K38" i="4" s="1"/>
  <c r="L38" i="4" s="1"/>
  <c r="N38" i="4" s="1"/>
  <c r="M41" i="2"/>
  <c r="D41" i="2"/>
  <c r="G40" i="2"/>
  <c r="H40" i="2" s="1"/>
  <c r="F40" i="2"/>
  <c r="E40" i="2"/>
  <c r="I41" i="1"/>
  <c r="M43" i="1"/>
  <c r="D43" i="1"/>
  <c r="F40" i="4"/>
  <c r="E40" i="4"/>
  <c r="G40" i="4"/>
  <c r="H40" i="4" s="1"/>
  <c r="A46" i="1"/>
  <c r="B45" i="1"/>
  <c r="A44" i="3" l="1"/>
  <c r="B43" i="3"/>
  <c r="C42" i="3"/>
  <c r="O42" i="3"/>
  <c r="M41" i="3"/>
  <c r="D41" i="3"/>
  <c r="G40" i="3"/>
  <c r="H40" i="3" s="1"/>
  <c r="E40" i="3"/>
  <c r="F40" i="3"/>
  <c r="K39" i="3"/>
  <c r="O34" i="3"/>
  <c r="O32" i="3"/>
  <c r="O31" i="3"/>
  <c r="O30" i="3"/>
  <c r="O35" i="3"/>
  <c r="O36" i="3"/>
  <c r="O33" i="3"/>
  <c r="O37" i="3"/>
  <c r="O38" i="3"/>
  <c r="O39" i="3"/>
  <c r="O40" i="3"/>
  <c r="I40" i="2"/>
  <c r="J39" i="4"/>
  <c r="K39" i="4" s="1"/>
  <c r="L39" i="4" s="1"/>
  <c r="M44" i="1"/>
  <c r="D44" i="1"/>
  <c r="A47" i="1"/>
  <c r="B46" i="1"/>
  <c r="I42" i="1"/>
  <c r="E41" i="2"/>
  <c r="G41" i="2"/>
  <c r="H41" i="2" s="1"/>
  <c r="F41" i="2"/>
  <c r="A45" i="4"/>
  <c r="B44" i="4"/>
  <c r="C45" i="1"/>
  <c r="J41" i="1"/>
  <c r="K41" i="1" s="1"/>
  <c r="L41" i="1" s="1"/>
  <c r="J39" i="2"/>
  <c r="K39" i="2" s="1"/>
  <c r="L39" i="2" s="1"/>
  <c r="C43" i="4"/>
  <c r="M42" i="2"/>
  <c r="D42" i="2"/>
  <c r="F41" i="4"/>
  <c r="E41" i="4"/>
  <c r="G41" i="4"/>
  <c r="H41" i="4" s="1"/>
  <c r="C43" i="2"/>
  <c r="D42" i="4"/>
  <c r="M42" i="4"/>
  <c r="I40" i="4"/>
  <c r="A45" i="2"/>
  <c r="B44" i="2"/>
  <c r="G43" i="1"/>
  <c r="H43" i="1" s="1"/>
  <c r="F43" i="1"/>
  <c r="E43" i="1"/>
  <c r="P39" i="3" l="1"/>
  <c r="B13" i="3"/>
  <c r="F13" i="3" s="1"/>
  <c r="L40" i="3"/>
  <c r="N40" i="3" s="1"/>
  <c r="I40" i="3"/>
  <c r="J40" i="3" s="1"/>
  <c r="K40" i="3"/>
  <c r="F41" i="3"/>
  <c r="E41" i="3"/>
  <c r="L41" i="3" s="1"/>
  <c r="N41" i="3" s="1"/>
  <c r="G41" i="3"/>
  <c r="H41" i="3" s="1"/>
  <c r="M42" i="3"/>
  <c r="D42" i="3"/>
  <c r="C43" i="3"/>
  <c r="O43" i="3"/>
  <c r="B44" i="3"/>
  <c r="A45" i="3"/>
  <c r="N39" i="2"/>
  <c r="B12" i="2"/>
  <c r="B13" i="1"/>
  <c r="N41" i="1"/>
  <c r="N39" i="4"/>
  <c r="B12" i="4"/>
  <c r="J42" i="1"/>
  <c r="K42" i="1" s="1"/>
  <c r="L42" i="1" s="1"/>
  <c r="N42" i="1" s="1"/>
  <c r="O46" i="1"/>
  <c r="C46" i="1"/>
  <c r="G44" i="1"/>
  <c r="H44" i="1" s="1"/>
  <c r="F44" i="1"/>
  <c r="E44" i="1"/>
  <c r="M45" i="1"/>
  <c r="D45" i="1"/>
  <c r="O44" i="4"/>
  <c r="C44" i="4"/>
  <c r="I41" i="4"/>
  <c r="J41" i="4"/>
  <c r="G42" i="2"/>
  <c r="H42" i="2" s="1"/>
  <c r="F42" i="2"/>
  <c r="E42" i="2"/>
  <c r="O44" i="2"/>
  <c r="C44" i="2"/>
  <c r="E42" i="4"/>
  <c r="G42" i="4"/>
  <c r="H42" i="4" s="1"/>
  <c r="F42" i="4"/>
  <c r="B45" i="4"/>
  <c r="A46" i="4"/>
  <c r="I41" i="2"/>
  <c r="J41" i="2"/>
  <c r="D43" i="2"/>
  <c r="M43" i="2"/>
  <c r="A48" i="1"/>
  <c r="B47" i="1"/>
  <c r="I43" i="1"/>
  <c r="J43" i="1"/>
  <c r="A46" i="2"/>
  <c r="B45" i="2"/>
  <c r="D43" i="4"/>
  <c r="M43" i="4"/>
  <c r="J40" i="2"/>
  <c r="K40" i="2" s="1"/>
  <c r="L40" i="2" s="1"/>
  <c r="N40" i="2" s="1"/>
  <c r="J40" i="4"/>
  <c r="K40" i="4" s="1"/>
  <c r="L40" i="4" s="1"/>
  <c r="N40" i="4" s="1"/>
  <c r="K43" i="1" l="1"/>
  <c r="L43" i="1" s="1"/>
  <c r="N43" i="1" s="1"/>
  <c r="K41" i="2"/>
  <c r="L41" i="2" s="1"/>
  <c r="N41" i="2" s="1"/>
  <c r="K41" i="4"/>
  <c r="L41" i="4" s="1"/>
  <c r="N41" i="4" s="1"/>
  <c r="A46" i="3"/>
  <c r="B45" i="3"/>
  <c r="O44" i="3"/>
  <c r="C44" i="3"/>
  <c r="D43" i="3"/>
  <c r="M43" i="3"/>
  <c r="E42" i="3"/>
  <c r="G42" i="3"/>
  <c r="H42" i="3" s="1"/>
  <c r="F42" i="3"/>
  <c r="I41" i="3"/>
  <c r="J41" i="3"/>
  <c r="A47" i="4"/>
  <c r="B46" i="4"/>
  <c r="O45" i="2"/>
  <c r="C45" i="2"/>
  <c r="I42" i="4"/>
  <c r="M44" i="2"/>
  <c r="D44" i="2"/>
  <c r="O47" i="1"/>
  <c r="C47" i="1"/>
  <c r="M44" i="4"/>
  <c r="D44" i="4"/>
  <c r="G45" i="1"/>
  <c r="H45" i="1" s="1"/>
  <c r="F45" i="1"/>
  <c r="E45" i="1"/>
  <c r="I44" i="1"/>
  <c r="J44" i="1" s="1"/>
  <c r="A47" i="2"/>
  <c r="B46" i="2"/>
  <c r="O32" i="1"/>
  <c r="O34" i="1"/>
  <c r="O33" i="1"/>
  <c r="O35" i="1"/>
  <c r="O36" i="1"/>
  <c r="O37" i="1"/>
  <c r="O38" i="1"/>
  <c r="O39" i="1"/>
  <c r="O40" i="1"/>
  <c r="O41" i="1"/>
  <c r="O42" i="1"/>
  <c r="O43" i="1"/>
  <c r="O44" i="1"/>
  <c r="O45" i="1"/>
  <c r="G43" i="2"/>
  <c r="H43" i="2" s="1"/>
  <c r="F43" i="2"/>
  <c r="E43" i="2"/>
  <c r="O32" i="4"/>
  <c r="O30" i="4"/>
  <c r="O31" i="4"/>
  <c r="O33" i="4"/>
  <c r="O34" i="4"/>
  <c r="O35" i="4"/>
  <c r="O36" i="4"/>
  <c r="O37" i="4"/>
  <c r="O38" i="4"/>
  <c r="O39" i="4"/>
  <c r="O40" i="4"/>
  <c r="O41" i="4"/>
  <c r="O42" i="4"/>
  <c r="O43" i="4"/>
  <c r="O31" i="2"/>
  <c r="O30" i="2"/>
  <c r="O32" i="2"/>
  <c r="O33" i="2"/>
  <c r="O34" i="2"/>
  <c r="O35" i="2"/>
  <c r="O36" i="2"/>
  <c r="O37" i="2"/>
  <c r="O38" i="2"/>
  <c r="O39" i="2"/>
  <c r="O40" i="2"/>
  <c r="O41" i="2"/>
  <c r="O42" i="2"/>
  <c r="O43" i="2"/>
  <c r="C45" i="4"/>
  <c r="O45" i="4"/>
  <c r="G43" i="4"/>
  <c r="H43" i="4" s="1"/>
  <c r="F43" i="4"/>
  <c r="E43" i="4"/>
  <c r="D46" i="1"/>
  <c r="M46" i="1"/>
  <c r="B48" i="1"/>
  <c r="A49" i="1"/>
  <c r="I42" i="2"/>
  <c r="J42" i="2"/>
  <c r="K42" i="2" l="1"/>
  <c r="L42" i="2" s="1"/>
  <c r="N42" i="2" s="1"/>
  <c r="K41" i="3"/>
  <c r="I42" i="3"/>
  <c r="J42" i="3"/>
  <c r="K42" i="3"/>
  <c r="L42" i="3" s="1"/>
  <c r="N42" i="3" s="1"/>
  <c r="F43" i="3"/>
  <c r="E43" i="3"/>
  <c r="G43" i="3"/>
  <c r="H43" i="3" s="1"/>
  <c r="M44" i="3"/>
  <c r="D44" i="3"/>
  <c r="O45" i="3"/>
  <c r="C45" i="3"/>
  <c r="A47" i="3"/>
  <c r="B46" i="3"/>
  <c r="O46" i="2"/>
  <c r="C46" i="2"/>
  <c r="A48" i="2"/>
  <c r="B47" i="2"/>
  <c r="K44" i="1"/>
  <c r="L44" i="1" s="1"/>
  <c r="N44" i="1" s="1"/>
  <c r="G46" i="1"/>
  <c r="H46" i="1" s="1"/>
  <c r="F46" i="1"/>
  <c r="E46" i="1"/>
  <c r="C48" i="1"/>
  <c r="O48" i="1"/>
  <c r="I43" i="2"/>
  <c r="J43" i="2" s="1"/>
  <c r="F44" i="2"/>
  <c r="G44" i="2"/>
  <c r="H44" i="2" s="1"/>
  <c r="E44" i="2"/>
  <c r="B14" i="1"/>
  <c r="H14" i="1" s="1"/>
  <c r="P41" i="1"/>
  <c r="I43" i="4"/>
  <c r="J43" i="4" s="1"/>
  <c r="K43" i="4" s="1"/>
  <c r="L43" i="4" s="1"/>
  <c r="N43" i="4" s="1"/>
  <c r="A50" i="1"/>
  <c r="B49" i="1"/>
  <c r="M47" i="1"/>
  <c r="D47" i="1"/>
  <c r="O46" i="4"/>
  <c r="C46" i="4"/>
  <c r="P39" i="2"/>
  <c r="B13" i="2"/>
  <c r="F13" i="2" s="1"/>
  <c r="I45" i="1"/>
  <c r="G44" i="4"/>
  <c r="H44" i="4" s="1"/>
  <c r="F44" i="4"/>
  <c r="E44" i="4"/>
  <c r="J42" i="4"/>
  <c r="K42" i="4" s="1"/>
  <c r="L42" i="4" s="1"/>
  <c r="N42" i="4" s="1"/>
  <c r="M45" i="2"/>
  <c r="D45" i="2"/>
  <c r="P39" i="4"/>
  <c r="B13" i="4"/>
  <c r="F13" i="4" s="1"/>
  <c r="D45" i="4"/>
  <c r="M45" i="4"/>
  <c r="A48" i="4"/>
  <c r="B47" i="4"/>
  <c r="C46" i="3" l="1"/>
  <c r="O46" i="3"/>
  <c r="A48" i="3"/>
  <c r="B47" i="3"/>
  <c r="D45" i="3"/>
  <c r="M45" i="3"/>
  <c r="G44" i="3"/>
  <c r="H44" i="3" s="1"/>
  <c r="F44" i="3"/>
  <c r="E44" i="3"/>
  <c r="I43" i="3"/>
  <c r="J43" i="3" s="1"/>
  <c r="K43" i="3"/>
  <c r="L43" i="3" s="1"/>
  <c r="N43" i="3" s="1"/>
  <c r="D48" i="1"/>
  <c r="M48" i="1"/>
  <c r="I46" i="1"/>
  <c r="J46" i="1" s="1"/>
  <c r="B48" i="2"/>
  <c r="A49" i="2"/>
  <c r="B49" i="2" s="1"/>
  <c r="I44" i="4"/>
  <c r="J44" i="4" s="1"/>
  <c r="K43" i="2"/>
  <c r="L43" i="2" s="1"/>
  <c r="N43" i="2" s="1"/>
  <c r="M46" i="2"/>
  <c r="D46" i="2"/>
  <c r="I44" i="2"/>
  <c r="J44" i="2" s="1"/>
  <c r="J45" i="1"/>
  <c r="K45" i="1" s="1"/>
  <c r="L45" i="1" s="1"/>
  <c r="N45" i="1" s="1"/>
  <c r="O47" i="4"/>
  <c r="C47" i="4"/>
  <c r="O47" i="2"/>
  <c r="C47" i="2"/>
  <c r="E45" i="2"/>
  <c r="G45" i="2"/>
  <c r="H45" i="2" s="1"/>
  <c r="F45" i="2"/>
  <c r="D46" i="4"/>
  <c r="M46" i="4"/>
  <c r="G47" i="1"/>
  <c r="H47" i="1" s="1"/>
  <c r="F47" i="1"/>
  <c r="E47" i="1"/>
  <c r="B48" i="4"/>
  <c r="A49" i="4"/>
  <c r="B49" i="4" s="1"/>
  <c r="F45" i="4"/>
  <c r="E45" i="4"/>
  <c r="G45" i="4"/>
  <c r="H45" i="4" s="1"/>
  <c r="O49" i="1"/>
  <c r="C49" i="1"/>
  <c r="B50" i="1"/>
  <c r="A51" i="1"/>
  <c r="B51" i="1" s="1"/>
  <c r="I44" i="3" l="1"/>
  <c r="J44" i="3"/>
  <c r="K44" i="3" s="1"/>
  <c r="L44" i="3" s="1"/>
  <c r="N44" i="3" s="1"/>
  <c r="G45" i="3"/>
  <c r="H45" i="3" s="1"/>
  <c r="F45" i="3"/>
  <c r="E45" i="3"/>
  <c r="O47" i="3"/>
  <c r="C47" i="3"/>
  <c r="B48" i="3"/>
  <c r="A49" i="3"/>
  <c r="B49" i="3" s="1"/>
  <c r="M46" i="3"/>
  <c r="D46" i="3"/>
  <c r="K44" i="2"/>
  <c r="L44" i="2" s="1"/>
  <c r="N44" i="2" s="1"/>
  <c r="C48" i="4"/>
  <c r="O48" i="4"/>
  <c r="K44" i="4"/>
  <c r="L44" i="4" s="1"/>
  <c r="N44" i="4" s="1"/>
  <c r="I45" i="2"/>
  <c r="J45" i="2"/>
  <c r="K45" i="2" s="1"/>
  <c r="L45" i="2" s="1"/>
  <c r="N45" i="2" s="1"/>
  <c r="K46" i="1"/>
  <c r="L46" i="1" s="1"/>
  <c r="N46" i="1" s="1"/>
  <c r="G46" i="2"/>
  <c r="H46" i="2" s="1"/>
  <c r="E46" i="2"/>
  <c r="F46" i="2"/>
  <c r="C49" i="2"/>
  <c r="O49" i="2"/>
  <c r="C48" i="2"/>
  <c r="O48" i="2"/>
  <c r="I45" i="4"/>
  <c r="J45" i="4"/>
  <c r="I47" i="1"/>
  <c r="F48" i="1"/>
  <c r="E48" i="1"/>
  <c r="G48" i="1"/>
  <c r="H48" i="1" s="1"/>
  <c r="C50" i="1"/>
  <c r="O50" i="1"/>
  <c r="M49" i="1"/>
  <c r="D49" i="1"/>
  <c r="O49" i="4"/>
  <c r="C49" i="4"/>
  <c r="G46" i="4"/>
  <c r="H46" i="4" s="1"/>
  <c r="F46" i="4"/>
  <c r="E46" i="4"/>
  <c r="M47" i="2"/>
  <c r="D47" i="2"/>
  <c r="O51" i="1"/>
  <c r="C51" i="1"/>
  <c r="D47" i="4"/>
  <c r="M47" i="4"/>
  <c r="K45" i="4" l="1"/>
  <c r="L45" i="4" s="1"/>
  <c r="N45" i="4" s="1"/>
  <c r="G46" i="3"/>
  <c r="H46" i="3" s="1"/>
  <c r="F46" i="3"/>
  <c r="E46" i="3"/>
  <c r="O49" i="3"/>
  <c r="C49" i="3"/>
  <c r="C48" i="3"/>
  <c r="O48" i="3"/>
  <c r="M47" i="3"/>
  <c r="D47" i="3"/>
  <c r="I45" i="3"/>
  <c r="J45" i="3"/>
  <c r="I46" i="2"/>
  <c r="J46" i="2"/>
  <c r="G49" i="1"/>
  <c r="H49" i="1" s="1"/>
  <c r="F49" i="1"/>
  <c r="E49" i="1"/>
  <c r="I48" i="1"/>
  <c r="J48" i="1" s="1"/>
  <c r="D48" i="4"/>
  <c r="M48" i="4"/>
  <c r="J47" i="1"/>
  <c r="K47" i="1" s="1"/>
  <c r="L47" i="1" s="1"/>
  <c r="N47" i="1" s="1"/>
  <c r="G47" i="4"/>
  <c r="H47" i="4" s="1"/>
  <c r="F47" i="4"/>
  <c r="E47" i="4"/>
  <c r="D48" i="2"/>
  <c r="M48" i="2"/>
  <c r="I46" i="4"/>
  <c r="J46" i="4"/>
  <c r="M51" i="1"/>
  <c r="D51" i="1"/>
  <c r="F47" i="2"/>
  <c r="G47" i="2"/>
  <c r="H47" i="2" s="1"/>
  <c r="E47" i="2"/>
  <c r="M49" i="2"/>
  <c r="D49" i="2"/>
  <c r="M49" i="4"/>
  <c r="D49" i="4"/>
  <c r="D50" i="1"/>
  <c r="M50" i="1"/>
  <c r="K46" i="4" l="1"/>
  <c r="L46" i="4" s="1"/>
  <c r="N46" i="4" s="1"/>
  <c r="K46" i="2"/>
  <c r="L46" i="2" s="1"/>
  <c r="N46" i="2" s="1"/>
  <c r="K45" i="3"/>
  <c r="L45" i="3" s="1"/>
  <c r="N45" i="3" s="1"/>
  <c r="F47" i="3"/>
  <c r="G47" i="3"/>
  <c r="H47" i="3" s="1"/>
  <c r="E47" i="3"/>
  <c r="D48" i="3"/>
  <c r="M48" i="3"/>
  <c r="M49" i="3"/>
  <c r="D49" i="3"/>
  <c r="I46" i="3"/>
  <c r="J46" i="3"/>
  <c r="G51" i="1"/>
  <c r="H51" i="1" s="1"/>
  <c r="F51" i="1"/>
  <c r="E51" i="1"/>
  <c r="I47" i="4"/>
  <c r="E50" i="1"/>
  <c r="G50" i="1"/>
  <c r="H50" i="1" s="1"/>
  <c r="F50" i="1"/>
  <c r="K48" i="1"/>
  <c r="L48" i="1" s="1"/>
  <c r="N48" i="1" s="1"/>
  <c r="F49" i="2"/>
  <c r="E49" i="2"/>
  <c r="G49" i="2"/>
  <c r="H49" i="2" s="1"/>
  <c r="F48" i="4"/>
  <c r="E48" i="4"/>
  <c r="G48" i="4"/>
  <c r="H48" i="4" s="1"/>
  <c r="F49" i="4"/>
  <c r="E49" i="4"/>
  <c r="G49" i="4"/>
  <c r="H49" i="4" s="1"/>
  <c r="I47" i="2"/>
  <c r="J47" i="2" s="1"/>
  <c r="E48" i="2"/>
  <c r="G48" i="2"/>
  <c r="H48" i="2" s="1"/>
  <c r="F48" i="2"/>
  <c r="I49" i="1"/>
  <c r="J49" i="1" s="1"/>
  <c r="K46" i="3" l="1"/>
  <c r="L46" i="3" s="1"/>
  <c r="N46" i="3" s="1"/>
  <c r="G49" i="3"/>
  <c r="H49" i="3" s="1"/>
  <c r="F49" i="3"/>
  <c r="E49" i="3"/>
  <c r="G48" i="3"/>
  <c r="H48" i="3" s="1"/>
  <c r="E48" i="3"/>
  <c r="F48" i="3"/>
  <c r="I47" i="3"/>
  <c r="J47" i="3"/>
  <c r="K47" i="2"/>
  <c r="L47" i="2" s="1"/>
  <c r="N47" i="2" s="1"/>
  <c r="I50" i="1"/>
  <c r="J50" i="1"/>
  <c r="K50" i="1"/>
  <c r="K49" i="1"/>
  <c r="L49" i="1" s="1"/>
  <c r="N49" i="1" s="1"/>
  <c r="J47" i="4"/>
  <c r="K47" i="4" s="1"/>
  <c r="L47" i="4" s="1"/>
  <c r="N47" i="4" s="1"/>
  <c r="I49" i="4"/>
  <c r="J49" i="4"/>
  <c r="I48" i="4"/>
  <c r="J48" i="4" s="1"/>
  <c r="I49" i="2"/>
  <c r="J49" i="2"/>
  <c r="L50" i="1"/>
  <c r="N50" i="1" s="1"/>
  <c r="I48" i="2"/>
  <c r="J48" i="2" s="1"/>
  <c r="K48" i="2" s="1"/>
  <c r="L48" i="2" s="1"/>
  <c r="N48" i="2" s="1"/>
  <c r="I51" i="1"/>
  <c r="J51" i="1"/>
  <c r="K51" i="1" l="1"/>
  <c r="L51" i="1" s="1"/>
  <c r="N51" i="1" s="1"/>
  <c r="K49" i="2"/>
  <c r="L49" i="2" s="1"/>
  <c r="N49" i="2" s="1"/>
  <c r="K49" i="4"/>
  <c r="L49" i="4" s="1"/>
  <c r="N49" i="4" s="1"/>
  <c r="K47" i="3"/>
  <c r="L47" i="3" s="1"/>
  <c r="N47" i="3" s="1"/>
  <c r="I48" i="3"/>
  <c r="J48" i="3"/>
  <c r="K48" i="3" s="1"/>
  <c r="L48" i="3" s="1"/>
  <c r="N48" i="3" s="1"/>
  <c r="I49" i="3"/>
  <c r="J49" i="3" s="1"/>
  <c r="K49" i="3"/>
  <c r="L49" i="3" s="1"/>
  <c r="N49" i="3" s="1"/>
  <c r="K48" i="4"/>
  <c r="L48" i="4" s="1"/>
  <c r="N48" i="4" s="1"/>
</calcChain>
</file>

<file path=xl/sharedStrings.xml><?xml version="1.0" encoding="utf-8"?>
<sst xmlns="http://schemas.openxmlformats.org/spreadsheetml/2006/main" count="242" uniqueCount="78">
  <si>
    <t>Copyright 2019 United States Government as represented by the Administrator of the National Aeronautics and Space Administration.  All Rights Reserved.</t>
  </si>
  <si>
    <t>PIPE:</t>
  </si>
  <si>
    <t>Length</t>
  </si>
  <si>
    <t>m</t>
  </si>
  <si>
    <t>ft</t>
  </si>
  <si>
    <t>Diameter</t>
  </si>
  <si>
    <t>in</t>
  </si>
  <si>
    <t>Roughness</t>
  </si>
  <si>
    <t>FLUID:</t>
  </si>
  <si>
    <t>mdot</t>
  </si>
  <si>
    <t>kg/s</t>
  </si>
  <si>
    <t>mass flow rate (link's mFlowRate)</t>
  </si>
  <si>
    <t>lbm/hr</t>
  </si>
  <si>
    <t>mu</t>
  </si>
  <si>
    <t>Pa*s</t>
  </si>
  <si>
    <t>dynamic viscosity (node's mContent.mViscosity)</t>
  </si>
  <si>
    <t>rho</t>
  </si>
  <si>
    <t>kg/m3</t>
  </si>
  <si>
    <t>density (node's mContent.mDensity)</t>
  </si>
  <si>
    <t>lbm/ft3</t>
  </si>
  <si>
    <t>Result:</t>
  </si>
  <si>
    <t>G</t>
  </si>
  <si>
    <t>m2</t>
  </si>
  <si>
    <t>GUNNS conductivity (link's mMaxConductivity)</t>
  </si>
  <si>
    <t>dP</t>
  </si>
  <si>
    <t>kPa</t>
  </si>
  <si>
    <t>pressure drop (link's mPotentialDrop)</t>
  </si>
  <si>
    <t>psid</t>
  </si>
  <si>
    <t>INSTRUCTIONS:</t>
  </si>
  <si>
    <t>Use this worksheet to estimate the max Conductivity tuning parameter of a GunnsFluidConductor or derived link to simulate a pipe.</t>
  </si>
  <si>
    <t>This assumes a smooth pipe with circular cross-section, and Length &gt;&gt; Diameter (at least 10x).</t>
  </si>
  <si>
    <t>This assumes incompressible flow, so this will not be accurate for gas flows with large changes in density across the pipe (&gt; 5% change or so).</t>
  </si>
  <si>
    <t>This does not account for bends or other intrusions into the pipe flow.</t>
  </si>
  <si>
    <t>Enter your pipe geometry &amp; fluid properties in the gray fields.</t>
  </si>
  <si>
    <t>The blue field shows the estimated GUNNS conductivity that will best model the pipe at your given conditions.</t>
  </si>
  <si>
    <t>The chart shows the pressure drop across the pipe as a function of flow rate (from 0.1 - 2x your design flow rate) and how GUNNS will compare to theory.</t>
  </si>
  <si>
    <t>To see the correct flow result from the GUNNS link, make sure to configure the network's minimum linearization potential (minLinearizationP) to below the link's expected dP.</t>
  </si>
  <si>
    <t>Calculations:</t>
  </si>
  <si>
    <t>Q</t>
  </si>
  <si>
    <t>m3/s</t>
  </si>
  <si>
    <t>volumetric flow rate</t>
  </si>
  <si>
    <t>cfm</t>
  </si>
  <si>
    <t>A</t>
  </si>
  <si>
    <t>cross-sectional area</t>
  </si>
  <si>
    <t>ft2</t>
  </si>
  <si>
    <t>rOverD</t>
  </si>
  <si>
    <t>nu</t>
  </si>
  <si>
    <t>m2/s</t>
  </si>
  <si>
    <t>kinematic viscosity</t>
  </si>
  <si>
    <t>dP (kPa)</t>
  </si>
  <si>
    <t>mdot (kg/s)</t>
  </si>
  <si>
    <t>Q (m3/s)</t>
  </si>
  <si>
    <t>Re</t>
  </si>
  <si>
    <t>Regime</t>
  </si>
  <si>
    <t>FF_lam</t>
  </si>
  <si>
    <t>Re_t</t>
  </si>
  <si>
    <t>a</t>
  </si>
  <si>
    <t>b</t>
  </si>
  <si>
    <t>c</t>
  </si>
  <si>
    <t>FF_turb</t>
  </si>
  <si>
    <t>FF</t>
  </si>
  <si>
    <t>V (m/s)</t>
  </si>
  <si>
    <t>Darcy-Weisbach</t>
  </si>
  <si>
    <t>GUNNS</t>
  </si>
  <si>
    <t>Tuned Point</t>
  </si>
  <si>
    <t>mass flow rate</t>
  </si>
  <si>
    <t>density</t>
  </si>
  <si>
    <t>GUNNS conductivity</t>
  </si>
  <si>
    <t>pressure drop</t>
  </si>
  <si>
    <t>NOTES:</t>
  </si>
  <si>
    <t>This is an example of a typical ISS cabin ventilation duct.</t>
  </si>
  <si>
    <t>dP Darcy-Weisbach (kPa)</t>
  </si>
  <si>
    <t>dP GUNNS (kPa)</t>
  </si>
  <si>
    <t>Design</t>
  </si>
  <si>
    <t>This is an example of an ISS gas supply line.</t>
  </si>
  <si>
    <t>You can see how GUNNS doesn't perform as well in the laminar flow regime.</t>
  </si>
  <si>
    <t>Someday we may develop a higher-fidelity fluid conductor that improves on this.</t>
  </si>
  <si>
    <t>This is an example of a typical ISS water coolant pipe.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</si>
</sst>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E+000"/>
  </numFmts>
  <fonts count="1">
    <font>
      <sz val="1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4" fontId="0" fillId="2" borderId="0" xfId="0" applyNumberFormat="1" applyFill="1"/>
    <xf numFmtId="11" fontId="0" fillId="2" borderId="0" xfId="0" applyNumberFormat="1" applyFill="1"/>
    <xf numFmtId="0" fontId="0" fillId="3" borderId="0" xfId="0" applyFont="1" applyFill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BE4B48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4A7EBB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5613356760345"/>
          <c:y val="3.2750795531089588E-2"/>
          <c:w val="0.86433576439681581"/>
          <c:h val="0.83079878289550091"/>
        </c:manualLayout>
      </c:layout>
      <c:scatterChart>
        <c:scatterStyle val="lineMarker"/>
        <c:varyColors val="0"/>
        <c:ser>
          <c:idx val="0"/>
          <c:order val="0"/>
          <c:tx>
            <c:strRef>
              <c:f>Tuner!$N$31</c:f>
              <c:strCache>
                <c:ptCount val="1"/>
                <c:pt idx="0">
                  <c:v>Darcy-Weisbach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Tuner!$B$32:$B$51</c:f>
              <c:numCache>
                <c:formatCode>General</c:formatCode>
                <c:ptCount val="20"/>
                <c:pt idx="0">
                  <c:v>3.2000000000000002E-3</c:v>
                </c:pt>
                <c:pt idx="1">
                  <c:v>6.4000000000000003E-3</c:v>
                </c:pt>
                <c:pt idx="2">
                  <c:v>9.6000000000000009E-3</c:v>
                </c:pt>
                <c:pt idx="3">
                  <c:v>1.2800000000000001E-2</c:v>
                </c:pt>
                <c:pt idx="4">
                  <c:v>1.6E-2</c:v>
                </c:pt>
                <c:pt idx="5">
                  <c:v>1.9199999999999998E-2</c:v>
                </c:pt>
                <c:pt idx="6">
                  <c:v>2.24E-2</c:v>
                </c:pt>
                <c:pt idx="7">
                  <c:v>2.5599999999999998E-2</c:v>
                </c:pt>
                <c:pt idx="8">
                  <c:v>2.8799999999999999E-2</c:v>
                </c:pt>
                <c:pt idx="9">
                  <c:v>3.1999999999999994E-2</c:v>
                </c:pt>
                <c:pt idx="10">
                  <c:v>3.5199999999999995E-2</c:v>
                </c:pt>
                <c:pt idx="11">
                  <c:v>3.8399999999999997E-2</c:v>
                </c:pt>
                <c:pt idx="12">
                  <c:v>4.1600000000000005E-2</c:v>
                </c:pt>
                <c:pt idx="13">
                  <c:v>4.4800000000000006E-2</c:v>
                </c:pt>
                <c:pt idx="14">
                  <c:v>4.8000000000000008E-2</c:v>
                </c:pt>
                <c:pt idx="15">
                  <c:v>5.1200000000000009E-2</c:v>
                </c:pt>
                <c:pt idx="16">
                  <c:v>5.4400000000000011E-2</c:v>
                </c:pt>
                <c:pt idx="17">
                  <c:v>5.7600000000000019E-2</c:v>
                </c:pt>
                <c:pt idx="18">
                  <c:v>6.0800000000000021E-2</c:v>
                </c:pt>
                <c:pt idx="19">
                  <c:v>6.4000000000000015E-2</c:v>
                </c:pt>
              </c:numCache>
            </c:numRef>
          </c:xVal>
          <c:yVal>
            <c:numRef>
              <c:f>Tuner!$N$32:$N$51</c:f>
              <c:numCache>
                <c:formatCode>General</c:formatCode>
                <c:ptCount val="20"/>
                <c:pt idx="0">
                  <c:v>9.1116299072842409E-6</c:v>
                </c:pt>
                <c:pt idx="1">
                  <c:v>4.6245457452401739E-5</c:v>
                </c:pt>
                <c:pt idx="2">
                  <c:v>9.0712738303071235E-5</c:v>
                </c:pt>
                <c:pt idx="3">
                  <c:v>1.4697021674333266E-4</c:v>
                </c:pt>
                <c:pt idx="4">
                  <c:v>2.1420790907560614E-4</c:v>
                </c:pt>
                <c:pt idx="5">
                  <c:v>2.9185603951193946E-4</c:v>
                </c:pt>
                <c:pt idx="6">
                  <c:v>3.7948205899706255E-4</c:v>
                </c:pt>
                <c:pt idx="7">
                  <c:v>4.7674124783950855E-4</c:v>
                </c:pt>
                <c:pt idx="8">
                  <c:v>5.8334942899664619E-4</c:v>
                </c:pt>
                <c:pt idx="9">
                  <c:v>6.9906641354315494E-4</c:v>
                </c:pt>
                <c:pt idx="10">
                  <c:v>8.2368525689319075E-4</c:v>
                </c:pt>
                <c:pt idx="11">
                  <c:v>9.5702492116741123E-4</c:v>
                </c:pt>
                <c:pt idx="12">
                  <c:v>1.0989250589926399E-3</c:v>
                </c:pt>
                <c:pt idx="13">
                  <c:v>1.2492421835091907E-3</c:v>
                </c:pt>
                <c:pt idx="14">
                  <c:v>1.4078467801618164E-3</c:v>
                </c:pt>
                <c:pt idx="15">
                  <c:v>1.5746210793542116E-3</c:v>
                </c:pt>
                <c:pt idx="16">
                  <c:v>1.749457305660145E-3</c:v>
                </c:pt>
                <c:pt idx="17">
                  <c:v>1.9322562787951992E-3</c:v>
                </c:pt>
                <c:pt idx="18">
                  <c:v>2.1229262795286904E-3</c:v>
                </c:pt>
                <c:pt idx="19">
                  <c:v>2.3213821186976406E-3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C-4895-B950-E653EBBD9CAC}"/>
            </c:ext>
          </c:extLst>
        </c:ser>
        <c:ser>
          <c:idx val="1"/>
          <c:order val="1"/>
          <c:tx>
            <c:strRef>
              <c:f>Tuner!$O$31</c:f>
              <c:strCache>
                <c:ptCount val="1"/>
                <c:pt idx="0">
                  <c:v>GUNNS</c:v>
                </c:pt>
              </c:strCache>
            </c:strRef>
          </c:tx>
          <c:marker>
            <c:symbol val="none"/>
          </c:marker>
          <c:xVal>
            <c:numRef>
              <c:f>Tuner!$B$32:$B$51</c:f>
              <c:numCache>
                <c:formatCode>General</c:formatCode>
                <c:ptCount val="20"/>
                <c:pt idx="0">
                  <c:v>3.2000000000000002E-3</c:v>
                </c:pt>
                <c:pt idx="1">
                  <c:v>6.4000000000000003E-3</c:v>
                </c:pt>
                <c:pt idx="2">
                  <c:v>9.6000000000000009E-3</c:v>
                </c:pt>
                <c:pt idx="3">
                  <c:v>1.2800000000000001E-2</c:v>
                </c:pt>
                <c:pt idx="4">
                  <c:v>1.6E-2</c:v>
                </c:pt>
                <c:pt idx="5">
                  <c:v>1.9199999999999998E-2</c:v>
                </c:pt>
                <c:pt idx="6">
                  <c:v>2.24E-2</c:v>
                </c:pt>
                <c:pt idx="7">
                  <c:v>2.5599999999999998E-2</c:v>
                </c:pt>
                <c:pt idx="8">
                  <c:v>2.8799999999999999E-2</c:v>
                </c:pt>
                <c:pt idx="9">
                  <c:v>3.1999999999999994E-2</c:v>
                </c:pt>
                <c:pt idx="10">
                  <c:v>3.5199999999999995E-2</c:v>
                </c:pt>
                <c:pt idx="11">
                  <c:v>3.8399999999999997E-2</c:v>
                </c:pt>
                <c:pt idx="12">
                  <c:v>4.1600000000000005E-2</c:v>
                </c:pt>
                <c:pt idx="13">
                  <c:v>4.4800000000000006E-2</c:v>
                </c:pt>
                <c:pt idx="14">
                  <c:v>4.8000000000000008E-2</c:v>
                </c:pt>
                <c:pt idx="15">
                  <c:v>5.1200000000000009E-2</c:v>
                </c:pt>
                <c:pt idx="16">
                  <c:v>5.4400000000000011E-2</c:v>
                </c:pt>
                <c:pt idx="17">
                  <c:v>5.7600000000000019E-2</c:v>
                </c:pt>
                <c:pt idx="18">
                  <c:v>6.0800000000000021E-2</c:v>
                </c:pt>
                <c:pt idx="19">
                  <c:v>6.4000000000000015E-2</c:v>
                </c:pt>
              </c:numCache>
            </c:numRef>
          </c:xVal>
          <c:yVal>
            <c:numRef>
              <c:f>Tuner!$O$32:$O$51</c:f>
              <c:numCache>
                <c:formatCode>General</c:formatCode>
                <c:ptCount val="20"/>
                <c:pt idx="0">
                  <c:v>6.990664135431553E-6</c:v>
                </c:pt>
                <c:pt idx="1">
                  <c:v>2.7962656541726212E-5</c:v>
                </c:pt>
                <c:pt idx="2">
                  <c:v>6.2915977218883982E-5</c:v>
                </c:pt>
                <c:pt idx="3">
                  <c:v>1.1185062616690485E-4</c:v>
                </c:pt>
                <c:pt idx="4">
                  <c:v>1.7476660338578879E-4</c:v>
                </c:pt>
                <c:pt idx="5">
                  <c:v>2.5166390887553582E-4</c:v>
                </c:pt>
                <c:pt idx="6">
                  <c:v>3.4254254263614597E-4</c:v>
                </c:pt>
                <c:pt idx="7">
                  <c:v>4.4740250466761923E-4</c:v>
                </c:pt>
                <c:pt idx="8">
                  <c:v>5.6624379496995566E-4</c:v>
                </c:pt>
                <c:pt idx="9">
                  <c:v>6.9906641354315505E-4</c:v>
                </c:pt>
                <c:pt idx="10">
                  <c:v>8.4587036038721766E-4</c:v>
                </c:pt>
                <c:pt idx="11">
                  <c:v>1.0066556355021433E-3</c:v>
                </c:pt>
                <c:pt idx="12">
                  <c:v>1.1814222388879326E-3</c:v>
                </c:pt>
                <c:pt idx="13">
                  <c:v>1.3701701705445843E-3</c:v>
                </c:pt>
                <c:pt idx="14">
                  <c:v>1.5728994304720998E-3</c:v>
                </c:pt>
                <c:pt idx="15">
                  <c:v>1.7896100186704776E-3</c:v>
                </c:pt>
                <c:pt idx="16">
                  <c:v>2.0203019351397195E-3</c:v>
                </c:pt>
                <c:pt idx="17">
                  <c:v>2.2649751798798244E-3</c:v>
                </c:pt>
                <c:pt idx="18">
                  <c:v>2.5236297528907917E-3</c:v>
                </c:pt>
                <c:pt idx="19">
                  <c:v>2.7962656541726219E-3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2C-4895-B950-E653EBBD9CAC}"/>
            </c:ext>
          </c:extLst>
        </c:ser>
        <c:ser>
          <c:idx val="2"/>
          <c:order val="2"/>
          <c:tx>
            <c:strRef>
              <c:f>Tuner!$P$31</c:f>
              <c:strCache>
                <c:ptCount val="1"/>
                <c:pt idx="0">
                  <c:v>Tuned Point</c:v>
                </c:pt>
              </c:strCache>
            </c:strRef>
          </c:tx>
          <c:marker>
            <c:symbol val="diamond"/>
            <c:size val="12"/>
          </c:marker>
          <c:xVal>
            <c:numRef>
              <c:f>Tuner!$B$32:$B$51</c:f>
              <c:numCache>
                <c:formatCode>General</c:formatCode>
                <c:ptCount val="20"/>
                <c:pt idx="0">
                  <c:v>3.2000000000000002E-3</c:v>
                </c:pt>
                <c:pt idx="1">
                  <c:v>6.4000000000000003E-3</c:v>
                </c:pt>
                <c:pt idx="2">
                  <c:v>9.6000000000000009E-3</c:v>
                </c:pt>
                <c:pt idx="3">
                  <c:v>1.2800000000000001E-2</c:v>
                </c:pt>
                <c:pt idx="4">
                  <c:v>1.6E-2</c:v>
                </c:pt>
                <c:pt idx="5">
                  <c:v>1.9199999999999998E-2</c:v>
                </c:pt>
                <c:pt idx="6">
                  <c:v>2.24E-2</c:v>
                </c:pt>
                <c:pt idx="7">
                  <c:v>2.5599999999999998E-2</c:v>
                </c:pt>
                <c:pt idx="8">
                  <c:v>2.8799999999999999E-2</c:v>
                </c:pt>
                <c:pt idx="9">
                  <c:v>3.1999999999999994E-2</c:v>
                </c:pt>
                <c:pt idx="10">
                  <c:v>3.5199999999999995E-2</c:v>
                </c:pt>
                <c:pt idx="11">
                  <c:v>3.8399999999999997E-2</c:v>
                </c:pt>
                <c:pt idx="12">
                  <c:v>4.1600000000000005E-2</c:v>
                </c:pt>
                <c:pt idx="13">
                  <c:v>4.4800000000000006E-2</c:v>
                </c:pt>
                <c:pt idx="14">
                  <c:v>4.8000000000000008E-2</c:v>
                </c:pt>
                <c:pt idx="15">
                  <c:v>5.1200000000000009E-2</c:v>
                </c:pt>
                <c:pt idx="16">
                  <c:v>5.4400000000000011E-2</c:v>
                </c:pt>
                <c:pt idx="17">
                  <c:v>5.7600000000000019E-2</c:v>
                </c:pt>
                <c:pt idx="18">
                  <c:v>6.0800000000000021E-2</c:v>
                </c:pt>
                <c:pt idx="19">
                  <c:v>6.4000000000000015E-2</c:v>
                </c:pt>
              </c:numCache>
            </c:numRef>
          </c:xVal>
          <c:yVal>
            <c:numRef>
              <c:f>Tuner!$P$32:$P$51</c:f>
              <c:numCache>
                <c:formatCode>General</c:formatCode>
                <c:ptCount val="20"/>
                <c:pt idx="9">
                  <c:v>6.9906641354315505E-4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2C-4895-B950-E653EBBD9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3776"/>
        <c:axId val="57044352"/>
      </c:scatterChart>
      <c:valAx>
        <c:axId val="5704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rate (kg/s)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44352"/>
        <c:crosses val="autoZero"/>
        <c:crossBetween val="midCat"/>
      </c:valAx>
      <c:valAx>
        <c:axId val="570443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delta-pressure (kPa)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4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015719431435559"/>
          <c:y val="0.67072445590318897"/>
          <c:w val="0.21085488535869598"/>
          <c:h val="0.160025782175458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'example IMV'!$N$29</c:f>
              <c:strCache>
                <c:ptCount val="1"/>
                <c:pt idx="0">
                  <c:v>dP Darcy-Weisbach (kPa)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xVal>
            <c:numRef>
              <c:f>'example IMV'!$B$30:$B$49</c:f>
              <c:numCache>
                <c:formatCode>General</c:formatCode>
                <c:ptCount val="20"/>
                <c:pt idx="0">
                  <c:v>7.6750000000000004E-3</c:v>
                </c:pt>
                <c:pt idx="1">
                  <c:v>1.5350000000000001E-2</c:v>
                </c:pt>
                <c:pt idx="2">
                  <c:v>2.3025000000000004E-2</c:v>
                </c:pt>
                <c:pt idx="3">
                  <c:v>3.0700000000000002E-2</c:v>
                </c:pt>
                <c:pt idx="4">
                  <c:v>3.8374999999999999E-2</c:v>
                </c:pt>
                <c:pt idx="5">
                  <c:v>4.6050000000000001E-2</c:v>
                </c:pt>
                <c:pt idx="6">
                  <c:v>5.3724999999999995E-2</c:v>
                </c:pt>
                <c:pt idx="7">
                  <c:v>6.1399999999999996E-2</c:v>
                </c:pt>
                <c:pt idx="8">
                  <c:v>6.9074999999999998E-2</c:v>
                </c:pt>
                <c:pt idx="9">
                  <c:v>7.6749999999999985E-2</c:v>
                </c:pt>
                <c:pt idx="10">
                  <c:v>8.4424999999999986E-2</c:v>
                </c:pt>
                <c:pt idx="11">
                  <c:v>9.2100000000000001E-2</c:v>
                </c:pt>
                <c:pt idx="12">
                  <c:v>9.9775000000000003E-2</c:v>
                </c:pt>
                <c:pt idx="13">
                  <c:v>0.10745</c:v>
                </c:pt>
                <c:pt idx="14">
                  <c:v>0.11512500000000002</c:v>
                </c:pt>
                <c:pt idx="15">
                  <c:v>0.12280000000000002</c:v>
                </c:pt>
                <c:pt idx="16">
                  <c:v>0.13047500000000004</c:v>
                </c:pt>
                <c:pt idx="17">
                  <c:v>0.13815000000000002</c:v>
                </c:pt>
                <c:pt idx="18">
                  <c:v>0.14582500000000004</c:v>
                </c:pt>
                <c:pt idx="19">
                  <c:v>0.15350000000000003</c:v>
                </c:pt>
              </c:numCache>
            </c:numRef>
          </c:xVal>
          <c:yVal>
            <c:numRef>
              <c:f>'example IMV'!$N$30:$N$49</c:f>
              <c:numCache>
                <c:formatCode>General</c:formatCode>
                <c:ptCount val="20"/>
                <c:pt idx="0">
                  <c:v>3.8131477506521074E-4</c:v>
                </c:pt>
                <c:pt idx="1">
                  <c:v>1.2185488354878688E-3</c:v>
                </c:pt>
                <c:pt idx="2">
                  <c:v>2.4268855332653431E-3</c:v>
                </c:pt>
                <c:pt idx="3">
                  <c:v>3.9719814787785562E-3</c:v>
                </c:pt>
                <c:pt idx="4">
                  <c:v>5.8326903513876184E-3</c:v>
                </c:pt>
                <c:pt idx="5">
                  <c:v>7.9940765061161309E-3</c:v>
                </c:pt>
                <c:pt idx="6">
                  <c:v>1.0444772389021901E-2</c:v>
                </c:pt>
                <c:pt idx="7">
                  <c:v>1.3175703874323829E-2</c:v>
                </c:pt>
                <c:pt idx="8">
                  <c:v>1.6179383117831118E-2</c:v>
                </c:pt>
                <c:pt idx="9">
                  <c:v>1.9449478035748383E-2</c:v>
                </c:pt>
                <c:pt idx="10">
                  <c:v>2.298053207561666E-2</c:v>
                </c:pt>
                <c:pt idx="11">
                  <c:v>2.6767772343871565E-2</c:v>
                </c:pt>
                <c:pt idx="12">
                  <c:v>3.0806972904120981E-2</c:v>
                </c:pt>
                <c:pt idx="13">
                  <c:v>3.5094354206470689E-2</c:v>
                </c:pt>
                <c:pt idx="14">
                  <c:v>3.9626507113273597E-2</c:v>
                </c:pt>
                <c:pt idx="15">
                  <c:v>4.4400334215710768E-2</c:v>
                </c:pt>
                <c:pt idx="16">
                  <c:v>4.9413003639458469E-2</c:v>
                </c:pt>
                <c:pt idx="17">
                  <c:v>5.4661912082764726E-2</c:v>
                </c:pt>
                <c:pt idx="18">
                  <c:v>6.0144654817836207E-2</c:v>
                </c:pt>
                <c:pt idx="19">
                  <c:v>6.5859001037094467E-2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24-433E-A74E-568095BDA462}"/>
            </c:ext>
          </c:extLst>
        </c:ser>
        <c:ser>
          <c:idx val="1"/>
          <c:order val="1"/>
          <c:tx>
            <c:strRef>
              <c:f>'example IMV'!$O$29</c:f>
              <c:strCache>
                <c:ptCount val="1"/>
                <c:pt idx="0">
                  <c:v>dP GUNNS (kPa)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xVal>
            <c:numRef>
              <c:f>'example IMV'!$B$30:$B$49</c:f>
              <c:numCache>
                <c:formatCode>General</c:formatCode>
                <c:ptCount val="20"/>
                <c:pt idx="0">
                  <c:v>7.6750000000000004E-3</c:v>
                </c:pt>
                <c:pt idx="1">
                  <c:v>1.5350000000000001E-2</c:v>
                </c:pt>
                <c:pt idx="2">
                  <c:v>2.3025000000000004E-2</c:v>
                </c:pt>
                <c:pt idx="3">
                  <c:v>3.0700000000000002E-2</c:v>
                </c:pt>
                <c:pt idx="4">
                  <c:v>3.8374999999999999E-2</c:v>
                </c:pt>
                <c:pt idx="5">
                  <c:v>4.6050000000000001E-2</c:v>
                </c:pt>
                <c:pt idx="6">
                  <c:v>5.3724999999999995E-2</c:v>
                </c:pt>
                <c:pt idx="7">
                  <c:v>6.1399999999999996E-2</c:v>
                </c:pt>
                <c:pt idx="8">
                  <c:v>6.9074999999999998E-2</c:v>
                </c:pt>
                <c:pt idx="9">
                  <c:v>7.6749999999999985E-2</c:v>
                </c:pt>
                <c:pt idx="10">
                  <c:v>8.4424999999999986E-2</c:v>
                </c:pt>
                <c:pt idx="11">
                  <c:v>9.2100000000000001E-2</c:v>
                </c:pt>
                <c:pt idx="12">
                  <c:v>9.9775000000000003E-2</c:v>
                </c:pt>
                <c:pt idx="13">
                  <c:v>0.10745</c:v>
                </c:pt>
                <c:pt idx="14">
                  <c:v>0.11512500000000002</c:v>
                </c:pt>
                <c:pt idx="15">
                  <c:v>0.12280000000000002</c:v>
                </c:pt>
                <c:pt idx="16">
                  <c:v>0.13047500000000004</c:v>
                </c:pt>
                <c:pt idx="17">
                  <c:v>0.13815000000000002</c:v>
                </c:pt>
                <c:pt idx="18">
                  <c:v>0.14582500000000004</c:v>
                </c:pt>
                <c:pt idx="19">
                  <c:v>0.15350000000000003</c:v>
                </c:pt>
              </c:numCache>
            </c:numRef>
          </c:xVal>
          <c:yVal>
            <c:numRef>
              <c:f>'example IMV'!$O$30:$O$49</c:f>
              <c:numCache>
                <c:formatCode>General</c:formatCode>
                <c:ptCount val="20"/>
                <c:pt idx="0">
                  <c:v>1.9449478035748392E-4</c:v>
                </c:pt>
                <c:pt idx="1">
                  <c:v>7.779791214299357E-4</c:v>
                </c:pt>
                <c:pt idx="2">
                  <c:v>1.7504530232173561E-3</c:v>
                </c:pt>
                <c:pt idx="3">
                  <c:v>3.1119164857197428E-3</c:v>
                </c:pt>
                <c:pt idx="4">
                  <c:v>4.8623695089370974E-3</c:v>
                </c:pt>
                <c:pt idx="5">
                  <c:v>7.0018120928694218E-3</c:v>
                </c:pt>
                <c:pt idx="6">
                  <c:v>9.5302442375167079E-3</c:v>
                </c:pt>
                <c:pt idx="7">
                  <c:v>1.2447665942878969E-2</c:v>
                </c:pt>
                <c:pt idx="8">
                  <c:v>1.5754077208956194E-2</c:v>
                </c:pt>
                <c:pt idx="9">
                  <c:v>1.9449478035748383E-2</c:v>
                </c:pt>
                <c:pt idx="10">
                  <c:v>2.3533868423255552E-2</c:v>
                </c:pt>
                <c:pt idx="11">
                  <c:v>2.8007248371477687E-2</c:v>
                </c:pt>
                <c:pt idx="12">
                  <c:v>3.286961788041478E-2</c:v>
                </c:pt>
                <c:pt idx="13">
                  <c:v>3.8120976950066846E-2</c:v>
                </c:pt>
                <c:pt idx="14">
                  <c:v>4.3761325580433892E-2</c:v>
                </c:pt>
                <c:pt idx="15">
                  <c:v>4.9790663771515906E-2</c:v>
                </c:pt>
                <c:pt idx="16">
                  <c:v>5.6208991523312872E-2</c:v>
                </c:pt>
                <c:pt idx="17">
                  <c:v>6.3016308835824819E-2</c:v>
                </c:pt>
                <c:pt idx="18">
                  <c:v>7.0212615709051726E-2</c:v>
                </c:pt>
                <c:pt idx="19">
                  <c:v>7.7797912142993586E-2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24-433E-A74E-568095BDA462}"/>
            </c:ext>
          </c:extLst>
        </c:ser>
        <c:ser>
          <c:idx val="2"/>
          <c:order val="2"/>
          <c:tx>
            <c:strRef>
              <c:f>'example IMV'!$P$29</c:f>
              <c:strCache>
                <c:ptCount val="1"/>
                <c:pt idx="0">
                  <c:v>Design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xVal>
            <c:numRef>
              <c:f>'example IMV'!$B$30:$B$49</c:f>
              <c:numCache>
                <c:formatCode>General</c:formatCode>
                <c:ptCount val="20"/>
                <c:pt idx="0">
                  <c:v>7.6750000000000004E-3</c:v>
                </c:pt>
                <c:pt idx="1">
                  <c:v>1.5350000000000001E-2</c:v>
                </c:pt>
                <c:pt idx="2">
                  <c:v>2.3025000000000004E-2</c:v>
                </c:pt>
                <c:pt idx="3">
                  <c:v>3.0700000000000002E-2</c:v>
                </c:pt>
                <c:pt idx="4">
                  <c:v>3.8374999999999999E-2</c:v>
                </c:pt>
                <c:pt idx="5">
                  <c:v>4.6050000000000001E-2</c:v>
                </c:pt>
                <c:pt idx="6">
                  <c:v>5.3724999999999995E-2</c:v>
                </c:pt>
                <c:pt idx="7">
                  <c:v>6.1399999999999996E-2</c:v>
                </c:pt>
                <c:pt idx="8">
                  <c:v>6.9074999999999998E-2</c:v>
                </c:pt>
                <c:pt idx="9">
                  <c:v>7.6749999999999985E-2</c:v>
                </c:pt>
                <c:pt idx="10">
                  <c:v>8.4424999999999986E-2</c:v>
                </c:pt>
                <c:pt idx="11">
                  <c:v>9.2100000000000001E-2</c:v>
                </c:pt>
                <c:pt idx="12">
                  <c:v>9.9775000000000003E-2</c:v>
                </c:pt>
                <c:pt idx="13">
                  <c:v>0.10745</c:v>
                </c:pt>
                <c:pt idx="14">
                  <c:v>0.11512500000000002</c:v>
                </c:pt>
                <c:pt idx="15">
                  <c:v>0.12280000000000002</c:v>
                </c:pt>
                <c:pt idx="16">
                  <c:v>0.13047500000000004</c:v>
                </c:pt>
                <c:pt idx="17">
                  <c:v>0.13815000000000002</c:v>
                </c:pt>
                <c:pt idx="18">
                  <c:v>0.14582500000000004</c:v>
                </c:pt>
                <c:pt idx="19">
                  <c:v>0.15350000000000003</c:v>
                </c:pt>
              </c:numCache>
            </c:numRef>
          </c:xVal>
          <c:yVal>
            <c:numRef>
              <c:f>'example IMV'!$P$30:$P$49</c:f>
              <c:numCache>
                <c:formatCode>General</c:formatCode>
                <c:ptCount val="20"/>
                <c:pt idx="9">
                  <c:v>1.9449478035748383E-2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24-433E-A74E-568095BDA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6656"/>
        <c:axId val="57047232"/>
      </c:scatterChart>
      <c:valAx>
        <c:axId val="5704665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mdot (kg/s)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57047232"/>
        <c:crossesAt val="0"/>
        <c:crossBetween val="midCat"/>
      </c:valAx>
      <c:valAx>
        <c:axId val="57047232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dP (kPa)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57046656"/>
        <c:crossesAt val="0"/>
        <c:crossBetween val="midCat"/>
      </c:valAx>
      <c:spPr>
        <a:solidFill>
          <a:srgbClr val="FFFFFF"/>
        </a:solidFill>
      </c:spPr>
    </c:plotArea>
    <c:legend>
      <c:legendPos val="r"/>
      <c:overlay val="1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'example ACS N2'!$N$29</c:f>
              <c:strCache>
                <c:ptCount val="1"/>
                <c:pt idx="0">
                  <c:v>dP Darcy-Weisbach (kPa)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xVal>
            <c:numRef>
              <c:f>'example ACS N2'!$B$30:$B$49</c:f>
              <c:numCache>
                <c:formatCode>General</c:formatCode>
                <c:ptCount val="20"/>
                <c:pt idx="0">
                  <c:v>1.5100000000000001E-4</c:v>
                </c:pt>
                <c:pt idx="1">
                  <c:v>3.0200000000000002E-4</c:v>
                </c:pt>
                <c:pt idx="2">
                  <c:v>4.5300000000000006E-4</c:v>
                </c:pt>
                <c:pt idx="3">
                  <c:v>6.0400000000000004E-4</c:v>
                </c:pt>
                <c:pt idx="4">
                  <c:v>7.5500000000000003E-4</c:v>
                </c:pt>
                <c:pt idx="5">
                  <c:v>9.0600000000000001E-4</c:v>
                </c:pt>
                <c:pt idx="6">
                  <c:v>1.057E-3</c:v>
                </c:pt>
                <c:pt idx="7">
                  <c:v>1.2079999999999999E-3</c:v>
                </c:pt>
                <c:pt idx="8">
                  <c:v>1.359E-3</c:v>
                </c:pt>
                <c:pt idx="9">
                  <c:v>1.5099999999999998E-3</c:v>
                </c:pt>
                <c:pt idx="10">
                  <c:v>1.6609999999999999E-3</c:v>
                </c:pt>
                <c:pt idx="11">
                  <c:v>1.812E-3</c:v>
                </c:pt>
                <c:pt idx="12">
                  <c:v>1.9630000000000003E-3</c:v>
                </c:pt>
                <c:pt idx="13">
                  <c:v>2.1140000000000004E-3</c:v>
                </c:pt>
                <c:pt idx="14">
                  <c:v>2.2650000000000005E-3</c:v>
                </c:pt>
                <c:pt idx="15">
                  <c:v>2.4160000000000006E-3</c:v>
                </c:pt>
                <c:pt idx="16">
                  <c:v>2.5670000000000007E-3</c:v>
                </c:pt>
                <c:pt idx="17">
                  <c:v>2.7180000000000008E-3</c:v>
                </c:pt>
                <c:pt idx="18">
                  <c:v>2.8690000000000009E-3</c:v>
                </c:pt>
                <c:pt idx="19">
                  <c:v>3.020000000000001E-3</c:v>
                </c:pt>
              </c:numCache>
            </c:numRef>
          </c:xVal>
          <c:yVal>
            <c:numRef>
              <c:f>'example ACS N2'!$N$30:$N$49</c:f>
              <c:numCache>
                <c:formatCode>General</c:formatCode>
                <c:ptCount val="20"/>
                <c:pt idx="0">
                  <c:v>0.13926225478741724</c:v>
                </c:pt>
                <c:pt idx="1">
                  <c:v>0.27852450957483449</c:v>
                </c:pt>
                <c:pt idx="2">
                  <c:v>0.41778676436225182</c:v>
                </c:pt>
                <c:pt idx="3">
                  <c:v>0.55704901914966898</c:v>
                </c:pt>
                <c:pt idx="4">
                  <c:v>0.69631127393708614</c:v>
                </c:pt>
                <c:pt idx="5">
                  <c:v>0.83557352872450341</c:v>
                </c:pt>
                <c:pt idx="6">
                  <c:v>0.97483578351192091</c:v>
                </c:pt>
                <c:pt idx="7">
                  <c:v>1.1140980382993377</c:v>
                </c:pt>
                <c:pt idx="8">
                  <c:v>1.2533602930867553</c:v>
                </c:pt>
                <c:pt idx="9">
                  <c:v>1.3926225478741718</c:v>
                </c:pt>
                <c:pt idx="10">
                  <c:v>1.5318848026615897</c:v>
                </c:pt>
                <c:pt idx="11">
                  <c:v>1.6711470574490068</c:v>
                </c:pt>
                <c:pt idx="12">
                  <c:v>1.8226957709845348</c:v>
                </c:pt>
                <c:pt idx="13">
                  <c:v>2.215660841569572</c:v>
                </c:pt>
                <c:pt idx="14">
                  <c:v>2.6603104546838541</c:v>
                </c:pt>
                <c:pt idx="15">
                  <c:v>3.1597598701593377</c:v>
                </c:pt>
                <c:pt idx="16">
                  <c:v>3.7171243478279772</c:v>
                </c:pt>
                <c:pt idx="17">
                  <c:v>4.3355191475217332</c:v>
                </c:pt>
                <c:pt idx="18">
                  <c:v>5.01805952907256</c:v>
                </c:pt>
                <c:pt idx="19">
                  <c:v>5.7678607523124148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9A-48A2-89C3-2CD6EA92FA64}"/>
            </c:ext>
          </c:extLst>
        </c:ser>
        <c:ser>
          <c:idx val="1"/>
          <c:order val="1"/>
          <c:tx>
            <c:strRef>
              <c:f>'example ACS N2'!$O$29</c:f>
              <c:strCache>
                <c:ptCount val="1"/>
                <c:pt idx="0">
                  <c:v>dP GUNNS (kPa)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xVal>
            <c:numRef>
              <c:f>'example ACS N2'!$B$30:$B$49</c:f>
              <c:numCache>
                <c:formatCode>General</c:formatCode>
                <c:ptCount val="20"/>
                <c:pt idx="0">
                  <c:v>1.5100000000000001E-4</c:v>
                </c:pt>
                <c:pt idx="1">
                  <c:v>3.0200000000000002E-4</c:v>
                </c:pt>
                <c:pt idx="2">
                  <c:v>4.5300000000000006E-4</c:v>
                </c:pt>
                <c:pt idx="3">
                  <c:v>6.0400000000000004E-4</c:v>
                </c:pt>
                <c:pt idx="4">
                  <c:v>7.5500000000000003E-4</c:v>
                </c:pt>
                <c:pt idx="5">
                  <c:v>9.0600000000000001E-4</c:v>
                </c:pt>
                <c:pt idx="6">
                  <c:v>1.057E-3</c:v>
                </c:pt>
                <c:pt idx="7">
                  <c:v>1.2079999999999999E-3</c:v>
                </c:pt>
                <c:pt idx="8">
                  <c:v>1.359E-3</c:v>
                </c:pt>
                <c:pt idx="9">
                  <c:v>1.5099999999999998E-3</c:v>
                </c:pt>
                <c:pt idx="10">
                  <c:v>1.6609999999999999E-3</c:v>
                </c:pt>
                <c:pt idx="11">
                  <c:v>1.812E-3</c:v>
                </c:pt>
                <c:pt idx="12">
                  <c:v>1.9630000000000003E-3</c:v>
                </c:pt>
                <c:pt idx="13">
                  <c:v>2.1140000000000004E-3</c:v>
                </c:pt>
                <c:pt idx="14">
                  <c:v>2.2650000000000005E-3</c:v>
                </c:pt>
                <c:pt idx="15">
                  <c:v>2.4160000000000006E-3</c:v>
                </c:pt>
                <c:pt idx="16">
                  <c:v>2.5670000000000007E-3</c:v>
                </c:pt>
                <c:pt idx="17">
                  <c:v>2.7180000000000008E-3</c:v>
                </c:pt>
                <c:pt idx="18">
                  <c:v>2.8690000000000009E-3</c:v>
                </c:pt>
                <c:pt idx="19">
                  <c:v>3.020000000000001E-3</c:v>
                </c:pt>
              </c:numCache>
            </c:numRef>
          </c:xVal>
          <c:yVal>
            <c:numRef>
              <c:f>'example ACS N2'!$O$30:$O$49</c:f>
              <c:numCache>
                <c:formatCode>General</c:formatCode>
                <c:ptCount val="20"/>
                <c:pt idx="0">
                  <c:v>1.3926225478741725E-2</c:v>
                </c:pt>
                <c:pt idx="1">
                  <c:v>5.5704901914966902E-2</c:v>
                </c:pt>
                <c:pt idx="2">
                  <c:v>0.12533602930867557</c:v>
                </c:pt>
                <c:pt idx="3">
                  <c:v>0.22281960765986761</c:v>
                </c:pt>
                <c:pt idx="4">
                  <c:v>0.34815563696854307</c:v>
                </c:pt>
                <c:pt idx="5">
                  <c:v>0.50134411723470196</c:v>
                </c:pt>
                <c:pt idx="6">
                  <c:v>0.68238504845834447</c:v>
                </c:pt>
                <c:pt idx="7">
                  <c:v>0.8912784306394701</c:v>
                </c:pt>
                <c:pt idx="8">
                  <c:v>1.1280242637780793</c:v>
                </c:pt>
                <c:pt idx="9">
                  <c:v>1.3926225478741718</c:v>
                </c:pt>
                <c:pt idx="10">
                  <c:v>1.6850732829277484</c:v>
                </c:pt>
                <c:pt idx="11">
                  <c:v>2.0053764689388078</c:v>
                </c:pt>
                <c:pt idx="12">
                  <c:v>2.3535321059073517</c:v>
                </c:pt>
                <c:pt idx="13">
                  <c:v>2.7295401938333792</c:v>
                </c:pt>
                <c:pt idx="14">
                  <c:v>3.1334007327168885</c:v>
                </c:pt>
                <c:pt idx="15">
                  <c:v>3.5651137225578831</c:v>
                </c:pt>
                <c:pt idx="16">
                  <c:v>4.0246791633563594</c:v>
                </c:pt>
                <c:pt idx="17">
                  <c:v>4.5120970551123207</c:v>
                </c:pt>
                <c:pt idx="18">
                  <c:v>5.0273673978257651</c:v>
                </c:pt>
                <c:pt idx="19">
                  <c:v>5.5704901914966918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9A-48A2-89C3-2CD6EA92FA64}"/>
            </c:ext>
          </c:extLst>
        </c:ser>
        <c:ser>
          <c:idx val="2"/>
          <c:order val="2"/>
          <c:tx>
            <c:strRef>
              <c:f>'example ACS N2'!$P$29</c:f>
              <c:strCache>
                <c:ptCount val="1"/>
                <c:pt idx="0">
                  <c:v>Design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xVal>
            <c:numRef>
              <c:f>'example ACS N2'!$B$30:$B$49</c:f>
              <c:numCache>
                <c:formatCode>General</c:formatCode>
                <c:ptCount val="20"/>
                <c:pt idx="0">
                  <c:v>1.5100000000000001E-4</c:v>
                </c:pt>
                <c:pt idx="1">
                  <c:v>3.0200000000000002E-4</c:v>
                </c:pt>
                <c:pt idx="2">
                  <c:v>4.5300000000000006E-4</c:v>
                </c:pt>
                <c:pt idx="3">
                  <c:v>6.0400000000000004E-4</c:v>
                </c:pt>
                <c:pt idx="4">
                  <c:v>7.5500000000000003E-4</c:v>
                </c:pt>
                <c:pt idx="5">
                  <c:v>9.0600000000000001E-4</c:v>
                </c:pt>
                <c:pt idx="6">
                  <c:v>1.057E-3</c:v>
                </c:pt>
                <c:pt idx="7">
                  <c:v>1.2079999999999999E-3</c:v>
                </c:pt>
                <c:pt idx="8">
                  <c:v>1.359E-3</c:v>
                </c:pt>
                <c:pt idx="9">
                  <c:v>1.5099999999999998E-3</c:v>
                </c:pt>
                <c:pt idx="10">
                  <c:v>1.6609999999999999E-3</c:v>
                </c:pt>
                <c:pt idx="11">
                  <c:v>1.812E-3</c:v>
                </c:pt>
                <c:pt idx="12">
                  <c:v>1.9630000000000003E-3</c:v>
                </c:pt>
                <c:pt idx="13">
                  <c:v>2.1140000000000004E-3</c:v>
                </c:pt>
                <c:pt idx="14">
                  <c:v>2.2650000000000005E-3</c:v>
                </c:pt>
                <c:pt idx="15">
                  <c:v>2.4160000000000006E-3</c:v>
                </c:pt>
                <c:pt idx="16">
                  <c:v>2.5670000000000007E-3</c:v>
                </c:pt>
                <c:pt idx="17">
                  <c:v>2.7180000000000008E-3</c:v>
                </c:pt>
                <c:pt idx="18">
                  <c:v>2.8690000000000009E-3</c:v>
                </c:pt>
                <c:pt idx="19">
                  <c:v>3.020000000000001E-3</c:v>
                </c:pt>
              </c:numCache>
            </c:numRef>
          </c:xVal>
          <c:yVal>
            <c:numRef>
              <c:f>'example ACS N2'!$P$30:$P$49</c:f>
              <c:numCache>
                <c:formatCode>General</c:formatCode>
                <c:ptCount val="20"/>
                <c:pt idx="9">
                  <c:v>1.3926225478741718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9A-48A2-89C3-2CD6EA92F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1216"/>
        <c:axId val="105841792"/>
      </c:scatterChart>
      <c:valAx>
        <c:axId val="10584121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mdot (kg/s)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5841792"/>
        <c:crossesAt val="0"/>
        <c:crossBetween val="midCat"/>
      </c:valAx>
      <c:valAx>
        <c:axId val="105841792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dP (kPa)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5841216"/>
        <c:crossesAt val="0"/>
        <c:crossBetween val="midCat"/>
      </c:valAx>
      <c:spPr>
        <a:solidFill>
          <a:srgbClr val="FFFFFF"/>
        </a:solidFill>
      </c:spPr>
    </c:plotArea>
    <c:legend>
      <c:legendPos val="r"/>
      <c:overlay val="1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'example ITCS'!$N$29</c:f>
              <c:strCache>
                <c:ptCount val="1"/>
                <c:pt idx="0">
                  <c:v>dP Darcy-Weisbach (kPa)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xVal>
            <c:numRef>
              <c:f>'example ITCS'!$B$30:$B$49</c:f>
              <c:numCache>
                <c:formatCode>General</c:formatCode>
                <c:ptCount val="20"/>
                <c:pt idx="0">
                  <c:v>3.78E-2</c:v>
                </c:pt>
                <c:pt idx="1">
                  <c:v>7.5600000000000001E-2</c:v>
                </c:pt>
                <c:pt idx="2">
                  <c:v>0.11340000000000001</c:v>
                </c:pt>
                <c:pt idx="3">
                  <c:v>0.1512</c:v>
                </c:pt>
                <c:pt idx="4">
                  <c:v>0.189</c:v>
                </c:pt>
                <c:pt idx="5">
                  <c:v>0.2268</c:v>
                </c:pt>
                <c:pt idx="6">
                  <c:v>0.2646</c:v>
                </c:pt>
                <c:pt idx="7">
                  <c:v>0.3024</c:v>
                </c:pt>
                <c:pt idx="8">
                  <c:v>0.34019999999999995</c:v>
                </c:pt>
                <c:pt idx="9">
                  <c:v>0.37799999999999995</c:v>
                </c:pt>
                <c:pt idx="10">
                  <c:v>0.41579999999999995</c:v>
                </c:pt>
                <c:pt idx="11">
                  <c:v>0.4536</c:v>
                </c:pt>
                <c:pt idx="12">
                  <c:v>0.4914</c:v>
                </c:pt>
                <c:pt idx="13">
                  <c:v>0.5292</c:v>
                </c:pt>
                <c:pt idx="14">
                  <c:v>0.56700000000000006</c:v>
                </c:pt>
                <c:pt idx="15">
                  <c:v>0.60480000000000012</c:v>
                </c:pt>
                <c:pt idx="16">
                  <c:v>0.64260000000000017</c:v>
                </c:pt>
                <c:pt idx="17">
                  <c:v>0.68040000000000023</c:v>
                </c:pt>
                <c:pt idx="18">
                  <c:v>0.71820000000000017</c:v>
                </c:pt>
                <c:pt idx="19">
                  <c:v>0.75600000000000023</c:v>
                </c:pt>
              </c:numCache>
            </c:numRef>
          </c:xVal>
          <c:yVal>
            <c:numRef>
              <c:f>'example ITCS'!$N$30:$N$49</c:f>
              <c:numCache>
                <c:formatCode>General</c:formatCode>
                <c:ptCount val="20"/>
                <c:pt idx="0">
                  <c:v>2.9455309902579579E-2</c:v>
                </c:pt>
                <c:pt idx="1">
                  <c:v>8.2020411157486109E-2</c:v>
                </c:pt>
                <c:pt idx="2">
                  <c:v>0.23203942929983665</c:v>
                </c:pt>
                <c:pt idx="3">
                  <c:v>0.37432522506451088</c:v>
                </c:pt>
                <c:pt idx="4">
                  <c:v>0.54387705525268559</c:v>
                </c:pt>
                <c:pt idx="5">
                  <c:v>0.73925455419522534</c:v>
                </c:pt>
                <c:pt idx="6">
                  <c:v>0.95936975361086518</c:v>
                </c:pt>
                <c:pt idx="7">
                  <c:v>1.2033596455916471</c:v>
                </c:pt>
                <c:pt idx="8">
                  <c:v>1.4705159436804123</c:v>
                </c:pt>
                <c:pt idx="9">
                  <c:v>1.7602425500019909</c:v>
                </c:pt>
                <c:pt idx="10">
                  <c:v>2.0720279972894495</c:v>
                </c:pt>
                <c:pt idx="11">
                  <c:v>2.4054266555747605</c:v>
                </c:pt>
                <c:pt idx="12">
                  <c:v>2.7600453903481035</c:v>
                </c:pt>
                <c:pt idx="13">
                  <c:v>3.1355337785027908</c:v>
                </c:pt>
                <c:pt idx="14">
                  <c:v>3.5315767387055299</c:v>
                </c:pt>
                <c:pt idx="15">
                  <c:v>3.9478888542391162</c:v>
                </c:pt>
                <c:pt idx="16">
                  <c:v>4.3842099151192118</c:v>
                </c:pt>
                <c:pt idx="17">
                  <c:v>4.8403013593700051</c:v>
                </c:pt>
                <c:pt idx="18">
                  <c:v>5.3159433909452956</c:v>
                </c:pt>
                <c:pt idx="19">
                  <c:v>5.8109326159366583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3-4AA7-A26F-96BED5A20751}"/>
            </c:ext>
          </c:extLst>
        </c:ser>
        <c:ser>
          <c:idx val="1"/>
          <c:order val="1"/>
          <c:tx>
            <c:strRef>
              <c:f>'example ITCS'!$O$29</c:f>
              <c:strCache>
                <c:ptCount val="1"/>
                <c:pt idx="0">
                  <c:v>dP GUNNS (kPa)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xVal>
            <c:numRef>
              <c:f>'example ITCS'!$B$30:$B$49</c:f>
              <c:numCache>
                <c:formatCode>General</c:formatCode>
                <c:ptCount val="20"/>
                <c:pt idx="0">
                  <c:v>3.78E-2</c:v>
                </c:pt>
                <c:pt idx="1">
                  <c:v>7.5600000000000001E-2</c:v>
                </c:pt>
                <c:pt idx="2">
                  <c:v>0.11340000000000001</c:v>
                </c:pt>
                <c:pt idx="3">
                  <c:v>0.1512</c:v>
                </c:pt>
                <c:pt idx="4">
                  <c:v>0.189</c:v>
                </c:pt>
                <c:pt idx="5">
                  <c:v>0.2268</c:v>
                </c:pt>
                <c:pt idx="6">
                  <c:v>0.2646</c:v>
                </c:pt>
                <c:pt idx="7">
                  <c:v>0.3024</c:v>
                </c:pt>
                <c:pt idx="8">
                  <c:v>0.34019999999999995</c:v>
                </c:pt>
                <c:pt idx="9">
                  <c:v>0.37799999999999995</c:v>
                </c:pt>
                <c:pt idx="10">
                  <c:v>0.41579999999999995</c:v>
                </c:pt>
                <c:pt idx="11">
                  <c:v>0.4536</c:v>
                </c:pt>
                <c:pt idx="12">
                  <c:v>0.4914</c:v>
                </c:pt>
                <c:pt idx="13">
                  <c:v>0.5292</c:v>
                </c:pt>
                <c:pt idx="14">
                  <c:v>0.56700000000000006</c:v>
                </c:pt>
                <c:pt idx="15">
                  <c:v>0.60480000000000012</c:v>
                </c:pt>
                <c:pt idx="16">
                  <c:v>0.64260000000000017</c:v>
                </c:pt>
                <c:pt idx="17">
                  <c:v>0.68040000000000023</c:v>
                </c:pt>
                <c:pt idx="18">
                  <c:v>0.71820000000000017</c:v>
                </c:pt>
                <c:pt idx="19">
                  <c:v>0.75600000000000023</c:v>
                </c:pt>
              </c:numCache>
            </c:numRef>
          </c:xVal>
          <c:yVal>
            <c:numRef>
              <c:f>'example ITCS'!$O$30:$O$49</c:f>
              <c:numCache>
                <c:formatCode>General</c:formatCode>
                <c:ptCount val="20"/>
                <c:pt idx="0">
                  <c:v>1.7602425500019909E-2</c:v>
                </c:pt>
                <c:pt idx="1">
                  <c:v>7.0409702000079635E-2</c:v>
                </c:pt>
                <c:pt idx="2">
                  <c:v>0.15842182950017919</c:v>
                </c:pt>
                <c:pt idx="3">
                  <c:v>0.28163880800031854</c:v>
                </c:pt>
                <c:pt idx="4">
                  <c:v>0.44006063750049756</c:v>
                </c:pt>
                <c:pt idx="5">
                  <c:v>0.63368731800071665</c:v>
                </c:pt>
                <c:pt idx="6">
                  <c:v>0.86251884950097557</c:v>
                </c:pt>
                <c:pt idx="7">
                  <c:v>1.1265552320012742</c:v>
                </c:pt>
                <c:pt idx="8">
                  <c:v>1.4257964655016122</c:v>
                </c:pt>
                <c:pt idx="9">
                  <c:v>1.7602425500019903</c:v>
                </c:pt>
                <c:pt idx="10">
                  <c:v>2.1298934855024076</c:v>
                </c:pt>
                <c:pt idx="11">
                  <c:v>2.5347492720028666</c:v>
                </c:pt>
                <c:pt idx="12">
                  <c:v>2.9748099095033647</c:v>
                </c:pt>
                <c:pt idx="13">
                  <c:v>3.4500753980039023</c:v>
                </c:pt>
                <c:pt idx="14">
                  <c:v>3.9605457375044808</c:v>
                </c:pt>
                <c:pt idx="15">
                  <c:v>4.5062209280050984</c:v>
                </c:pt>
                <c:pt idx="16">
                  <c:v>5.0871009695057552</c:v>
                </c:pt>
                <c:pt idx="17">
                  <c:v>5.7031858620064533</c:v>
                </c:pt>
                <c:pt idx="18">
                  <c:v>6.35447560550719</c:v>
                </c:pt>
                <c:pt idx="19">
                  <c:v>7.0409702000079664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3-4AA7-A26F-96BED5A20751}"/>
            </c:ext>
          </c:extLst>
        </c:ser>
        <c:ser>
          <c:idx val="2"/>
          <c:order val="2"/>
          <c:tx>
            <c:strRef>
              <c:f>'example ITCS'!$P$29</c:f>
              <c:strCache>
                <c:ptCount val="1"/>
                <c:pt idx="0">
                  <c:v>Design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xVal>
            <c:numRef>
              <c:f>'example ITCS'!$B$30:$B$49</c:f>
              <c:numCache>
                <c:formatCode>General</c:formatCode>
                <c:ptCount val="20"/>
                <c:pt idx="0">
                  <c:v>3.78E-2</c:v>
                </c:pt>
                <c:pt idx="1">
                  <c:v>7.5600000000000001E-2</c:v>
                </c:pt>
                <c:pt idx="2">
                  <c:v>0.11340000000000001</c:v>
                </c:pt>
                <c:pt idx="3">
                  <c:v>0.1512</c:v>
                </c:pt>
                <c:pt idx="4">
                  <c:v>0.189</c:v>
                </c:pt>
                <c:pt idx="5">
                  <c:v>0.2268</c:v>
                </c:pt>
                <c:pt idx="6">
                  <c:v>0.2646</c:v>
                </c:pt>
                <c:pt idx="7">
                  <c:v>0.3024</c:v>
                </c:pt>
                <c:pt idx="8">
                  <c:v>0.34019999999999995</c:v>
                </c:pt>
                <c:pt idx="9">
                  <c:v>0.37799999999999995</c:v>
                </c:pt>
                <c:pt idx="10">
                  <c:v>0.41579999999999995</c:v>
                </c:pt>
                <c:pt idx="11">
                  <c:v>0.4536</c:v>
                </c:pt>
                <c:pt idx="12">
                  <c:v>0.4914</c:v>
                </c:pt>
                <c:pt idx="13">
                  <c:v>0.5292</c:v>
                </c:pt>
                <c:pt idx="14">
                  <c:v>0.56700000000000006</c:v>
                </c:pt>
                <c:pt idx="15">
                  <c:v>0.60480000000000012</c:v>
                </c:pt>
                <c:pt idx="16">
                  <c:v>0.64260000000000017</c:v>
                </c:pt>
                <c:pt idx="17">
                  <c:v>0.68040000000000023</c:v>
                </c:pt>
                <c:pt idx="18">
                  <c:v>0.71820000000000017</c:v>
                </c:pt>
                <c:pt idx="19">
                  <c:v>0.75600000000000023</c:v>
                </c:pt>
              </c:numCache>
            </c:numRef>
          </c:xVal>
          <c:yVal>
            <c:numRef>
              <c:f>'example ITCS'!$P$30:$P$49</c:f>
              <c:numCache>
                <c:formatCode>General</c:formatCode>
                <c:ptCount val="20"/>
                <c:pt idx="9">
                  <c:v>1.7602425500019903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83-4AA7-A26F-96BED5A20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4096"/>
        <c:axId val="105844672"/>
      </c:scatterChart>
      <c:valAx>
        <c:axId val="10584409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mdot (kg/s)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5844672"/>
        <c:crossesAt val="0"/>
        <c:crossBetween val="midCat"/>
      </c:valAx>
      <c:valAx>
        <c:axId val="105844672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dP (kPa)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5844096"/>
        <c:crossesAt val="0"/>
        <c:crossBetween val="midCat"/>
      </c:valAx>
      <c:spPr>
        <a:solidFill>
          <a:srgbClr val="FFFFFF"/>
        </a:solidFill>
      </c:spPr>
    </c:plotArea>
    <c:legend>
      <c:legendPos val="r"/>
      <c:overlay val="1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423861</xdr:colOff>
      <xdr:row>1</xdr:row>
      <xdr:rowOff>95250</xdr:rowOff>
    </xdr:from>
    <xdr:to>
      <xdr:col>17</xdr:col>
      <xdr:colOff>771525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179280</xdr:colOff>
      <xdr:row>0</xdr:row>
      <xdr:rowOff>1080</xdr:rowOff>
    </xdr:from>
    <xdr:to>
      <xdr:col>20</xdr:col>
      <xdr:colOff>9360</xdr:colOff>
      <xdr:row>37</xdr:row>
      <xdr:rowOff>90000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179280</xdr:colOff>
      <xdr:row>0</xdr:row>
      <xdr:rowOff>1080</xdr:rowOff>
    </xdr:from>
    <xdr:to>
      <xdr:col>20</xdr:col>
      <xdr:colOff>9360</xdr:colOff>
      <xdr:row>37</xdr:row>
      <xdr:rowOff>90000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179280</xdr:colOff>
      <xdr:row>0</xdr:row>
      <xdr:rowOff>1080</xdr:rowOff>
    </xdr:from>
    <xdr:to>
      <xdr:col>20</xdr:col>
      <xdr:colOff>9360</xdr:colOff>
      <xdr:row>37</xdr:row>
      <xdr:rowOff>90000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zoomScaleNormal="100" workbookViewId="0"/>
  </sheetViews>
  <sheetFormatPr defaultRowHeight="12.75"/>
  <cols>
    <col min="1" max="9" width="10.75"/>
    <col min="10" max="11" width="12.625"/>
    <col min="12" max="1025" width="10.75"/>
  </cols>
  <sheetData>
    <row r="1" spans="1:9">
      <c r="A1" t="s">
        <v>0</v>
      </c>
    </row>
    <row r="2" spans="1:9">
      <c r="A2" t="s">
        <v>1</v>
      </c>
    </row>
    <row r="3" spans="1:9">
      <c r="A3" t="s">
        <v>2</v>
      </c>
      <c r="B3" s="1">
        <v>1</v>
      </c>
      <c r="C3" t="s">
        <v>3</v>
      </c>
      <c r="H3">
        <f>3.28084*B3</f>
        <v>3.28084</v>
      </c>
      <c r="I3" t="s">
        <v>4</v>
      </c>
    </row>
    <row r="4" spans="1:9">
      <c r="A4" t="s">
        <v>5</v>
      </c>
      <c r="B4" s="1">
        <v>0.11938</v>
      </c>
      <c r="C4" t="s">
        <v>3</v>
      </c>
      <c r="H4">
        <f>3.28084*12*B4</f>
        <v>4.7000001504000002</v>
      </c>
      <c r="I4" t="s">
        <v>6</v>
      </c>
    </row>
    <row r="5" spans="1:9">
      <c r="A5" t="s">
        <v>7</v>
      </c>
      <c r="B5" s="2">
        <v>9.9999999999999995E-7</v>
      </c>
      <c r="C5" t="s">
        <v>3</v>
      </c>
      <c r="H5">
        <f>3.28084*12*B5</f>
        <v>3.9370080000000003E-5</v>
      </c>
      <c r="I5" t="s">
        <v>6</v>
      </c>
    </row>
    <row r="7" spans="1:9">
      <c r="A7" t="s">
        <v>8</v>
      </c>
    </row>
    <row r="8" spans="1:9">
      <c r="A8" t="s">
        <v>9</v>
      </c>
      <c r="B8" s="1">
        <v>3.2000000000000001E-2</v>
      </c>
      <c r="C8" t="s">
        <v>10</v>
      </c>
      <c r="D8" t="s">
        <v>11</v>
      </c>
      <c r="H8">
        <f>2.204623*3600*B8</f>
        <v>253.97256960000001</v>
      </c>
      <c r="I8" t="s">
        <v>12</v>
      </c>
    </row>
    <row r="9" spans="1:9">
      <c r="A9" t="s">
        <v>13</v>
      </c>
      <c r="B9" s="3">
        <v>1.7017E-5</v>
      </c>
      <c r="C9" t="s">
        <v>14</v>
      </c>
      <c r="D9" t="s">
        <v>15</v>
      </c>
    </row>
    <row r="10" spans="1:9">
      <c r="A10" t="s">
        <v>16</v>
      </c>
      <c r="B10" s="1">
        <v>1.1614016</v>
      </c>
      <c r="C10" t="s">
        <v>17</v>
      </c>
      <c r="D10" t="s">
        <v>18</v>
      </c>
      <c r="H10">
        <f>2.204623*B10/35.314667</f>
        <v>7.2503945162410863E-2</v>
      </c>
      <c r="I10" t="s">
        <v>19</v>
      </c>
    </row>
    <row r="12" spans="1:9">
      <c r="A12" t="s">
        <v>20</v>
      </c>
    </row>
    <row r="13" spans="1:9">
      <c r="A13" t="s">
        <v>21</v>
      </c>
      <c r="B13" s="4">
        <f>PI()*SQRT(B4^5/(8*L41*B3))</f>
        <v>3.5513996682342147E-2</v>
      </c>
      <c r="C13" t="s">
        <v>22</v>
      </c>
      <c r="D13" t="s">
        <v>23</v>
      </c>
    </row>
    <row r="14" spans="1:9">
      <c r="A14" t="s">
        <v>24</v>
      </c>
      <c r="B14">
        <f>O41</f>
        <v>6.9906641354315505E-4</v>
      </c>
      <c r="C14" t="s">
        <v>25</v>
      </c>
      <c r="D14" t="s">
        <v>26</v>
      </c>
      <c r="H14">
        <f>0.145037738*B14</f>
        <v>1.0139101133207177E-4</v>
      </c>
      <c r="I14" t="s">
        <v>27</v>
      </c>
    </row>
    <row r="16" spans="1:9">
      <c r="A16" t="s">
        <v>28</v>
      </c>
    </row>
    <row r="17" spans="1:16">
      <c r="A17" t="s">
        <v>29</v>
      </c>
    </row>
    <row r="18" spans="1:16">
      <c r="A18" t="s">
        <v>30</v>
      </c>
    </row>
    <row r="19" spans="1:16">
      <c r="A19" t="s">
        <v>31</v>
      </c>
    </row>
    <row r="20" spans="1:16">
      <c r="A20" t="s">
        <v>32</v>
      </c>
    </row>
    <row r="21" spans="1:16">
      <c r="A21" t="s">
        <v>33</v>
      </c>
    </row>
    <row r="22" spans="1:16">
      <c r="A22" t="s">
        <v>34</v>
      </c>
    </row>
    <row r="23" spans="1:16">
      <c r="A23" t="s">
        <v>35</v>
      </c>
    </row>
    <row r="24" spans="1:16">
      <c r="A24" t="s">
        <v>36</v>
      </c>
    </row>
    <row r="26" spans="1:16">
      <c r="A26" t="s">
        <v>37</v>
      </c>
    </row>
    <row r="27" spans="1:16">
      <c r="A27" t="s">
        <v>38</v>
      </c>
      <c r="B27">
        <f>B8/B10</f>
        <v>2.7552915373975719E-2</v>
      </c>
      <c r="C27" t="s">
        <v>39</v>
      </c>
      <c r="D27" t="s">
        <v>40</v>
      </c>
      <c r="H27">
        <f>35.314667*60*B27</f>
        <v>58.381321878667983</v>
      </c>
      <c r="I27" t="s">
        <v>41</v>
      </c>
    </row>
    <row r="28" spans="1:16">
      <c r="A28" t="s">
        <v>42</v>
      </c>
      <c r="B28">
        <f>PI()*(B4/2)^2</f>
        <v>1.1193168213263724E-2</v>
      </c>
      <c r="C28" t="s">
        <v>22</v>
      </c>
      <c r="D28" t="s">
        <v>43</v>
      </c>
      <c r="H28">
        <f>3.28084^2*B28</f>
        <v>0.12048226763759831</v>
      </c>
      <c r="I28" t="s">
        <v>44</v>
      </c>
    </row>
    <row r="29" spans="1:16">
      <c r="A29" t="s">
        <v>45</v>
      </c>
      <c r="B29">
        <f>MIN(MAX(0, B5/B4), 0.5) / 3.7</f>
        <v>2.2639493237583367E-6</v>
      </c>
    </row>
    <row r="30" spans="1:16">
      <c r="A30" t="s">
        <v>46</v>
      </c>
      <c r="B30">
        <f>B9/B10</f>
        <v>1.4652123778717026E-5</v>
      </c>
      <c r="C30" t="s">
        <v>47</v>
      </c>
      <c r="D30" t="s">
        <v>48</v>
      </c>
      <c r="N30" t="s">
        <v>49</v>
      </c>
    </row>
    <row r="31" spans="1:16">
      <c r="B31" t="s">
        <v>50</v>
      </c>
      <c r="C31" t="s">
        <v>51</v>
      </c>
      <c r="D31" t="s">
        <v>52</v>
      </c>
      <c r="E31" t="s">
        <v>53</v>
      </c>
      <c r="F31" t="s">
        <v>54</v>
      </c>
      <c r="G31" t="s">
        <v>55</v>
      </c>
      <c r="H31" t="s">
        <v>56</v>
      </c>
      <c r="I31" t="s">
        <v>57</v>
      </c>
      <c r="J31" t="s">
        <v>58</v>
      </c>
      <c r="K31" t="s">
        <v>59</v>
      </c>
      <c r="L31" t="s">
        <v>60</v>
      </c>
      <c r="M31" t="s">
        <v>61</v>
      </c>
      <c r="N31" t="s">
        <v>62</v>
      </c>
      <c r="O31" t="s">
        <v>63</v>
      </c>
      <c r="P31" t="s">
        <v>64</v>
      </c>
    </row>
    <row r="32" spans="1:16">
      <c r="A32">
        <v>0.1</v>
      </c>
      <c r="B32">
        <f t="shared" ref="B32:B51" si="0">$B$8*A32</f>
        <v>3.2000000000000002E-3</v>
      </c>
      <c r="C32">
        <f t="shared" ref="C32:C51" si="1">B32/$B$10</f>
        <v>2.7552915373975722E-3</v>
      </c>
      <c r="D32" s="5">
        <f t="shared" ref="D32:D51" si="2">C32*$B$4/$B$30/$B$28</f>
        <v>2005.6055536475787</v>
      </c>
      <c r="E32" t="str">
        <f t="shared" ref="E32:E51" si="3">IF(D32&lt;2300,"Laminar",IF(D32&lt;4000,"Transition","Turbulent"))</f>
        <v>Laminar</v>
      </c>
      <c r="F32">
        <f t="shared" ref="F32:F51" si="4">62/MIN(2300,D32)</f>
        <v>3.0913356760127183E-2</v>
      </c>
      <c r="G32" s="6">
        <f t="shared" ref="G32:G51" si="5">MAX(D32,4000)</f>
        <v>4000</v>
      </c>
      <c r="H32">
        <f t="shared" ref="H32:H51" si="6">LOG10($B$29+12/G32)</f>
        <v>-2.5225511286498312</v>
      </c>
      <c r="I32">
        <f t="shared" ref="I32:I51" si="7">LOG10($B$29-5.02*H32/G32)</f>
        <v>-2.4992058320460013</v>
      </c>
      <c r="J32">
        <f t="shared" ref="J32:J51" si="8">LOG10($B$29+10.04*H32*I32/G32)</f>
        <v>-1.8006221449067135</v>
      </c>
      <c r="K32">
        <f t="shared" ref="K32:K51" si="9">0.25 / (H32-(I32-H32)^2/(J32-2*I32+H32))^2</f>
        <v>3.926288251103055E-2</v>
      </c>
      <c r="L32">
        <f t="shared" ref="L32:L51" si="10">IF(E32="Laminar",F32,IF(E32="Turbulent",K32,F32+(K32-F32)*(D32-2300)/(4000-2300)))</f>
        <v>3.0913356760127183E-2</v>
      </c>
      <c r="M32">
        <f t="shared" ref="M32:M51" si="11">C32/$B$28</f>
        <v>0.24615832487289846</v>
      </c>
      <c r="N32">
        <f t="shared" ref="N32:N51" si="12">L32*$B$10*$B$3*M32^2/$B$4/2/1000</f>
        <v>9.1116299072842409E-6</v>
      </c>
      <c r="O32">
        <f t="shared" ref="O32:O51" si="13">(B32/$B$13)^2/$B$10/1000</f>
        <v>6.990664135431553E-6</v>
      </c>
    </row>
    <row r="33" spans="1:16">
      <c r="A33">
        <f t="shared" ref="A33:A51" si="14">A32+0.1</f>
        <v>0.2</v>
      </c>
      <c r="B33">
        <f t="shared" si="0"/>
        <v>6.4000000000000003E-3</v>
      </c>
      <c r="C33">
        <f t="shared" si="1"/>
        <v>5.5105830747951444E-3</v>
      </c>
      <c r="D33" s="5">
        <f t="shared" si="2"/>
        <v>4011.2111072951575</v>
      </c>
      <c r="E33" t="str">
        <f t="shared" si="3"/>
        <v>Turbulent</v>
      </c>
      <c r="F33">
        <f t="shared" si="4"/>
        <v>2.6956521739130435E-2</v>
      </c>
      <c r="G33" s="6">
        <f t="shared" si="5"/>
        <v>4011.2111072951575</v>
      </c>
      <c r="H33">
        <f t="shared" si="6"/>
        <v>-2.5237657386372629</v>
      </c>
      <c r="I33">
        <f t="shared" si="7"/>
        <v>-2.5002115771094187</v>
      </c>
      <c r="J33">
        <f t="shared" si="8"/>
        <v>-1.8014537547714573</v>
      </c>
      <c r="K33">
        <f t="shared" si="9"/>
        <v>3.9224659564434515E-2</v>
      </c>
      <c r="L33">
        <f t="shared" si="10"/>
        <v>3.9224659564434515E-2</v>
      </c>
      <c r="M33">
        <f t="shared" si="11"/>
        <v>0.49231664974579692</v>
      </c>
      <c r="N33">
        <f t="shared" si="12"/>
        <v>4.6245457452401739E-5</v>
      </c>
      <c r="O33">
        <f t="shared" si="13"/>
        <v>2.7962656541726212E-5</v>
      </c>
    </row>
    <row r="34" spans="1:16">
      <c r="A34">
        <f t="shared" si="14"/>
        <v>0.30000000000000004</v>
      </c>
      <c r="B34">
        <f t="shared" si="0"/>
        <v>9.6000000000000009E-3</v>
      </c>
      <c r="C34">
        <f t="shared" si="1"/>
        <v>8.2658746121927161E-3</v>
      </c>
      <c r="D34" s="5">
        <f t="shared" si="2"/>
        <v>6016.8166609427362</v>
      </c>
      <c r="E34" t="str">
        <f t="shared" si="3"/>
        <v>Turbulent</v>
      </c>
      <c r="F34">
        <f t="shared" si="4"/>
        <v>2.6956521739130435E-2</v>
      </c>
      <c r="G34" s="6">
        <f t="shared" si="5"/>
        <v>6016.8166609427362</v>
      </c>
      <c r="H34">
        <f t="shared" si="6"/>
        <v>-2.6996928235846882</v>
      </c>
      <c r="I34">
        <f t="shared" si="7"/>
        <v>-2.6469124127090131</v>
      </c>
      <c r="J34">
        <f t="shared" si="8"/>
        <v>-1.9234966931215753</v>
      </c>
      <c r="K34">
        <f t="shared" si="9"/>
        <v>3.4196043595876975E-2</v>
      </c>
      <c r="L34">
        <f t="shared" si="10"/>
        <v>3.4196043595876975E-2</v>
      </c>
      <c r="M34">
        <f t="shared" si="11"/>
        <v>0.73847497461869538</v>
      </c>
      <c r="N34">
        <f t="shared" si="12"/>
        <v>9.0712738303071235E-5</v>
      </c>
      <c r="O34">
        <f t="shared" si="13"/>
        <v>6.2915977218883982E-5</v>
      </c>
    </row>
    <row r="35" spans="1:16">
      <c r="A35">
        <f t="shared" si="14"/>
        <v>0.4</v>
      </c>
      <c r="B35">
        <f t="shared" si="0"/>
        <v>1.2800000000000001E-2</v>
      </c>
      <c r="C35">
        <f t="shared" si="1"/>
        <v>1.1021166149590289E-2</v>
      </c>
      <c r="D35" s="5">
        <f t="shared" si="2"/>
        <v>8022.422214590315</v>
      </c>
      <c r="E35" t="str">
        <f t="shared" si="3"/>
        <v>Turbulent</v>
      </c>
      <c r="F35">
        <f t="shared" si="4"/>
        <v>2.6956521739130435E-2</v>
      </c>
      <c r="G35" s="6">
        <f t="shared" si="5"/>
        <v>8022.422214590315</v>
      </c>
      <c r="H35">
        <f t="shared" si="6"/>
        <v>-2.8244674481231735</v>
      </c>
      <c r="I35">
        <f t="shared" si="7"/>
        <v>-2.7521092706543309</v>
      </c>
      <c r="J35">
        <f t="shared" si="8"/>
        <v>-2.0118684970618905</v>
      </c>
      <c r="K35">
        <f t="shared" si="9"/>
        <v>3.1164448550443424E-2</v>
      </c>
      <c r="L35">
        <f t="shared" si="10"/>
        <v>3.1164448550443424E-2</v>
      </c>
      <c r="M35">
        <f t="shared" si="11"/>
        <v>0.98463329949159384</v>
      </c>
      <c r="N35">
        <f t="shared" si="12"/>
        <v>1.4697021674333266E-4</v>
      </c>
      <c r="O35">
        <f t="shared" si="13"/>
        <v>1.1185062616690485E-4</v>
      </c>
    </row>
    <row r="36" spans="1:16">
      <c r="A36">
        <f t="shared" si="14"/>
        <v>0.5</v>
      </c>
      <c r="B36">
        <f t="shared" si="0"/>
        <v>1.6E-2</v>
      </c>
      <c r="C36">
        <f t="shared" si="1"/>
        <v>1.377645768698786E-2</v>
      </c>
      <c r="D36" s="5">
        <f t="shared" si="2"/>
        <v>10028.027768237893</v>
      </c>
      <c r="E36" t="str">
        <f t="shared" si="3"/>
        <v>Turbulent</v>
      </c>
      <c r="F36">
        <f t="shared" si="4"/>
        <v>2.6956521739130435E-2</v>
      </c>
      <c r="G36" s="6">
        <f t="shared" si="5"/>
        <v>10028.027768237893</v>
      </c>
      <c r="H36">
        <f t="shared" si="6"/>
        <v>-2.9212134110529888</v>
      </c>
      <c r="I36">
        <f t="shared" si="7"/>
        <v>-2.834276688475831</v>
      </c>
      <c r="J36">
        <f t="shared" si="8"/>
        <v>-2.0813576890540979</v>
      </c>
      <c r="K36">
        <f t="shared" si="9"/>
        <v>2.9070037222654405E-2</v>
      </c>
      <c r="L36">
        <f t="shared" si="10"/>
        <v>2.9070037222654405E-2</v>
      </c>
      <c r="M36">
        <f t="shared" si="11"/>
        <v>1.2307916243644921</v>
      </c>
      <c r="N36">
        <f t="shared" si="12"/>
        <v>2.1420790907560614E-4</v>
      </c>
      <c r="O36">
        <f t="shared" si="13"/>
        <v>1.7476660338578879E-4</v>
      </c>
    </row>
    <row r="37" spans="1:16">
      <c r="A37">
        <f t="shared" si="14"/>
        <v>0.6</v>
      </c>
      <c r="B37">
        <f t="shared" si="0"/>
        <v>1.9199999999999998E-2</v>
      </c>
      <c r="C37">
        <f t="shared" si="1"/>
        <v>1.6531749224385429E-2</v>
      </c>
      <c r="D37" s="5">
        <f t="shared" si="2"/>
        <v>12033.633321885469</v>
      </c>
      <c r="E37" t="str">
        <f t="shared" si="3"/>
        <v>Turbulent</v>
      </c>
      <c r="F37">
        <f t="shared" si="4"/>
        <v>2.6956521739130435E-2</v>
      </c>
      <c r="G37" s="6">
        <f t="shared" si="5"/>
        <v>12033.633321885469</v>
      </c>
      <c r="H37">
        <f t="shared" si="6"/>
        <v>-3.0002306689671303</v>
      </c>
      <c r="I37">
        <f t="shared" si="7"/>
        <v>-2.9017535420348883</v>
      </c>
      <c r="J37">
        <f t="shared" si="8"/>
        <v>-2.1387125501129858</v>
      </c>
      <c r="K37">
        <f t="shared" si="9"/>
        <v>2.7505293185853423E-2</v>
      </c>
      <c r="L37">
        <f t="shared" si="10"/>
        <v>2.7505293185853423E-2</v>
      </c>
      <c r="M37">
        <f t="shared" si="11"/>
        <v>1.4769499492373903</v>
      </c>
      <c r="N37">
        <f t="shared" si="12"/>
        <v>2.9185603951193946E-4</v>
      </c>
      <c r="O37">
        <f t="shared" si="13"/>
        <v>2.5166390887553582E-4</v>
      </c>
    </row>
    <row r="38" spans="1:16">
      <c r="A38">
        <f t="shared" si="14"/>
        <v>0.7</v>
      </c>
      <c r="B38">
        <f t="shared" si="0"/>
        <v>2.24E-2</v>
      </c>
      <c r="C38">
        <f t="shared" si="1"/>
        <v>1.9287040761783003E-2</v>
      </c>
      <c r="D38" s="5">
        <f t="shared" si="2"/>
        <v>14039.238875533052</v>
      </c>
      <c r="E38" t="str">
        <f t="shared" si="3"/>
        <v>Turbulent</v>
      </c>
      <c r="F38">
        <f t="shared" si="4"/>
        <v>2.6956521739130435E-2</v>
      </c>
      <c r="G38" s="6">
        <f t="shared" si="5"/>
        <v>14039.238875533052</v>
      </c>
      <c r="H38">
        <f t="shared" si="6"/>
        <v>-3.0670135323622554</v>
      </c>
      <c r="I38">
        <f t="shared" si="7"/>
        <v>-2.9590285270131305</v>
      </c>
      <c r="J38">
        <f t="shared" si="8"/>
        <v>-2.1875935386949314</v>
      </c>
      <c r="K38">
        <f t="shared" si="9"/>
        <v>2.627515355787334E-2</v>
      </c>
      <c r="L38">
        <f t="shared" si="10"/>
        <v>2.627515355787334E-2</v>
      </c>
      <c r="M38">
        <f t="shared" si="11"/>
        <v>1.723108274110289</v>
      </c>
      <c r="N38">
        <f t="shared" si="12"/>
        <v>3.7948205899706255E-4</v>
      </c>
      <c r="O38">
        <f t="shared" si="13"/>
        <v>3.4254254263614597E-4</v>
      </c>
    </row>
    <row r="39" spans="1:16">
      <c r="A39">
        <f t="shared" si="14"/>
        <v>0.79999999999999993</v>
      </c>
      <c r="B39">
        <f t="shared" si="0"/>
        <v>2.5599999999999998E-2</v>
      </c>
      <c r="C39">
        <f t="shared" si="1"/>
        <v>2.2042332299180574E-2</v>
      </c>
      <c r="D39" s="5">
        <f t="shared" si="2"/>
        <v>16044.844429180628</v>
      </c>
      <c r="E39" t="str">
        <f t="shared" si="3"/>
        <v>Turbulent</v>
      </c>
      <c r="F39">
        <f t="shared" si="4"/>
        <v>2.6956521739130435E-2</v>
      </c>
      <c r="G39" s="6">
        <f t="shared" si="5"/>
        <v>16044.844429180628</v>
      </c>
      <c r="H39">
        <f t="shared" si="6"/>
        <v>-3.1248416149557392</v>
      </c>
      <c r="I39">
        <f t="shared" si="7"/>
        <v>-3.0087992779100556</v>
      </c>
      <c r="J39">
        <f t="shared" si="8"/>
        <v>-2.2302134827862781</v>
      </c>
      <c r="K39">
        <f t="shared" si="9"/>
        <v>2.5272770258132203E-2</v>
      </c>
      <c r="L39">
        <f t="shared" si="10"/>
        <v>2.5272770258132203E-2</v>
      </c>
      <c r="M39">
        <f t="shared" si="11"/>
        <v>1.9692665989831872</v>
      </c>
      <c r="N39">
        <f t="shared" si="12"/>
        <v>4.7674124783950855E-4</v>
      </c>
      <c r="O39">
        <f t="shared" si="13"/>
        <v>4.4740250466761923E-4</v>
      </c>
    </row>
    <row r="40" spans="1:16">
      <c r="A40">
        <f t="shared" si="14"/>
        <v>0.89999999999999991</v>
      </c>
      <c r="B40">
        <f t="shared" si="0"/>
        <v>2.8799999999999999E-2</v>
      </c>
      <c r="C40">
        <f t="shared" si="1"/>
        <v>2.4797623836578148E-2</v>
      </c>
      <c r="D40" s="5">
        <f t="shared" si="2"/>
        <v>18050.44998282821</v>
      </c>
      <c r="E40" t="str">
        <f t="shared" si="3"/>
        <v>Turbulent</v>
      </c>
      <c r="F40">
        <f t="shared" si="4"/>
        <v>2.6956521739130435E-2</v>
      </c>
      <c r="G40" s="6">
        <f t="shared" si="5"/>
        <v>18050.44998282821</v>
      </c>
      <c r="H40">
        <f t="shared" si="6"/>
        <v>-3.1758303348235462</v>
      </c>
      <c r="I40">
        <f t="shared" si="7"/>
        <v>-3.0528152350510416</v>
      </c>
      <c r="J40">
        <f t="shared" si="8"/>
        <v>-2.2680142198358082</v>
      </c>
      <c r="K40">
        <f t="shared" si="9"/>
        <v>2.4433959672849899E-2</v>
      </c>
      <c r="L40">
        <f t="shared" si="10"/>
        <v>2.4433959672849899E-2</v>
      </c>
      <c r="M40">
        <f t="shared" si="11"/>
        <v>2.2154249238560859</v>
      </c>
      <c r="N40">
        <f t="shared" si="12"/>
        <v>5.8334942899664619E-4</v>
      </c>
      <c r="O40">
        <f t="shared" si="13"/>
        <v>5.6624379496995566E-4</v>
      </c>
    </row>
    <row r="41" spans="1:16">
      <c r="A41">
        <f t="shared" si="14"/>
        <v>0.99999999999999989</v>
      </c>
      <c r="B41">
        <f t="shared" si="0"/>
        <v>3.1999999999999994E-2</v>
      </c>
      <c r="C41">
        <f t="shared" si="1"/>
        <v>2.7552915373975716E-2</v>
      </c>
      <c r="D41" s="5">
        <f t="shared" si="2"/>
        <v>20056.055536475786</v>
      </c>
      <c r="E41" t="str">
        <f t="shared" si="3"/>
        <v>Turbulent</v>
      </c>
      <c r="F41">
        <f t="shared" si="4"/>
        <v>2.6956521739130435E-2</v>
      </c>
      <c r="G41" s="6">
        <f t="shared" si="5"/>
        <v>20056.055536475786</v>
      </c>
      <c r="H41">
        <f t="shared" si="6"/>
        <v>-3.2214240845626714</v>
      </c>
      <c r="I41">
        <f t="shared" si="7"/>
        <v>-3.0922762173547533</v>
      </c>
      <c r="J41">
        <f t="shared" si="8"/>
        <v>-2.3019885057703413</v>
      </c>
      <c r="K41">
        <f t="shared" si="9"/>
        <v>2.3717479376116648E-2</v>
      </c>
      <c r="L41">
        <f t="shared" si="10"/>
        <v>2.3717479376116648E-2</v>
      </c>
      <c r="M41">
        <f t="shared" si="11"/>
        <v>2.4615832487289842</v>
      </c>
      <c r="N41">
        <f t="shared" si="12"/>
        <v>6.9906641354315494E-4</v>
      </c>
      <c r="O41">
        <f t="shared" si="13"/>
        <v>6.9906641354315505E-4</v>
      </c>
      <c r="P41">
        <f>O41</f>
        <v>6.9906641354315505E-4</v>
      </c>
    </row>
    <row r="42" spans="1:16">
      <c r="A42">
        <f t="shared" si="14"/>
        <v>1.0999999999999999</v>
      </c>
      <c r="B42">
        <f t="shared" si="0"/>
        <v>3.5199999999999995E-2</v>
      </c>
      <c r="C42">
        <f t="shared" si="1"/>
        <v>3.0308206911373287E-2</v>
      </c>
      <c r="D42" s="5">
        <f t="shared" si="2"/>
        <v>22061.661090123365</v>
      </c>
      <c r="E42" t="str">
        <f t="shared" si="3"/>
        <v>Turbulent</v>
      </c>
      <c r="F42">
        <f t="shared" si="4"/>
        <v>2.6956521739130435E-2</v>
      </c>
      <c r="G42" s="6">
        <f t="shared" si="5"/>
        <v>22061.661090123365</v>
      </c>
      <c r="H42">
        <f t="shared" si="6"/>
        <v>-3.26265309061082</v>
      </c>
      <c r="I42">
        <f t="shared" si="7"/>
        <v>-3.1280412219055957</v>
      </c>
      <c r="J42">
        <f t="shared" si="8"/>
        <v>-2.3328494852346289</v>
      </c>
      <c r="K42">
        <f t="shared" si="9"/>
        <v>2.309542810299281E-2</v>
      </c>
      <c r="L42">
        <f t="shared" si="10"/>
        <v>2.309542810299281E-2</v>
      </c>
      <c r="M42">
        <f t="shared" si="11"/>
        <v>2.7077415736018824</v>
      </c>
      <c r="N42">
        <f t="shared" si="12"/>
        <v>8.2368525689319075E-4</v>
      </c>
      <c r="O42">
        <f t="shared" si="13"/>
        <v>8.4587036038721766E-4</v>
      </c>
    </row>
    <row r="43" spans="1:16">
      <c r="A43">
        <f t="shared" si="14"/>
        <v>1.2</v>
      </c>
      <c r="B43">
        <f t="shared" si="0"/>
        <v>3.8399999999999997E-2</v>
      </c>
      <c r="C43">
        <f t="shared" si="1"/>
        <v>3.3063498448770857E-2</v>
      </c>
      <c r="D43" s="5">
        <f t="shared" si="2"/>
        <v>24067.266643770938</v>
      </c>
      <c r="E43" t="str">
        <f t="shared" si="3"/>
        <v>Turbulent</v>
      </c>
      <c r="F43">
        <f t="shared" si="4"/>
        <v>2.6956521739130435E-2</v>
      </c>
      <c r="G43" s="6">
        <f t="shared" si="5"/>
        <v>24067.266643770938</v>
      </c>
      <c r="H43">
        <f t="shared" si="6"/>
        <v>-3.3002780340551174</v>
      </c>
      <c r="I43">
        <f t="shared" si="7"/>
        <v>-3.1607465537115891</v>
      </c>
      <c r="J43">
        <f t="shared" si="8"/>
        <v>-2.3611269680245899</v>
      </c>
      <c r="K43">
        <f t="shared" si="9"/>
        <v>2.2548146585297111E-2</v>
      </c>
      <c r="L43">
        <f t="shared" si="10"/>
        <v>2.2548146585297111E-2</v>
      </c>
      <c r="M43">
        <f t="shared" si="11"/>
        <v>2.9538998984747806</v>
      </c>
      <c r="N43">
        <f t="shared" si="12"/>
        <v>9.5702492116741123E-4</v>
      </c>
      <c r="O43">
        <f t="shared" si="13"/>
        <v>1.0066556355021433E-3</v>
      </c>
    </row>
    <row r="44" spans="1:16">
      <c r="A44">
        <f t="shared" si="14"/>
        <v>1.3</v>
      </c>
      <c r="B44">
        <f t="shared" si="0"/>
        <v>4.1600000000000005E-2</v>
      </c>
      <c r="C44">
        <f t="shared" si="1"/>
        <v>3.5818789986168442E-2</v>
      </c>
      <c r="D44" s="5">
        <f t="shared" si="2"/>
        <v>26072.872197418532</v>
      </c>
      <c r="E44" t="str">
        <f t="shared" si="3"/>
        <v>Turbulent</v>
      </c>
      <c r="F44">
        <f t="shared" si="4"/>
        <v>2.6956521739130435E-2</v>
      </c>
      <c r="G44" s="6">
        <f t="shared" si="5"/>
        <v>26072.872197418532</v>
      </c>
      <c r="H44">
        <f t="shared" si="6"/>
        <v>-3.3348765844877555</v>
      </c>
      <c r="I44">
        <f t="shared" si="7"/>
        <v>-3.1908767992513662</v>
      </c>
      <c r="J44">
        <f t="shared" si="8"/>
        <v>-2.3872254790600596</v>
      </c>
      <c r="K44">
        <f t="shared" si="9"/>
        <v>2.2061318607891952E-2</v>
      </c>
      <c r="L44">
        <f t="shared" si="10"/>
        <v>2.2061318607891952E-2</v>
      </c>
      <c r="M44">
        <f t="shared" si="11"/>
        <v>3.2000582233476802</v>
      </c>
      <c r="N44">
        <f t="shared" si="12"/>
        <v>1.0989250589926399E-3</v>
      </c>
      <c r="O44">
        <f t="shared" si="13"/>
        <v>1.1814222388879326E-3</v>
      </c>
    </row>
    <row r="45" spans="1:16">
      <c r="A45">
        <f t="shared" si="14"/>
        <v>1.4000000000000001</v>
      </c>
      <c r="B45">
        <f t="shared" si="0"/>
        <v>4.4800000000000006E-2</v>
      </c>
      <c r="C45">
        <f t="shared" si="1"/>
        <v>3.8574081523566013E-2</v>
      </c>
      <c r="D45" s="5">
        <f t="shared" si="2"/>
        <v>28078.477751066112</v>
      </c>
      <c r="E45" t="str">
        <f t="shared" si="3"/>
        <v>Turbulent</v>
      </c>
      <c r="F45">
        <f t="shared" si="4"/>
        <v>2.6956521739130435E-2</v>
      </c>
      <c r="G45" s="6">
        <f t="shared" si="5"/>
        <v>28078.477751066112</v>
      </c>
      <c r="H45">
        <f t="shared" si="6"/>
        <v>-3.3668977736047174</v>
      </c>
      <c r="I45">
        <f t="shared" si="7"/>
        <v>-3.2188095816771649</v>
      </c>
      <c r="J45">
        <f t="shared" si="8"/>
        <v>-2.411460978195596</v>
      </c>
      <c r="K45">
        <f t="shared" si="9"/>
        <v>2.1624230595662399E-2</v>
      </c>
      <c r="L45">
        <f t="shared" si="10"/>
        <v>2.1624230595662399E-2</v>
      </c>
      <c r="M45">
        <f t="shared" si="11"/>
        <v>3.4462165482205784</v>
      </c>
      <c r="N45">
        <f t="shared" si="12"/>
        <v>1.2492421835091907E-3</v>
      </c>
      <c r="O45">
        <f t="shared" si="13"/>
        <v>1.3701701705445843E-3</v>
      </c>
    </row>
    <row r="46" spans="1:16">
      <c r="A46">
        <f t="shared" si="14"/>
        <v>1.5000000000000002</v>
      </c>
      <c r="B46">
        <f t="shared" si="0"/>
        <v>4.8000000000000008E-2</v>
      </c>
      <c r="C46">
        <f t="shared" si="1"/>
        <v>4.1329373060963584E-2</v>
      </c>
      <c r="D46" s="5">
        <f t="shared" si="2"/>
        <v>30084.083304713688</v>
      </c>
      <c r="E46" t="str">
        <f t="shared" si="3"/>
        <v>Turbulent</v>
      </c>
      <c r="F46">
        <f t="shared" si="4"/>
        <v>2.6956521739130435E-2</v>
      </c>
      <c r="G46" s="6">
        <f t="shared" si="5"/>
        <v>30084.083304713688</v>
      </c>
      <c r="H46">
        <f t="shared" si="6"/>
        <v>-3.3966975642535142</v>
      </c>
      <c r="I46">
        <f t="shared" si="7"/>
        <v>-3.2448449296819959</v>
      </c>
      <c r="J46">
        <f t="shared" si="8"/>
        <v>-2.4340850227563062</v>
      </c>
      <c r="K46">
        <f t="shared" si="9"/>
        <v>2.1228678913818449E-2</v>
      </c>
      <c r="L46">
        <f t="shared" si="10"/>
        <v>2.1228678913818449E-2</v>
      </c>
      <c r="M46">
        <f t="shared" si="11"/>
        <v>3.6923748730934771</v>
      </c>
      <c r="N46">
        <f t="shared" si="12"/>
        <v>1.4078467801618164E-3</v>
      </c>
      <c r="O46">
        <f t="shared" si="13"/>
        <v>1.5728994304720998E-3</v>
      </c>
    </row>
    <row r="47" spans="1:16">
      <c r="A47">
        <f t="shared" si="14"/>
        <v>1.6000000000000003</v>
      </c>
      <c r="B47">
        <f t="shared" si="0"/>
        <v>5.1200000000000009E-2</v>
      </c>
      <c r="C47">
        <f t="shared" si="1"/>
        <v>4.4084664598361162E-2</v>
      </c>
      <c r="D47" s="5">
        <f t="shared" si="2"/>
        <v>32089.688858361267</v>
      </c>
      <c r="E47" t="str">
        <f t="shared" si="3"/>
        <v>Turbulent</v>
      </c>
      <c r="F47">
        <f t="shared" si="4"/>
        <v>2.6956521739130435E-2</v>
      </c>
      <c r="G47" s="6">
        <f t="shared" si="5"/>
        <v>32089.688858361267</v>
      </c>
      <c r="H47">
        <f t="shared" si="6"/>
        <v>-3.4245629166046152</v>
      </c>
      <c r="I47">
        <f t="shared" si="7"/>
        <v>-3.2692252040715184</v>
      </c>
      <c r="J47">
        <f t="shared" si="8"/>
        <v>-2.4553012022632443</v>
      </c>
      <c r="K47">
        <f t="shared" si="9"/>
        <v>2.0868257656786508E-2</v>
      </c>
      <c r="L47">
        <f t="shared" si="10"/>
        <v>2.0868257656786508E-2</v>
      </c>
      <c r="M47">
        <f t="shared" si="11"/>
        <v>3.9385331979663758</v>
      </c>
      <c r="N47">
        <f t="shared" si="12"/>
        <v>1.5746210793542116E-3</v>
      </c>
      <c r="O47">
        <f t="shared" si="13"/>
        <v>1.7896100186704776E-3</v>
      </c>
    </row>
    <row r="48" spans="1:16">
      <c r="A48">
        <f t="shared" si="14"/>
        <v>1.7000000000000004</v>
      </c>
      <c r="B48">
        <f t="shared" si="0"/>
        <v>5.4400000000000011E-2</v>
      </c>
      <c r="C48">
        <f t="shared" si="1"/>
        <v>4.6839956135758733E-2</v>
      </c>
      <c r="D48" s="5">
        <f t="shared" si="2"/>
        <v>34095.29441200885</v>
      </c>
      <c r="E48" t="str">
        <f t="shared" si="3"/>
        <v>Turbulent</v>
      </c>
      <c r="F48">
        <f t="shared" si="4"/>
        <v>2.6956521739130435E-2</v>
      </c>
      <c r="G48" s="6">
        <f t="shared" si="5"/>
        <v>34095.29441200885</v>
      </c>
      <c r="H48">
        <f t="shared" si="6"/>
        <v>-3.4507285455110894</v>
      </c>
      <c r="I48">
        <f t="shared" si="7"/>
        <v>-3.2921490075322217</v>
      </c>
      <c r="J48">
        <f t="shared" si="8"/>
        <v>-2.4752766364273886</v>
      </c>
      <c r="K48">
        <f t="shared" si="9"/>
        <v>2.0537879435096204E-2</v>
      </c>
      <c r="L48">
        <f t="shared" si="10"/>
        <v>2.0537879435096204E-2</v>
      </c>
      <c r="M48">
        <f t="shared" si="11"/>
        <v>4.184691522839274</v>
      </c>
      <c r="N48">
        <f t="shared" si="12"/>
        <v>1.749457305660145E-3</v>
      </c>
      <c r="O48">
        <f t="shared" si="13"/>
        <v>2.0203019351397195E-3</v>
      </c>
    </row>
    <row r="49" spans="1:15">
      <c r="A49">
        <f t="shared" si="14"/>
        <v>1.8000000000000005</v>
      </c>
      <c r="B49">
        <f t="shared" si="0"/>
        <v>5.7600000000000019E-2</v>
      </c>
      <c r="C49">
        <f t="shared" si="1"/>
        <v>4.959524767315631E-2</v>
      </c>
      <c r="D49" s="5">
        <f t="shared" si="2"/>
        <v>36100.899965656434</v>
      </c>
      <c r="E49" t="str">
        <f t="shared" si="3"/>
        <v>Turbulent</v>
      </c>
      <c r="F49">
        <f t="shared" si="4"/>
        <v>2.6956521739130435E-2</v>
      </c>
      <c r="G49" s="6">
        <f t="shared" si="5"/>
        <v>36100.899965656434</v>
      </c>
      <c r="H49">
        <f t="shared" si="6"/>
        <v>-3.475388880807329</v>
      </c>
      <c r="I49">
        <f t="shared" si="7"/>
        <v>-3.3137811351002968</v>
      </c>
      <c r="J49">
        <f t="shared" si="8"/>
        <v>-2.4941502171446821</v>
      </c>
      <c r="K49">
        <f t="shared" si="9"/>
        <v>2.0233443990379005E-2</v>
      </c>
      <c r="L49">
        <f t="shared" si="10"/>
        <v>2.0233443990379005E-2</v>
      </c>
      <c r="M49">
        <f t="shared" si="11"/>
        <v>4.4308498477121736</v>
      </c>
      <c r="N49">
        <f t="shared" si="12"/>
        <v>1.9322562787951992E-3</v>
      </c>
      <c r="O49">
        <f t="shared" si="13"/>
        <v>2.2649751798798244E-3</v>
      </c>
    </row>
    <row r="50" spans="1:15">
      <c r="A50">
        <f t="shared" si="14"/>
        <v>1.9000000000000006</v>
      </c>
      <c r="B50">
        <f t="shared" si="0"/>
        <v>6.0800000000000021E-2</v>
      </c>
      <c r="C50">
        <f t="shared" si="1"/>
        <v>5.2350539210553888E-2</v>
      </c>
      <c r="D50" s="5">
        <f t="shared" si="2"/>
        <v>38106.50551930401</v>
      </c>
      <c r="E50" t="str">
        <f t="shared" si="3"/>
        <v>Turbulent</v>
      </c>
      <c r="F50">
        <f t="shared" si="4"/>
        <v>2.6956521739130435E-2</v>
      </c>
      <c r="G50" s="6">
        <f t="shared" si="5"/>
        <v>38106.50551930401</v>
      </c>
      <c r="H50">
        <f t="shared" si="6"/>
        <v>-3.4987067895690087</v>
      </c>
      <c r="I50">
        <f t="shared" si="7"/>
        <v>-3.3342598457964865</v>
      </c>
      <c r="J50">
        <f t="shared" si="8"/>
        <v>-2.5120386429039758</v>
      </c>
      <c r="K50">
        <f t="shared" si="9"/>
        <v>1.9951603516348556E-2</v>
      </c>
      <c r="L50">
        <f t="shared" si="10"/>
        <v>1.9951603516348556E-2</v>
      </c>
      <c r="M50">
        <f t="shared" si="11"/>
        <v>4.6770081725850723</v>
      </c>
      <c r="N50">
        <f t="shared" si="12"/>
        <v>2.1229262795286904E-3</v>
      </c>
      <c r="O50">
        <f t="shared" si="13"/>
        <v>2.5236297528907917E-3</v>
      </c>
    </row>
    <row r="51" spans="1:15">
      <c r="A51">
        <f t="shared" si="14"/>
        <v>2.0000000000000004</v>
      </c>
      <c r="B51">
        <f t="shared" si="0"/>
        <v>6.4000000000000015E-2</v>
      </c>
      <c r="C51">
        <f t="shared" si="1"/>
        <v>5.5105830747951452E-2</v>
      </c>
      <c r="D51" s="5">
        <f t="shared" si="2"/>
        <v>40112.111072951586</v>
      </c>
      <c r="E51" t="str">
        <f t="shared" si="3"/>
        <v>Turbulent</v>
      </c>
      <c r="F51">
        <f t="shared" si="4"/>
        <v>2.6956521739130435E-2</v>
      </c>
      <c r="G51" s="6">
        <f t="shared" si="5"/>
        <v>40112.111072951586</v>
      </c>
      <c r="H51">
        <f t="shared" si="6"/>
        <v>-3.5208200584871872</v>
      </c>
      <c r="I51">
        <f t="shared" si="7"/>
        <v>-3.3537022772140852</v>
      </c>
      <c r="J51">
        <f t="shared" si="8"/>
        <v>-2.5290409198930774</v>
      </c>
      <c r="K51">
        <f t="shared" si="9"/>
        <v>1.968959295485392E-2</v>
      </c>
      <c r="L51">
        <f t="shared" si="10"/>
        <v>1.968959295485392E-2</v>
      </c>
      <c r="M51">
        <f t="shared" si="11"/>
        <v>4.9231664974579701</v>
      </c>
      <c r="N51">
        <f t="shared" si="12"/>
        <v>2.3213821186976406E-3</v>
      </c>
      <c r="O51">
        <f t="shared" si="13"/>
        <v>2.7962656541726219E-3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9"/>
  <sheetViews>
    <sheetView zoomScaleNormal="100" workbookViewId="0">
      <selection activeCell="D3" sqref="D3"/>
    </sheetView>
  </sheetViews>
  <sheetFormatPr defaultRowHeight="12.75"/>
  <cols>
    <col min="1" max="1" width="8.625"/>
    <col min="2" max="2" width="12.125"/>
    <col min="3" max="6" width="8.625"/>
    <col min="7" max="7" width="11.625"/>
    <col min="8" max="1025" width="8.625"/>
  </cols>
  <sheetData>
    <row r="1" spans="1:7">
      <c r="A1" t="s">
        <v>1</v>
      </c>
    </row>
    <row r="2" spans="1:7">
      <c r="A2" t="s">
        <v>2</v>
      </c>
      <c r="B2" s="1">
        <v>6.0960000000000001</v>
      </c>
      <c r="C2" t="s">
        <v>3</v>
      </c>
      <c r="F2">
        <f>3.28084*B2</f>
        <v>20.00000064</v>
      </c>
      <c r="G2" t="s">
        <v>4</v>
      </c>
    </row>
    <row r="3" spans="1:7">
      <c r="A3" t="s">
        <v>5</v>
      </c>
      <c r="B3" s="1">
        <v>0.11938</v>
      </c>
      <c r="C3" t="s">
        <v>3</v>
      </c>
      <c r="F3">
        <f>3.28084*12*B3</f>
        <v>4.7000001504000002</v>
      </c>
      <c r="G3" t="s">
        <v>6</v>
      </c>
    </row>
    <row r="4" spans="1:7">
      <c r="A4" t="s">
        <v>7</v>
      </c>
      <c r="B4" s="2">
        <v>9.9999999999999995E-7</v>
      </c>
      <c r="C4" t="s">
        <v>3</v>
      </c>
      <c r="F4">
        <f>3.28084*12*B4</f>
        <v>3.9370080000000003E-5</v>
      </c>
      <c r="G4" t="s">
        <v>6</v>
      </c>
    </row>
    <row r="6" spans="1:7">
      <c r="A6" t="s">
        <v>8</v>
      </c>
    </row>
    <row r="7" spans="1:7">
      <c r="A7" t="s">
        <v>9</v>
      </c>
      <c r="B7" s="1">
        <v>7.6749999999999999E-2</v>
      </c>
      <c r="C7" t="s">
        <v>10</v>
      </c>
      <c r="D7" t="s">
        <v>65</v>
      </c>
      <c r="F7">
        <f>2.204623*3600*B7</f>
        <v>609.13733490000004</v>
      </c>
      <c r="G7" t="s">
        <v>12</v>
      </c>
    </row>
    <row r="8" spans="1:7">
      <c r="A8" t="s">
        <v>46</v>
      </c>
      <c r="B8" s="3">
        <v>1.47E-5</v>
      </c>
      <c r="C8" t="s">
        <v>47</v>
      </c>
      <c r="D8" t="s">
        <v>48</v>
      </c>
    </row>
    <row r="9" spans="1:7">
      <c r="A9" t="s">
        <v>16</v>
      </c>
      <c r="B9" s="1">
        <v>1.1614</v>
      </c>
      <c r="C9" t="s">
        <v>17</v>
      </c>
      <c r="D9" t="s">
        <v>66</v>
      </c>
      <c r="F9">
        <f>2.204623*B9/35.314667</f>
        <v>7.2503845277657589E-2</v>
      </c>
      <c r="G9" t="s">
        <v>19</v>
      </c>
    </row>
    <row r="11" spans="1:7">
      <c r="A11" t="s">
        <v>20</v>
      </c>
    </row>
    <row r="12" spans="1:7">
      <c r="A12" t="s">
        <v>21</v>
      </c>
      <c r="B12" s="4">
        <f>PI()*SQRT(B3^5/(8*L39*B2))</f>
        <v>1.614854871433654E-2</v>
      </c>
      <c r="C12" t="s">
        <v>22</v>
      </c>
      <c r="D12" t="s">
        <v>67</v>
      </c>
    </row>
    <row r="13" spans="1:7">
      <c r="A13" t="s">
        <v>24</v>
      </c>
      <c r="B13">
        <f>O39</f>
        <v>1.9449478035748383E-2</v>
      </c>
      <c r="C13" t="s">
        <v>25</v>
      </c>
      <c r="D13" t="s">
        <v>68</v>
      </c>
      <c r="F13">
        <f>0.145037738*B13</f>
        <v>2.8209082995856284E-3</v>
      </c>
      <c r="G13" t="s">
        <v>27</v>
      </c>
    </row>
    <row r="15" spans="1:7">
      <c r="A15" t="s">
        <v>69</v>
      </c>
    </row>
    <row r="16" spans="1:7">
      <c r="A16" t="s">
        <v>70</v>
      </c>
    </row>
    <row r="25" spans="1:16">
      <c r="A25" t="s">
        <v>37</v>
      </c>
    </row>
    <row r="26" spans="1:16">
      <c r="A26" t="s">
        <v>38</v>
      </c>
      <c r="B26">
        <f>B7/B9</f>
        <v>6.608403650766316E-2</v>
      </c>
      <c r="C26" t="s">
        <v>39</v>
      </c>
      <c r="D26" t="s">
        <v>40</v>
      </c>
      <c r="F26">
        <f>35.314667*60*B26</f>
        <v>140.02414459703806</v>
      </c>
      <c r="G26" t="s">
        <v>41</v>
      </c>
    </row>
    <row r="27" spans="1:16">
      <c r="A27" t="s">
        <v>42</v>
      </c>
      <c r="B27">
        <f>PI()*(B3/2)^2</f>
        <v>1.1193168213263724E-2</v>
      </c>
      <c r="C27" t="s">
        <v>22</v>
      </c>
      <c r="D27" t="s">
        <v>43</v>
      </c>
      <c r="F27">
        <f>3.28084^2*B27</f>
        <v>0.12048226763759831</v>
      </c>
      <c r="G27" t="s">
        <v>44</v>
      </c>
    </row>
    <row r="28" spans="1:16">
      <c r="A28" t="s">
        <v>45</v>
      </c>
      <c r="B28">
        <f>MIN(MAX(0, B4/B3), 0.5) / 3.7</f>
        <v>2.2639493237583367E-6</v>
      </c>
    </row>
    <row r="29" spans="1:16">
      <c r="B29" t="s">
        <v>50</v>
      </c>
      <c r="C29" t="s">
        <v>51</v>
      </c>
      <c r="D29" t="s">
        <v>52</v>
      </c>
      <c r="E29" t="s">
        <v>53</v>
      </c>
      <c r="F29" t="s">
        <v>54</v>
      </c>
      <c r="G29" t="s">
        <v>55</v>
      </c>
      <c r="H29" t="s">
        <v>56</v>
      </c>
      <c r="I29" t="s">
        <v>57</v>
      </c>
      <c r="J29" t="s">
        <v>58</v>
      </c>
      <c r="K29" t="s">
        <v>59</v>
      </c>
      <c r="L29" t="s">
        <v>60</v>
      </c>
      <c r="M29" t="s">
        <v>61</v>
      </c>
      <c r="N29" t="s">
        <v>71</v>
      </c>
      <c r="O29" t="s">
        <v>72</v>
      </c>
      <c r="P29" t="s">
        <v>73</v>
      </c>
    </row>
    <row r="30" spans="1:16">
      <c r="A30">
        <v>0.1</v>
      </c>
      <c r="B30">
        <f t="shared" ref="B30:B49" si="0">$B$7*A30</f>
        <v>7.6750000000000004E-3</v>
      </c>
      <c r="C30">
        <f t="shared" ref="C30:C49" si="1">B30/$B$9</f>
        <v>6.6084036507663172E-3</v>
      </c>
      <c r="D30" s="5">
        <f t="shared" ref="D30:D49" si="2">C30*$B$3/$B$8/$B$27</f>
        <v>4794.6595139102446</v>
      </c>
      <c r="E30" t="str">
        <f t="shared" ref="E30:E49" si="3">IF(D30&lt;2300,"Laminar",IF(D30&lt;4000,"Transition","Turbulent"))</f>
        <v>Turbulent</v>
      </c>
      <c r="F30">
        <f t="shared" ref="F30:F49" si="4">62/MIN(2300,D30)</f>
        <v>2.6956521739130435E-2</v>
      </c>
      <c r="G30" s="6">
        <f t="shared" ref="G30:G49" si="5">MAX(D30,4000)</f>
        <v>4794.6595139102446</v>
      </c>
      <c r="H30">
        <f t="shared" ref="H30:H49" si="6">LOG10($B$28+12/G30)</f>
        <v>-2.6011838526017153</v>
      </c>
      <c r="I30">
        <f t="shared" ref="I30:I49" si="7">LOG10($B$28-5.02*H30/G30)</f>
        <v>-2.5645221329493588</v>
      </c>
      <c r="J30">
        <f t="shared" ref="J30:J49" si="8">LOG10($B$28+10.04*H30*I30/G30)</f>
        <v>-1.854776175908202</v>
      </c>
      <c r="K30">
        <f t="shared" ref="K30:K49" si="9">0.25 / (H30-(I30-H30)^2/(J30-2*I30+H30))^2</f>
        <v>3.6891928626108211E-2</v>
      </c>
      <c r="L30">
        <f t="shared" ref="L30:L49" si="10">IF(E30="Laminar",F30,IF(E30="Turbulent",K30,F30+(K30-F30)*(D30-2300)/(4000-2300)))</f>
        <v>3.6891928626108211E-2</v>
      </c>
      <c r="M30">
        <f t="shared" ref="M30:M49" si="11">C30/$B$27</f>
        <v>0.59039617066912875</v>
      </c>
      <c r="N30">
        <f t="shared" ref="N30:N49" si="12">L30*$B$9*$B$2*M30^2/$B$3/2/1000</f>
        <v>3.8131477506521074E-4</v>
      </c>
      <c r="O30">
        <f t="shared" ref="O30:O49" si="13">(B30/$B$12)^2/$B$9/1000</f>
        <v>1.9449478035748392E-4</v>
      </c>
    </row>
    <row r="31" spans="1:16">
      <c r="A31">
        <f t="shared" ref="A31:A49" si="14">A30+0.1</f>
        <v>0.2</v>
      </c>
      <c r="B31">
        <f t="shared" si="0"/>
        <v>1.5350000000000001E-2</v>
      </c>
      <c r="C31">
        <f t="shared" si="1"/>
        <v>1.3216807301532634E-2</v>
      </c>
      <c r="D31" s="5">
        <f t="shared" si="2"/>
        <v>9589.3190278204893</v>
      </c>
      <c r="E31" t="str">
        <f t="shared" si="3"/>
        <v>Turbulent</v>
      </c>
      <c r="F31">
        <f t="shared" si="4"/>
        <v>2.6956521739130435E-2</v>
      </c>
      <c r="G31" s="6">
        <f t="shared" si="5"/>
        <v>9589.3190278204893</v>
      </c>
      <c r="H31">
        <f t="shared" si="6"/>
        <v>-2.9018215298530565</v>
      </c>
      <c r="I31">
        <f t="shared" si="7"/>
        <v>-2.8177665949900539</v>
      </c>
      <c r="J31">
        <f t="shared" si="8"/>
        <v>-2.0673635054570676</v>
      </c>
      <c r="K31">
        <f t="shared" si="9"/>
        <v>2.9473429569151752E-2</v>
      </c>
      <c r="L31">
        <f t="shared" si="10"/>
        <v>2.9473429569151752E-2</v>
      </c>
      <c r="M31">
        <f t="shared" si="11"/>
        <v>1.1807923413382575</v>
      </c>
      <c r="N31">
        <f t="shared" si="12"/>
        <v>1.2185488354878688E-3</v>
      </c>
      <c r="O31">
        <f t="shared" si="13"/>
        <v>7.779791214299357E-4</v>
      </c>
    </row>
    <row r="32" spans="1:16">
      <c r="A32">
        <f t="shared" si="14"/>
        <v>0.30000000000000004</v>
      </c>
      <c r="B32">
        <f t="shared" si="0"/>
        <v>2.3025000000000004E-2</v>
      </c>
      <c r="C32">
        <f t="shared" si="1"/>
        <v>1.9825210952298954E-2</v>
      </c>
      <c r="D32" s="5">
        <f t="shared" si="2"/>
        <v>14383.978541730734</v>
      </c>
      <c r="E32" t="str">
        <f t="shared" si="3"/>
        <v>Turbulent</v>
      </c>
      <c r="F32">
        <f t="shared" si="4"/>
        <v>2.6956521739130435E-2</v>
      </c>
      <c r="G32" s="6">
        <f t="shared" si="5"/>
        <v>14383.978541730734</v>
      </c>
      <c r="H32">
        <f t="shared" si="6"/>
        <v>-3.0775208245757408</v>
      </c>
      <c r="I32">
        <f t="shared" si="7"/>
        <v>-2.9680598420776487</v>
      </c>
      <c r="J32">
        <f t="shared" si="8"/>
        <v>-2.1953174741763024</v>
      </c>
      <c r="K32">
        <f t="shared" si="9"/>
        <v>2.6088824401964986E-2</v>
      </c>
      <c r="L32">
        <f t="shared" si="10"/>
        <v>2.6088824401964986E-2</v>
      </c>
      <c r="M32">
        <f t="shared" si="11"/>
        <v>1.7711885120073867</v>
      </c>
      <c r="N32">
        <f t="shared" si="12"/>
        <v>2.4268855332653431E-3</v>
      </c>
      <c r="O32">
        <f t="shared" si="13"/>
        <v>1.7504530232173561E-3</v>
      </c>
    </row>
    <row r="33" spans="1:16">
      <c r="A33">
        <f t="shared" si="14"/>
        <v>0.4</v>
      </c>
      <c r="B33">
        <f t="shared" si="0"/>
        <v>3.0700000000000002E-2</v>
      </c>
      <c r="C33">
        <f t="shared" si="1"/>
        <v>2.6433614603065269E-2</v>
      </c>
      <c r="D33" s="5">
        <f t="shared" si="2"/>
        <v>19178.638055640979</v>
      </c>
      <c r="E33" t="str">
        <f t="shared" si="3"/>
        <v>Turbulent</v>
      </c>
      <c r="F33">
        <f t="shared" si="4"/>
        <v>2.6956521739130435E-2</v>
      </c>
      <c r="G33" s="6">
        <f t="shared" si="5"/>
        <v>19178.638055640979</v>
      </c>
      <c r="H33">
        <f t="shared" si="6"/>
        <v>-3.2020679502921285</v>
      </c>
      <c r="I33">
        <f t="shared" si="7"/>
        <v>-3.0755119851480814</v>
      </c>
      <c r="J33">
        <f t="shared" si="8"/>
        <v>-2.2875454086507503</v>
      </c>
      <c r="K33">
        <f t="shared" si="9"/>
        <v>2.4017895909334785E-2</v>
      </c>
      <c r="L33">
        <f t="shared" si="10"/>
        <v>2.4017895909334785E-2</v>
      </c>
      <c r="M33">
        <f t="shared" si="11"/>
        <v>2.361584682676515</v>
      </c>
      <c r="N33">
        <f t="shared" si="12"/>
        <v>3.9719814787785562E-3</v>
      </c>
      <c r="O33">
        <f t="shared" si="13"/>
        <v>3.1119164857197428E-3</v>
      </c>
    </row>
    <row r="34" spans="1:16">
      <c r="A34">
        <f t="shared" si="14"/>
        <v>0.5</v>
      </c>
      <c r="B34">
        <f t="shared" si="0"/>
        <v>3.8374999999999999E-2</v>
      </c>
      <c r="C34">
        <f t="shared" si="1"/>
        <v>3.304201825383158E-2</v>
      </c>
      <c r="D34" s="5">
        <f t="shared" si="2"/>
        <v>23973.297569551218</v>
      </c>
      <c r="E34" t="str">
        <f t="shared" si="3"/>
        <v>Turbulent</v>
      </c>
      <c r="F34">
        <f t="shared" si="4"/>
        <v>2.6956521739130435E-2</v>
      </c>
      <c r="G34" s="6">
        <f t="shared" si="5"/>
        <v>23973.297569551218</v>
      </c>
      <c r="H34">
        <f t="shared" si="6"/>
        <v>-3.2985867052125224</v>
      </c>
      <c r="I34">
        <f t="shared" si="7"/>
        <v>-3.1592750162331105</v>
      </c>
      <c r="J34">
        <f t="shared" si="8"/>
        <v>-2.3598535007243875</v>
      </c>
      <c r="K34">
        <f t="shared" si="9"/>
        <v>2.2572342873919116E-2</v>
      </c>
      <c r="L34">
        <f t="shared" si="10"/>
        <v>2.2572342873919116E-2</v>
      </c>
      <c r="M34">
        <f t="shared" si="11"/>
        <v>2.9519808533456433</v>
      </c>
      <c r="N34">
        <f t="shared" si="12"/>
        <v>5.8326903513876184E-3</v>
      </c>
      <c r="O34">
        <f t="shared" si="13"/>
        <v>4.8623695089370974E-3</v>
      </c>
    </row>
    <row r="35" spans="1:16">
      <c r="A35">
        <f t="shared" si="14"/>
        <v>0.6</v>
      </c>
      <c r="B35">
        <f t="shared" si="0"/>
        <v>4.6050000000000001E-2</v>
      </c>
      <c r="C35">
        <f t="shared" si="1"/>
        <v>3.9650421904597902E-2</v>
      </c>
      <c r="D35" s="5">
        <f t="shared" si="2"/>
        <v>28767.957083461464</v>
      </c>
      <c r="E35" t="str">
        <f t="shared" si="3"/>
        <v>Turbulent</v>
      </c>
      <c r="F35">
        <f t="shared" si="4"/>
        <v>2.6956521739130435E-2</v>
      </c>
      <c r="G35" s="6">
        <f t="shared" si="5"/>
        <v>28767.957083461464</v>
      </c>
      <c r="H35">
        <f t="shared" si="6"/>
        <v>-3.3773770453416208</v>
      </c>
      <c r="I35">
        <f t="shared" si="7"/>
        <v>-3.2279606437850967</v>
      </c>
      <c r="J35">
        <f t="shared" si="8"/>
        <v>-2.4194091923458876</v>
      </c>
      <c r="K35">
        <f t="shared" si="9"/>
        <v>2.1483919962979065E-2</v>
      </c>
      <c r="L35">
        <f t="shared" si="10"/>
        <v>2.1483919962979065E-2</v>
      </c>
      <c r="M35">
        <f t="shared" si="11"/>
        <v>3.5423770240147725</v>
      </c>
      <c r="N35">
        <f t="shared" si="12"/>
        <v>7.9940765061161309E-3</v>
      </c>
      <c r="O35">
        <f t="shared" si="13"/>
        <v>7.0018120928694218E-3</v>
      </c>
    </row>
    <row r="36" spans="1:16">
      <c r="A36">
        <f t="shared" si="14"/>
        <v>0.7</v>
      </c>
      <c r="B36">
        <f t="shared" si="0"/>
        <v>5.3724999999999995E-2</v>
      </c>
      <c r="C36">
        <f t="shared" si="1"/>
        <v>4.6258825555364209E-2</v>
      </c>
      <c r="D36" s="5">
        <f t="shared" si="2"/>
        <v>33562.616597371707</v>
      </c>
      <c r="E36" t="str">
        <f t="shared" si="3"/>
        <v>Turbulent</v>
      </c>
      <c r="F36">
        <f t="shared" si="4"/>
        <v>2.6956521739130435E-2</v>
      </c>
      <c r="G36" s="6">
        <f t="shared" si="5"/>
        <v>33562.616597371707</v>
      </c>
      <c r="H36">
        <f t="shared" si="6"/>
        <v>-3.4439332805894431</v>
      </c>
      <c r="I36">
        <f t="shared" si="7"/>
        <v>-3.2861928006120134</v>
      </c>
      <c r="J36">
        <f t="shared" si="8"/>
        <v>-2.4700840077096813</v>
      </c>
      <c r="K36">
        <f t="shared" si="9"/>
        <v>2.0622942293614104E-2</v>
      </c>
      <c r="L36">
        <f t="shared" si="10"/>
        <v>2.0622942293614104E-2</v>
      </c>
      <c r="M36">
        <f t="shared" si="11"/>
        <v>4.1327731946839004</v>
      </c>
      <c r="N36">
        <f t="shared" si="12"/>
        <v>1.0444772389021901E-2</v>
      </c>
      <c r="O36">
        <f t="shared" si="13"/>
        <v>9.5302442375167079E-3</v>
      </c>
    </row>
    <row r="37" spans="1:16">
      <c r="A37">
        <f t="shared" si="14"/>
        <v>0.79999999999999993</v>
      </c>
      <c r="B37">
        <f t="shared" si="0"/>
        <v>6.1399999999999996E-2</v>
      </c>
      <c r="C37">
        <f t="shared" si="1"/>
        <v>5.2867229206130531E-2</v>
      </c>
      <c r="D37" s="5">
        <f t="shared" si="2"/>
        <v>38357.276111281957</v>
      </c>
      <c r="E37" t="str">
        <f t="shared" si="3"/>
        <v>Turbulent</v>
      </c>
      <c r="F37">
        <f t="shared" si="4"/>
        <v>2.6956521739130435E-2</v>
      </c>
      <c r="G37" s="6">
        <f t="shared" si="5"/>
        <v>38357.276111281957</v>
      </c>
      <c r="H37">
        <f t="shared" si="6"/>
        <v>-3.5015350240883807</v>
      </c>
      <c r="I37">
        <f t="shared" si="7"/>
        <v>-3.3367453094744155</v>
      </c>
      <c r="J37">
        <f t="shared" si="8"/>
        <v>-2.5142111296428973</v>
      </c>
      <c r="K37">
        <f t="shared" si="9"/>
        <v>1.9917809654731996E-2</v>
      </c>
      <c r="L37">
        <f t="shared" si="10"/>
        <v>1.9917809654731996E-2</v>
      </c>
      <c r="M37">
        <f t="shared" si="11"/>
        <v>4.72316936535303</v>
      </c>
      <c r="N37">
        <f t="shared" si="12"/>
        <v>1.3175703874323829E-2</v>
      </c>
      <c r="O37">
        <f t="shared" si="13"/>
        <v>1.2447665942878969E-2</v>
      </c>
    </row>
    <row r="38" spans="1:16">
      <c r="A38">
        <f t="shared" si="14"/>
        <v>0.89999999999999991</v>
      </c>
      <c r="B38">
        <f t="shared" si="0"/>
        <v>6.9074999999999998E-2</v>
      </c>
      <c r="C38">
        <f t="shared" si="1"/>
        <v>5.9475632856896846E-2</v>
      </c>
      <c r="D38" s="5">
        <f t="shared" si="2"/>
        <v>43151.9356251922</v>
      </c>
      <c r="E38" t="str">
        <f t="shared" si="3"/>
        <v>Turbulent</v>
      </c>
      <c r="F38">
        <f t="shared" si="4"/>
        <v>2.6956521739130435E-2</v>
      </c>
      <c r="G38" s="6">
        <f t="shared" si="5"/>
        <v>43151.9356251922</v>
      </c>
      <c r="H38">
        <f t="shared" si="6"/>
        <v>-3.5522976933310626</v>
      </c>
      <c r="I38">
        <f t="shared" si="7"/>
        <v>-3.381414463922388</v>
      </c>
      <c r="J38">
        <f t="shared" si="8"/>
        <v>-2.5533071396642963</v>
      </c>
      <c r="K38">
        <f t="shared" si="9"/>
        <v>1.9325229774149692E-2</v>
      </c>
      <c r="L38">
        <f t="shared" si="10"/>
        <v>1.9325229774149692E-2</v>
      </c>
      <c r="M38">
        <f t="shared" si="11"/>
        <v>5.3135655360221588</v>
      </c>
      <c r="N38">
        <f t="shared" si="12"/>
        <v>1.6179383117831118E-2</v>
      </c>
      <c r="O38">
        <f t="shared" si="13"/>
        <v>1.5754077208956194E-2</v>
      </c>
    </row>
    <row r="39" spans="1:16">
      <c r="A39">
        <f t="shared" si="14"/>
        <v>0.99999999999999989</v>
      </c>
      <c r="B39">
        <f t="shared" si="0"/>
        <v>7.6749999999999985E-2</v>
      </c>
      <c r="C39">
        <f t="shared" si="1"/>
        <v>6.6084036507663146E-2</v>
      </c>
      <c r="D39" s="5">
        <f t="shared" si="2"/>
        <v>47946.595139102421</v>
      </c>
      <c r="E39" t="str">
        <f t="shared" si="3"/>
        <v>Turbulent</v>
      </c>
      <c r="F39">
        <f t="shared" si="4"/>
        <v>2.6956521739130435E-2</v>
      </c>
      <c r="G39" s="6">
        <f t="shared" si="5"/>
        <v>47946.595139102421</v>
      </c>
      <c r="H39">
        <f t="shared" si="6"/>
        <v>-3.5976656803327902</v>
      </c>
      <c r="I39">
        <f t="shared" si="7"/>
        <v>-3.4214308013920212</v>
      </c>
      <c r="J39">
        <f t="shared" si="8"/>
        <v>-2.588414204523886</v>
      </c>
      <c r="K39">
        <f t="shared" si="9"/>
        <v>1.8817229292706541E-2</v>
      </c>
      <c r="L39">
        <f t="shared" si="10"/>
        <v>1.8817229292706541E-2</v>
      </c>
      <c r="M39">
        <f t="shared" si="11"/>
        <v>5.9039617066912857</v>
      </c>
      <c r="N39">
        <f t="shared" si="12"/>
        <v>1.9449478035748383E-2</v>
      </c>
      <c r="O39">
        <f t="shared" si="13"/>
        <v>1.9449478035748383E-2</v>
      </c>
      <c r="P39">
        <f>O39</f>
        <v>1.9449478035748383E-2</v>
      </c>
    </row>
    <row r="40" spans="1:16">
      <c r="A40">
        <f t="shared" si="14"/>
        <v>1.0999999999999999</v>
      </c>
      <c r="B40">
        <f t="shared" si="0"/>
        <v>8.4424999999999986E-2</v>
      </c>
      <c r="C40">
        <f t="shared" si="1"/>
        <v>7.2692440158429475E-2</v>
      </c>
      <c r="D40" s="5">
        <f t="shared" si="2"/>
        <v>52741.254653012678</v>
      </c>
      <c r="E40" t="str">
        <f t="shared" si="3"/>
        <v>Turbulent</v>
      </c>
      <c r="F40">
        <f t="shared" si="4"/>
        <v>2.6956521739130435E-2</v>
      </c>
      <c r="G40" s="6">
        <f t="shared" si="5"/>
        <v>52741.254653012678</v>
      </c>
      <c r="H40">
        <f t="shared" si="6"/>
        <v>-3.6386692109512122</v>
      </c>
      <c r="I40">
        <f t="shared" si="7"/>
        <v>-3.4576744692755383</v>
      </c>
      <c r="J40">
        <f t="shared" si="8"/>
        <v>-2.6202797324902583</v>
      </c>
      <c r="K40">
        <f t="shared" si="9"/>
        <v>1.8374792174326946E-2</v>
      </c>
      <c r="L40">
        <f t="shared" si="10"/>
        <v>1.8374792174326946E-2</v>
      </c>
      <c r="M40">
        <f t="shared" si="11"/>
        <v>6.4943578773604154</v>
      </c>
      <c r="N40">
        <f t="shared" si="12"/>
        <v>2.298053207561666E-2</v>
      </c>
      <c r="O40">
        <f t="shared" si="13"/>
        <v>2.3533868423255552E-2</v>
      </c>
    </row>
    <row r="41" spans="1:16">
      <c r="A41">
        <f t="shared" si="14"/>
        <v>1.2</v>
      </c>
      <c r="B41">
        <f t="shared" si="0"/>
        <v>9.2100000000000001E-2</v>
      </c>
      <c r="C41">
        <f t="shared" si="1"/>
        <v>7.9300843809195803E-2</v>
      </c>
      <c r="D41" s="5">
        <f t="shared" si="2"/>
        <v>57535.914166922928</v>
      </c>
      <c r="E41" t="str">
        <f t="shared" si="3"/>
        <v>Turbulent</v>
      </c>
      <c r="F41">
        <f t="shared" si="4"/>
        <v>2.6956521739130435E-2</v>
      </c>
      <c r="G41" s="6">
        <f t="shared" si="5"/>
        <v>57535.914166922928</v>
      </c>
      <c r="H41">
        <f t="shared" si="6"/>
        <v>-3.6760689656950278</v>
      </c>
      <c r="I41">
        <f t="shared" si="7"/>
        <v>-3.4907969091951863</v>
      </c>
      <c r="J41">
        <f t="shared" si="8"/>
        <v>-2.6494582091260201</v>
      </c>
      <c r="K41">
        <f t="shared" si="9"/>
        <v>1.7984462563718277E-2</v>
      </c>
      <c r="L41">
        <f t="shared" si="10"/>
        <v>1.7984462563718277E-2</v>
      </c>
      <c r="M41">
        <f t="shared" si="11"/>
        <v>7.084754048029545</v>
      </c>
      <c r="N41">
        <f t="shared" si="12"/>
        <v>2.6767772343871565E-2</v>
      </c>
      <c r="O41">
        <f t="shared" si="13"/>
        <v>2.8007248371477687E-2</v>
      </c>
    </row>
    <row r="42" spans="1:16">
      <c r="A42">
        <f t="shared" si="14"/>
        <v>1.3</v>
      </c>
      <c r="B42">
        <f t="shared" si="0"/>
        <v>9.9775000000000003E-2</v>
      </c>
      <c r="C42">
        <f t="shared" si="1"/>
        <v>8.5909247459962118E-2</v>
      </c>
      <c r="D42" s="5">
        <f t="shared" si="2"/>
        <v>62330.573680833179</v>
      </c>
      <c r="E42" t="str">
        <f t="shared" si="3"/>
        <v>Turbulent</v>
      </c>
      <c r="F42">
        <f t="shared" si="4"/>
        <v>2.6956521739130435E-2</v>
      </c>
      <c r="G42" s="6">
        <f t="shared" si="5"/>
        <v>62330.573680833179</v>
      </c>
      <c r="H42">
        <f t="shared" si="6"/>
        <v>-3.7104426135796262</v>
      </c>
      <c r="I42">
        <f t="shared" si="7"/>
        <v>-3.5212938854516191</v>
      </c>
      <c r="J42">
        <f t="shared" si="8"/>
        <v>-2.6763724840450824</v>
      </c>
      <c r="K42">
        <f t="shared" si="9"/>
        <v>1.7636404385961996E-2</v>
      </c>
      <c r="L42">
        <f t="shared" si="10"/>
        <v>1.7636404385961996E-2</v>
      </c>
      <c r="M42">
        <f t="shared" si="11"/>
        <v>7.6751502186986738</v>
      </c>
      <c r="N42">
        <f t="shared" si="12"/>
        <v>3.0806972904120981E-2</v>
      </c>
      <c r="O42">
        <f t="shared" si="13"/>
        <v>3.286961788041478E-2</v>
      </c>
    </row>
    <row r="43" spans="1:16">
      <c r="A43">
        <f t="shared" si="14"/>
        <v>1.4000000000000001</v>
      </c>
      <c r="B43">
        <f t="shared" si="0"/>
        <v>0.10745</v>
      </c>
      <c r="C43">
        <f t="shared" si="1"/>
        <v>9.2517651110728433E-2</v>
      </c>
      <c r="D43" s="5">
        <f t="shared" si="2"/>
        <v>67125.233194743429</v>
      </c>
      <c r="E43" t="str">
        <f t="shared" si="3"/>
        <v>Turbulent</v>
      </c>
      <c r="F43">
        <f t="shared" si="4"/>
        <v>2.6956521739130435E-2</v>
      </c>
      <c r="G43" s="6">
        <f t="shared" si="5"/>
        <v>67125.233194743429</v>
      </c>
      <c r="H43">
        <f t="shared" si="6"/>
        <v>-3.7422391857258068</v>
      </c>
      <c r="I43">
        <f t="shared" si="7"/>
        <v>-3.5495514925526228</v>
      </c>
      <c r="J43">
        <f t="shared" si="8"/>
        <v>-2.7013524756541933</v>
      </c>
      <c r="K43">
        <f t="shared" si="9"/>
        <v>1.7323231533326724E-2</v>
      </c>
      <c r="L43">
        <f t="shared" si="10"/>
        <v>1.7323231533326724E-2</v>
      </c>
      <c r="M43">
        <f t="shared" si="11"/>
        <v>8.2655463893678025</v>
      </c>
      <c r="N43">
        <f t="shared" si="12"/>
        <v>3.5094354206470689E-2</v>
      </c>
      <c r="O43">
        <f t="shared" si="13"/>
        <v>3.8120976950066846E-2</v>
      </c>
    </row>
    <row r="44" spans="1:16">
      <c r="A44">
        <f t="shared" si="14"/>
        <v>1.5000000000000002</v>
      </c>
      <c r="B44">
        <f t="shared" si="0"/>
        <v>0.11512500000000002</v>
      </c>
      <c r="C44">
        <f t="shared" si="1"/>
        <v>9.9126054761494761E-2</v>
      </c>
      <c r="D44" s="5">
        <f t="shared" si="2"/>
        <v>71919.892708653671</v>
      </c>
      <c r="E44" t="str">
        <f t="shared" si="3"/>
        <v>Turbulent</v>
      </c>
      <c r="F44">
        <f t="shared" si="4"/>
        <v>2.6956521739130435E-2</v>
      </c>
      <c r="G44" s="6">
        <f t="shared" si="5"/>
        <v>71919.892708653671</v>
      </c>
      <c r="H44">
        <f t="shared" si="6"/>
        <v>-3.7718146444075096</v>
      </c>
      <c r="I44">
        <f t="shared" si="7"/>
        <v>-3.575876321088582</v>
      </c>
      <c r="J44">
        <f t="shared" si="8"/>
        <v>-2.7246606039746837</v>
      </c>
      <c r="K44">
        <f t="shared" si="9"/>
        <v>1.7039270646612408E-2</v>
      </c>
      <c r="L44">
        <f t="shared" si="10"/>
        <v>1.7039270646612408E-2</v>
      </c>
      <c r="M44">
        <f t="shared" si="11"/>
        <v>8.855942560036933</v>
      </c>
      <c r="N44">
        <f t="shared" si="12"/>
        <v>3.9626507113273597E-2</v>
      </c>
      <c r="O44">
        <f t="shared" si="13"/>
        <v>4.3761325580433892E-2</v>
      </c>
    </row>
    <row r="45" spans="1:16">
      <c r="A45">
        <f t="shared" si="14"/>
        <v>1.6000000000000003</v>
      </c>
      <c r="B45">
        <f t="shared" si="0"/>
        <v>0.12280000000000002</v>
      </c>
      <c r="C45">
        <f t="shared" si="1"/>
        <v>0.10573445841226108</v>
      </c>
      <c r="D45" s="5">
        <f t="shared" si="2"/>
        <v>76714.552222563914</v>
      </c>
      <c r="E45" t="str">
        <f t="shared" si="3"/>
        <v>Turbulent</v>
      </c>
      <c r="F45">
        <f t="shared" si="4"/>
        <v>2.6956521739130435E-2</v>
      </c>
      <c r="G45" s="6">
        <f t="shared" si="5"/>
        <v>76714.552222563914</v>
      </c>
      <c r="H45">
        <f t="shared" si="6"/>
        <v>-3.7994559492232396</v>
      </c>
      <c r="I45">
        <f t="shared" si="7"/>
        <v>-3.6005159102665321</v>
      </c>
      <c r="J45">
        <f t="shared" si="8"/>
        <v>-2.746509067860837</v>
      </c>
      <c r="K45">
        <f t="shared" si="9"/>
        <v>1.6780078961064159E-2</v>
      </c>
      <c r="L45">
        <f t="shared" si="10"/>
        <v>1.6780078961064159E-2</v>
      </c>
      <c r="M45">
        <f t="shared" si="11"/>
        <v>9.44633873070606</v>
      </c>
      <c r="N45">
        <f t="shared" si="12"/>
        <v>4.4400334215710768E-2</v>
      </c>
      <c r="O45">
        <f t="shared" si="13"/>
        <v>4.9790663771515906E-2</v>
      </c>
    </row>
    <row r="46" spans="1:16">
      <c r="A46">
        <f t="shared" si="14"/>
        <v>1.7000000000000004</v>
      </c>
      <c r="B46">
        <f t="shared" si="0"/>
        <v>0.13047500000000004</v>
      </c>
      <c r="C46">
        <f t="shared" si="1"/>
        <v>0.11234286206302742</v>
      </c>
      <c r="D46" s="5">
        <f t="shared" si="2"/>
        <v>81509.211736474172</v>
      </c>
      <c r="E46" t="str">
        <f t="shared" si="3"/>
        <v>Turbulent</v>
      </c>
      <c r="F46">
        <f t="shared" si="4"/>
        <v>2.6956521739130435E-2</v>
      </c>
      <c r="G46" s="6">
        <f t="shared" si="5"/>
        <v>81509.211736474172</v>
      </c>
      <c r="H46">
        <f t="shared" si="6"/>
        <v>-3.8253978144557022</v>
      </c>
      <c r="I46">
        <f t="shared" si="7"/>
        <v>-3.6236730156297128</v>
      </c>
      <c r="J46">
        <f t="shared" si="8"/>
        <v>-2.7670719189823885</v>
      </c>
      <c r="K46">
        <f t="shared" si="9"/>
        <v>1.6542118873265819E-2</v>
      </c>
      <c r="L46">
        <f t="shared" si="10"/>
        <v>1.6542118873265819E-2</v>
      </c>
      <c r="M46">
        <f t="shared" si="11"/>
        <v>10.036734901375192</v>
      </c>
      <c r="N46">
        <f t="shared" si="12"/>
        <v>4.9413003639458469E-2</v>
      </c>
      <c r="O46">
        <f t="shared" si="13"/>
        <v>5.6208991523312872E-2</v>
      </c>
    </row>
    <row r="47" spans="1:16">
      <c r="A47">
        <f t="shared" si="14"/>
        <v>1.8000000000000005</v>
      </c>
      <c r="B47">
        <f t="shared" si="0"/>
        <v>0.13815000000000002</v>
      </c>
      <c r="C47">
        <f t="shared" si="1"/>
        <v>0.11895126571379372</v>
      </c>
      <c r="D47" s="5">
        <f t="shared" si="2"/>
        <v>86303.871250384414</v>
      </c>
      <c r="E47" t="str">
        <f t="shared" si="3"/>
        <v>Turbulent</v>
      </c>
      <c r="F47">
        <f t="shared" si="4"/>
        <v>2.6956521739130435E-2</v>
      </c>
      <c r="G47" s="6">
        <f t="shared" si="5"/>
        <v>86303.871250384414</v>
      </c>
      <c r="H47">
        <f t="shared" si="6"/>
        <v>-3.8498346693705203</v>
      </c>
      <c r="I47">
        <f t="shared" si="7"/>
        <v>-3.6455158096793321</v>
      </c>
      <c r="J47">
        <f t="shared" si="8"/>
        <v>-2.7864937080326988</v>
      </c>
      <c r="K47">
        <f t="shared" si="9"/>
        <v>1.6322532249848282E-2</v>
      </c>
      <c r="L47">
        <f t="shared" si="10"/>
        <v>1.6322532249848282E-2</v>
      </c>
      <c r="M47">
        <f t="shared" si="11"/>
        <v>10.627131072044319</v>
      </c>
      <c r="N47">
        <f t="shared" si="12"/>
        <v>5.4661912082764726E-2</v>
      </c>
      <c r="O47">
        <f t="shared" si="13"/>
        <v>6.3016308835824819E-2</v>
      </c>
    </row>
    <row r="48" spans="1:16">
      <c r="A48">
        <f t="shared" si="14"/>
        <v>1.9000000000000006</v>
      </c>
      <c r="B48">
        <f t="shared" si="0"/>
        <v>0.14582500000000004</v>
      </c>
      <c r="C48">
        <f t="shared" si="1"/>
        <v>0.12555966936456006</v>
      </c>
      <c r="D48" s="5">
        <f t="shared" si="2"/>
        <v>91098.530764294686</v>
      </c>
      <c r="E48" t="str">
        <f t="shared" si="3"/>
        <v>Turbulent</v>
      </c>
      <c r="F48">
        <f t="shared" si="4"/>
        <v>2.6956521739130435E-2</v>
      </c>
      <c r="G48" s="6">
        <f t="shared" si="5"/>
        <v>91098.530764294686</v>
      </c>
      <c r="H48">
        <f t="shared" si="6"/>
        <v>-3.8729293804761911</v>
      </c>
      <c r="I48">
        <f t="shared" si="7"/>
        <v>-3.6661853324058105</v>
      </c>
      <c r="J48">
        <f t="shared" si="8"/>
        <v>-2.8048958093274923</v>
      </c>
      <c r="K48">
        <f t="shared" si="9"/>
        <v>1.6118980171992169E-2</v>
      </c>
      <c r="L48">
        <f t="shared" si="10"/>
        <v>1.6118980171992169E-2</v>
      </c>
      <c r="M48">
        <f t="shared" si="11"/>
        <v>11.21752724271345</v>
      </c>
      <c r="N48">
        <f t="shared" si="12"/>
        <v>6.0144654817836207E-2</v>
      </c>
      <c r="O48">
        <f t="shared" si="13"/>
        <v>7.0212615709051726E-2</v>
      </c>
    </row>
    <row r="49" spans="1:15">
      <c r="A49">
        <f t="shared" si="14"/>
        <v>2.0000000000000004</v>
      </c>
      <c r="B49">
        <f t="shared" si="0"/>
        <v>0.15350000000000003</v>
      </c>
      <c r="C49">
        <f t="shared" si="1"/>
        <v>0.13216807301532635</v>
      </c>
      <c r="D49" s="5">
        <f t="shared" si="2"/>
        <v>95893.190278204886</v>
      </c>
      <c r="E49" t="str">
        <f t="shared" si="3"/>
        <v>Turbulent</v>
      </c>
      <c r="F49">
        <f t="shared" si="4"/>
        <v>2.6956521739130435E-2</v>
      </c>
      <c r="G49" s="6">
        <f t="shared" si="5"/>
        <v>95893.190278204886</v>
      </c>
      <c r="H49">
        <f t="shared" si="6"/>
        <v>-3.8948197338981756</v>
      </c>
      <c r="I49">
        <f t="shared" si="7"/>
        <v>-3.6858010364311324</v>
      </c>
      <c r="J49">
        <f t="shared" si="8"/>
        <v>-2.8223811344468732</v>
      </c>
      <c r="K49">
        <f t="shared" si="9"/>
        <v>1.592952676192369E-2</v>
      </c>
      <c r="L49">
        <f t="shared" si="10"/>
        <v>1.592952676192369E-2</v>
      </c>
      <c r="M49">
        <f t="shared" si="11"/>
        <v>11.807923413382577</v>
      </c>
      <c r="N49">
        <f t="shared" si="12"/>
        <v>6.5859001037094467E-2</v>
      </c>
      <c r="O49">
        <f t="shared" si="13"/>
        <v>7.7797912142993586E-2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"/>
  <sheetViews>
    <sheetView zoomScaleNormal="100" workbookViewId="0">
      <selection activeCell="A18" sqref="A18"/>
    </sheetView>
  </sheetViews>
  <sheetFormatPr defaultRowHeight="12.75"/>
  <cols>
    <col min="1" max="1" width="8.625"/>
    <col min="2" max="2" width="12.125"/>
    <col min="3" max="6" width="8.625"/>
    <col min="7" max="7" width="11.625"/>
    <col min="8" max="1025" width="8.625"/>
  </cols>
  <sheetData>
    <row r="1" spans="1:7">
      <c r="A1" t="s">
        <v>1</v>
      </c>
    </row>
    <row r="2" spans="1:7">
      <c r="A2" t="s">
        <v>2</v>
      </c>
      <c r="B2" s="1">
        <v>6.0960000000000001</v>
      </c>
      <c r="C2" t="s">
        <v>3</v>
      </c>
      <c r="F2">
        <f>3.28084*B2</f>
        <v>20.00000064</v>
      </c>
      <c r="G2" t="s">
        <v>4</v>
      </c>
    </row>
    <row r="3" spans="1:7">
      <c r="A3" t="s">
        <v>5</v>
      </c>
      <c r="B3" s="1">
        <v>8.0000000000000002E-3</v>
      </c>
      <c r="C3" t="s">
        <v>3</v>
      </c>
      <c r="F3">
        <f>3.28084*12*B3</f>
        <v>0.31496064000000001</v>
      </c>
      <c r="G3" t="s">
        <v>6</v>
      </c>
    </row>
    <row r="4" spans="1:7">
      <c r="A4" t="s">
        <v>7</v>
      </c>
      <c r="B4" s="2">
        <v>9.9999999999999995E-7</v>
      </c>
      <c r="C4" t="s">
        <v>3</v>
      </c>
      <c r="F4">
        <f>3.28084*12*B4</f>
        <v>3.9370080000000003E-5</v>
      </c>
      <c r="G4" t="s">
        <v>6</v>
      </c>
    </row>
    <row r="6" spans="1:7">
      <c r="A6" t="s">
        <v>8</v>
      </c>
    </row>
    <row r="7" spans="1:7">
      <c r="A7" t="s">
        <v>9</v>
      </c>
      <c r="B7" s="1">
        <v>1.5100000000000001E-3</v>
      </c>
      <c r="C7" t="s">
        <v>10</v>
      </c>
      <c r="D7" t="s">
        <v>65</v>
      </c>
      <c r="F7">
        <f>2.204623*3600*B7</f>
        <v>11.984330628000002</v>
      </c>
      <c r="G7" t="s">
        <v>12</v>
      </c>
    </row>
    <row r="8" spans="1:7">
      <c r="A8" t="s">
        <v>46</v>
      </c>
      <c r="B8" s="3">
        <v>1.5699999999999999E-5</v>
      </c>
      <c r="C8" t="s">
        <v>47</v>
      </c>
      <c r="D8" t="s">
        <v>48</v>
      </c>
    </row>
    <row r="9" spans="1:7">
      <c r="A9" t="s">
        <v>16</v>
      </c>
      <c r="B9" s="1">
        <v>8.6159999999999997</v>
      </c>
      <c r="C9" t="s">
        <v>17</v>
      </c>
      <c r="D9" t="s">
        <v>66</v>
      </c>
      <c r="F9">
        <f>2.204623*B9/35.314667</f>
        <v>0.53787939634260185</v>
      </c>
      <c r="G9" t="s">
        <v>19</v>
      </c>
    </row>
    <row r="11" spans="1:7">
      <c r="A11" t="s">
        <v>20</v>
      </c>
    </row>
    <row r="12" spans="1:7">
      <c r="A12" t="s">
        <v>21</v>
      </c>
      <c r="B12" s="4">
        <f>PI()*SQRT(B3^5/(8*L39*B2))</f>
        <v>1.3785019693461242E-5</v>
      </c>
      <c r="C12" t="s">
        <v>22</v>
      </c>
      <c r="D12" t="s">
        <v>67</v>
      </c>
    </row>
    <row r="13" spans="1:7">
      <c r="A13" t="s">
        <v>24</v>
      </c>
      <c r="B13">
        <f>O39</f>
        <v>1.3926225478741718</v>
      </c>
      <c r="C13" t="s">
        <v>25</v>
      </c>
      <c r="D13" t="s">
        <v>68</v>
      </c>
      <c r="F13">
        <f>0.145037738*B13</f>
        <v>0.2019828242314666</v>
      </c>
      <c r="G13" t="s">
        <v>27</v>
      </c>
    </row>
    <row r="15" spans="1:7">
      <c r="A15" t="s">
        <v>69</v>
      </c>
    </row>
    <row r="16" spans="1:7">
      <c r="A16" t="s">
        <v>74</v>
      </c>
    </row>
    <row r="17" spans="1:16">
      <c r="A17" t="s">
        <v>75</v>
      </c>
    </row>
    <row r="18" spans="1:16">
      <c r="A18" t="s">
        <v>76</v>
      </c>
    </row>
    <row r="25" spans="1:16">
      <c r="A25" t="s">
        <v>37</v>
      </c>
    </row>
    <row r="26" spans="1:16">
      <c r="A26" t="s">
        <v>38</v>
      </c>
      <c r="B26">
        <f>B7/B9</f>
        <v>1.7525533890436399E-4</v>
      </c>
      <c r="C26" t="s">
        <v>39</v>
      </c>
      <c r="D26" t="s">
        <v>40</v>
      </c>
      <c r="F26">
        <f>35.314667*60*B26</f>
        <v>0.37134503600278557</v>
      </c>
      <c r="G26" t="s">
        <v>41</v>
      </c>
    </row>
    <row r="27" spans="1:16">
      <c r="A27" t="s">
        <v>42</v>
      </c>
      <c r="B27">
        <f>PI()*(B3/2)^2</f>
        <v>5.0265482457436686E-5</v>
      </c>
      <c r="C27" t="s">
        <v>22</v>
      </c>
      <c r="D27" t="s">
        <v>43</v>
      </c>
      <c r="F27">
        <f>3.28084^2*B27</f>
        <v>5.4105318485194473E-4</v>
      </c>
      <c r="G27" t="s">
        <v>44</v>
      </c>
    </row>
    <row r="28" spans="1:16">
      <c r="A28" t="s">
        <v>45</v>
      </c>
      <c r="B28">
        <f>MIN(MAX(0, B4/B3), 0.5) / 3.7</f>
        <v>3.3783783783783784E-5</v>
      </c>
    </row>
    <row r="29" spans="1:16">
      <c r="B29" t="s">
        <v>50</v>
      </c>
      <c r="C29" t="s">
        <v>51</v>
      </c>
      <c r="D29" t="s">
        <v>52</v>
      </c>
      <c r="E29" t="s">
        <v>53</v>
      </c>
      <c r="F29" t="s">
        <v>54</v>
      </c>
      <c r="G29" t="s">
        <v>55</v>
      </c>
      <c r="H29" t="s">
        <v>56</v>
      </c>
      <c r="I29" t="s">
        <v>57</v>
      </c>
      <c r="J29" t="s">
        <v>58</v>
      </c>
      <c r="K29" t="s">
        <v>59</v>
      </c>
      <c r="L29" t="s">
        <v>60</v>
      </c>
      <c r="M29" t="s">
        <v>61</v>
      </c>
      <c r="N29" t="s">
        <v>71</v>
      </c>
      <c r="O29" t="s">
        <v>72</v>
      </c>
      <c r="P29" t="s">
        <v>73</v>
      </c>
    </row>
    <row r="30" spans="1:16">
      <c r="A30">
        <v>0.1</v>
      </c>
      <c r="B30">
        <f t="shared" ref="B30:B49" si="0">$B$7*A30</f>
        <v>1.5100000000000001E-4</v>
      </c>
      <c r="C30">
        <f t="shared" ref="C30:C49" si="1">B30/$B$9</f>
        <v>1.75255338904364E-5</v>
      </c>
      <c r="D30" s="5">
        <f t="shared" ref="D30:D49" si="2">C30*$B$3/$B$8/$B$27</f>
        <v>177.66085025398019</v>
      </c>
      <c r="E30" t="str">
        <f t="shared" ref="E30:E49" si="3">IF(D30&lt;2300,"Laminar",IF(D30&lt;4000,"Transition","Turbulent"))</f>
        <v>Laminar</v>
      </c>
      <c r="F30">
        <f t="shared" ref="F30:F49" si="4">62/MIN(2300,D30)</f>
        <v>0.34897952988160369</v>
      </c>
      <c r="G30" s="6">
        <f t="shared" ref="G30:G49" si="5">MAX(D30,4000)</f>
        <v>4000</v>
      </c>
      <c r="H30">
        <f t="shared" ref="H30:H49" si="6">LOG10($B$28+12/G30)</f>
        <v>-2.5180153743916343</v>
      </c>
      <c r="I30">
        <f t="shared" ref="I30:I49" si="7">LOG10($B$28-5.02*H30/G30)</f>
        <v>-2.4956796267484425</v>
      </c>
      <c r="J30">
        <f t="shared" ref="J30:J49" si="8">LOG10($B$28+10.04*H30*I30/G30)</f>
        <v>-1.8011498720706716</v>
      </c>
      <c r="K30">
        <f t="shared" ref="K30:K49" si="9">0.25 / (H30-(I30-H30)^2/(J30-2*I30+H30))^2</f>
        <v>3.9406446901075108E-2</v>
      </c>
      <c r="L30">
        <f t="shared" ref="L30:L49" si="10">IF(E30="Laminar",F30,IF(E30="Turbulent",K30,F30+(K30-F30)*(D30-2300)/(4000-2300)))</f>
        <v>0.34897952988160369</v>
      </c>
      <c r="M30">
        <f t="shared" ref="M30:M49" si="11">C30/$B$27</f>
        <v>0.34865941862343608</v>
      </c>
      <c r="N30">
        <f t="shared" ref="N30:N49" si="12">L30*$B$9*$B$2*M30^2/$B$3/2/1000</f>
        <v>0.13926225478741724</v>
      </c>
      <c r="O30">
        <f t="shared" ref="O30:O49" si="13">(B30/$B$12)^2/$B$9/1000</f>
        <v>1.3926225478741725E-2</v>
      </c>
    </row>
    <row r="31" spans="1:16">
      <c r="A31">
        <f t="shared" ref="A31:A49" si="14">A30+0.1</f>
        <v>0.2</v>
      </c>
      <c r="B31">
        <f t="shared" si="0"/>
        <v>3.0200000000000002E-4</v>
      </c>
      <c r="C31">
        <f t="shared" si="1"/>
        <v>3.50510677808728E-5</v>
      </c>
      <c r="D31" s="5">
        <f t="shared" si="2"/>
        <v>355.32170050796037</v>
      </c>
      <c r="E31" t="str">
        <f t="shared" si="3"/>
        <v>Laminar</v>
      </c>
      <c r="F31">
        <f t="shared" si="4"/>
        <v>0.17448976494080184</v>
      </c>
      <c r="G31" s="6">
        <f t="shared" si="5"/>
        <v>4000</v>
      </c>
      <c r="H31">
        <f t="shared" si="6"/>
        <v>-2.5180153743916343</v>
      </c>
      <c r="I31">
        <f t="shared" si="7"/>
        <v>-2.4956796267484425</v>
      </c>
      <c r="J31">
        <f t="shared" si="8"/>
        <v>-1.8011498720706716</v>
      </c>
      <c r="K31">
        <f t="shared" si="9"/>
        <v>3.9406446901075108E-2</v>
      </c>
      <c r="L31">
        <f t="shared" si="10"/>
        <v>0.17448976494080184</v>
      </c>
      <c r="M31">
        <f t="shared" si="11"/>
        <v>0.69731883724687216</v>
      </c>
      <c r="N31">
        <f t="shared" si="12"/>
        <v>0.27852450957483449</v>
      </c>
      <c r="O31">
        <f t="shared" si="13"/>
        <v>5.5704901914966902E-2</v>
      </c>
    </row>
    <row r="32" spans="1:16">
      <c r="A32">
        <f t="shared" si="14"/>
        <v>0.30000000000000004</v>
      </c>
      <c r="B32">
        <f t="shared" si="0"/>
        <v>4.5300000000000006E-4</v>
      </c>
      <c r="C32">
        <f t="shared" si="1"/>
        <v>5.2576601671309203E-5</v>
      </c>
      <c r="D32" s="5">
        <f t="shared" si="2"/>
        <v>532.98255076194062</v>
      </c>
      <c r="E32" t="str">
        <f t="shared" si="3"/>
        <v>Laminar</v>
      </c>
      <c r="F32">
        <f t="shared" si="4"/>
        <v>0.11632650996053456</v>
      </c>
      <c r="G32" s="6">
        <f t="shared" si="5"/>
        <v>4000</v>
      </c>
      <c r="H32">
        <f t="shared" si="6"/>
        <v>-2.5180153743916343</v>
      </c>
      <c r="I32">
        <f t="shared" si="7"/>
        <v>-2.4956796267484425</v>
      </c>
      <c r="J32">
        <f t="shared" si="8"/>
        <v>-1.8011498720706716</v>
      </c>
      <c r="K32">
        <f t="shared" si="9"/>
        <v>3.9406446901075108E-2</v>
      </c>
      <c r="L32">
        <f t="shared" si="10"/>
        <v>0.11632650996053456</v>
      </c>
      <c r="M32">
        <f t="shared" si="11"/>
        <v>1.0459782558703083</v>
      </c>
      <c r="N32">
        <f t="shared" si="12"/>
        <v>0.41778676436225182</v>
      </c>
      <c r="O32">
        <f t="shared" si="13"/>
        <v>0.12533602930867557</v>
      </c>
    </row>
    <row r="33" spans="1:16">
      <c r="A33">
        <f t="shared" si="14"/>
        <v>0.4</v>
      </c>
      <c r="B33">
        <f t="shared" si="0"/>
        <v>6.0400000000000004E-4</v>
      </c>
      <c r="C33">
        <f t="shared" si="1"/>
        <v>7.01021355617456E-5</v>
      </c>
      <c r="D33" s="5">
        <f t="shared" si="2"/>
        <v>710.64340101592074</v>
      </c>
      <c r="E33" t="str">
        <f t="shared" si="3"/>
        <v>Laminar</v>
      </c>
      <c r="F33">
        <f t="shared" si="4"/>
        <v>8.7244882470400922E-2</v>
      </c>
      <c r="G33" s="6">
        <f t="shared" si="5"/>
        <v>4000</v>
      </c>
      <c r="H33">
        <f t="shared" si="6"/>
        <v>-2.5180153743916343</v>
      </c>
      <c r="I33">
        <f t="shared" si="7"/>
        <v>-2.4956796267484425</v>
      </c>
      <c r="J33">
        <f t="shared" si="8"/>
        <v>-1.8011498720706716</v>
      </c>
      <c r="K33">
        <f t="shared" si="9"/>
        <v>3.9406446901075108E-2</v>
      </c>
      <c r="L33">
        <f t="shared" si="10"/>
        <v>8.7244882470400922E-2</v>
      </c>
      <c r="M33">
        <f t="shared" si="11"/>
        <v>1.3946376744937443</v>
      </c>
      <c r="N33">
        <f t="shared" si="12"/>
        <v>0.55704901914966898</v>
      </c>
      <c r="O33">
        <f t="shared" si="13"/>
        <v>0.22281960765986761</v>
      </c>
    </row>
    <row r="34" spans="1:16">
      <c r="A34">
        <f t="shared" si="14"/>
        <v>0.5</v>
      </c>
      <c r="B34">
        <f t="shared" si="0"/>
        <v>7.5500000000000003E-4</v>
      </c>
      <c r="C34">
        <f t="shared" si="1"/>
        <v>8.7627669452181996E-5</v>
      </c>
      <c r="D34" s="5">
        <f t="shared" si="2"/>
        <v>888.30425126990087</v>
      </c>
      <c r="E34" t="str">
        <f t="shared" si="3"/>
        <v>Laminar</v>
      </c>
      <c r="F34">
        <f t="shared" si="4"/>
        <v>6.9795905976320752E-2</v>
      </c>
      <c r="G34" s="6">
        <f t="shared" si="5"/>
        <v>4000</v>
      </c>
      <c r="H34">
        <f t="shared" si="6"/>
        <v>-2.5180153743916343</v>
      </c>
      <c r="I34">
        <f t="shared" si="7"/>
        <v>-2.4956796267484425</v>
      </c>
      <c r="J34">
        <f t="shared" si="8"/>
        <v>-1.8011498720706716</v>
      </c>
      <c r="K34">
        <f t="shared" si="9"/>
        <v>3.9406446901075108E-2</v>
      </c>
      <c r="L34">
        <f t="shared" si="10"/>
        <v>6.9795905976320752E-2</v>
      </c>
      <c r="M34">
        <f t="shared" si="11"/>
        <v>1.7432970931171803</v>
      </c>
      <c r="N34">
        <f t="shared" si="12"/>
        <v>0.69631127393708614</v>
      </c>
      <c r="O34">
        <f t="shared" si="13"/>
        <v>0.34815563696854307</v>
      </c>
    </row>
    <row r="35" spans="1:16">
      <c r="A35">
        <f t="shared" si="14"/>
        <v>0.6</v>
      </c>
      <c r="B35">
        <f t="shared" si="0"/>
        <v>9.0600000000000001E-4</v>
      </c>
      <c r="C35">
        <f t="shared" si="1"/>
        <v>1.0515320334261839E-4</v>
      </c>
      <c r="D35" s="5">
        <f t="shared" si="2"/>
        <v>1065.965101523881</v>
      </c>
      <c r="E35" t="str">
        <f t="shared" si="3"/>
        <v>Laminar</v>
      </c>
      <c r="F35">
        <f t="shared" si="4"/>
        <v>5.8163254980267289E-2</v>
      </c>
      <c r="G35" s="6">
        <f t="shared" si="5"/>
        <v>4000</v>
      </c>
      <c r="H35">
        <f t="shared" si="6"/>
        <v>-2.5180153743916343</v>
      </c>
      <c r="I35">
        <f t="shared" si="7"/>
        <v>-2.4956796267484425</v>
      </c>
      <c r="J35">
        <f t="shared" si="8"/>
        <v>-1.8011498720706716</v>
      </c>
      <c r="K35">
        <f t="shared" si="9"/>
        <v>3.9406446901075108E-2</v>
      </c>
      <c r="L35">
        <f t="shared" si="10"/>
        <v>5.8163254980267289E-2</v>
      </c>
      <c r="M35">
        <f t="shared" si="11"/>
        <v>2.0919565117406163</v>
      </c>
      <c r="N35">
        <f t="shared" si="12"/>
        <v>0.83557352872450341</v>
      </c>
      <c r="O35">
        <f t="shared" si="13"/>
        <v>0.50134411723470196</v>
      </c>
    </row>
    <row r="36" spans="1:16">
      <c r="A36">
        <f t="shared" si="14"/>
        <v>0.7</v>
      </c>
      <c r="B36">
        <f t="shared" si="0"/>
        <v>1.057E-3</v>
      </c>
      <c r="C36">
        <f t="shared" si="1"/>
        <v>1.2267873723305478E-4</v>
      </c>
      <c r="D36" s="5">
        <f t="shared" si="2"/>
        <v>1243.625951777861</v>
      </c>
      <c r="E36" t="str">
        <f t="shared" si="3"/>
        <v>Laminar</v>
      </c>
      <c r="F36">
        <f t="shared" si="4"/>
        <v>4.9854218554514829E-2</v>
      </c>
      <c r="G36" s="6">
        <f t="shared" si="5"/>
        <v>4000</v>
      </c>
      <c r="H36">
        <f t="shared" si="6"/>
        <v>-2.5180153743916343</v>
      </c>
      <c r="I36">
        <f t="shared" si="7"/>
        <v>-2.4956796267484425</v>
      </c>
      <c r="J36">
        <f t="shared" si="8"/>
        <v>-1.8011498720706716</v>
      </c>
      <c r="K36">
        <f t="shared" si="9"/>
        <v>3.9406446901075108E-2</v>
      </c>
      <c r="L36">
        <f t="shared" si="10"/>
        <v>4.9854218554514829E-2</v>
      </c>
      <c r="M36">
        <f t="shared" si="11"/>
        <v>2.4406159303640522</v>
      </c>
      <c r="N36">
        <f t="shared" si="12"/>
        <v>0.97483578351192091</v>
      </c>
      <c r="O36">
        <f t="shared" si="13"/>
        <v>0.68238504845834447</v>
      </c>
    </row>
    <row r="37" spans="1:16">
      <c r="A37">
        <f t="shared" si="14"/>
        <v>0.79999999999999993</v>
      </c>
      <c r="B37">
        <f t="shared" si="0"/>
        <v>1.2079999999999999E-3</v>
      </c>
      <c r="C37">
        <f t="shared" si="1"/>
        <v>1.4020427112349117E-4</v>
      </c>
      <c r="D37" s="5">
        <f t="shared" si="2"/>
        <v>1421.2868020318413</v>
      </c>
      <c r="E37" t="str">
        <f t="shared" si="3"/>
        <v>Laminar</v>
      </c>
      <c r="F37">
        <f t="shared" si="4"/>
        <v>4.3622441235200468E-2</v>
      </c>
      <c r="G37" s="6">
        <f t="shared" si="5"/>
        <v>4000</v>
      </c>
      <c r="H37">
        <f t="shared" si="6"/>
        <v>-2.5180153743916343</v>
      </c>
      <c r="I37">
        <f t="shared" si="7"/>
        <v>-2.4956796267484425</v>
      </c>
      <c r="J37">
        <f t="shared" si="8"/>
        <v>-1.8011498720706716</v>
      </c>
      <c r="K37">
        <f t="shared" si="9"/>
        <v>3.9406446901075108E-2</v>
      </c>
      <c r="L37">
        <f t="shared" si="10"/>
        <v>4.3622441235200468E-2</v>
      </c>
      <c r="M37">
        <f t="shared" si="11"/>
        <v>2.7892753489874882</v>
      </c>
      <c r="N37">
        <f t="shared" si="12"/>
        <v>1.1140980382993377</v>
      </c>
      <c r="O37">
        <f t="shared" si="13"/>
        <v>0.8912784306394701</v>
      </c>
    </row>
    <row r="38" spans="1:16">
      <c r="A38">
        <f t="shared" si="14"/>
        <v>0.89999999999999991</v>
      </c>
      <c r="B38">
        <f t="shared" si="0"/>
        <v>1.359E-3</v>
      </c>
      <c r="C38">
        <f t="shared" si="1"/>
        <v>1.5772980501392757E-4</v>
      </c>
      <c r="D38" s="5">
        <f t="shared" si="2"/>
        <v>1598.9476522858213</v>
      </c>
      <c r="E38" t="str">
        <f t="shared" si="3"/>
        <v>Laminar</v>
      </c>
      <c r="F38">
        <f t="shared" si="4"/>
        <v>3.8775503320178199E-2</v>
      </c>
      <c r="G38" s="6">
        <f t="shared" si="5"/>
        <v>4000</v>
      </c>
      <c r="H38">
        <f t="shared" si="6"/>
        <v>-2.5180153743916343</v>
      </c>
      <c r="I38">
        <f t="shared" si="7"/>
        <v>-2.4956796267484425</v>
      </c>
      <c r="J38">
        <f t="shared" si="8"/>
        <v>-1.8011498720706716</v>
      </c>
      <c r="K38">
        <f t="shared" si="9"/>
        <v>3.9406446901075108E-2</v>
      </c>
      <c r="L38">
        <f t="shared" si="10"/>
        <v>3.8775503320178199E-2</v>
      </c>
      <c r="M38">
        <f t="shared" si="11"/>
        <v>3.1379347676109242</v>
      </c>
      <c r="N38">
        <f t="shared" si="12"/>
        <v>1.2533602930867553</v>
      </c>
      <c r="O38">
        <f t="shared" si="13"/>
        <v>1.1280242637780793</v>
      </c>
    </row>
    <row r="39" spans="1:16">
      <c r="A39">
        <f t="shared" si="14"/>
        <v>0.99999999999999989</v>
      </c>
      <c r="B39">
        <f t="shared" si="0"/>
        <v>1.5099999999999998E-3</v>
      </c>
      <c r="C39">
        <f t="shared" si="1"/>
        <v>1.7525533890436397E-4</v>
      </c>
      <c r="D39" s="5">
        <f t="shared" si="2"/>
        <v>1776.6085025398015</v>
      </c>
      <c r="E39" t="str">
        <f t="shared" si="3"/>
        <v>Laminar</v>
      </c>
      <c r="F39">
        <f t="shared" si="4"/>
        <v>3.4897952988160376E-2</v>
      </c>
      <c r="G39" s="6">
        <f t="shared" si="5"/>
        <v>4000</v>
      </c>
      <c r="H39">
        <f t="shared" si="6"/>
        <v>-2.5180153743916343</v>
      </c>
      <c r="I39">
        <f t="shared" si="7"/>
        <v>-2.4956796267484425</v>
      </c>
      <c r="J39">
        <f t="shared" si="8"/>
        <v>-1.8011498720706716</v>
      </c>
      <c r="K39">
        <f t="shared" si="9"/>
        <v>3.9406446901075108E-2</v>
      </c>
      <c r="L39">
        <f t="shared" si="10"/>
        <v>3.4897952988160376E-2</v>
      </c>
      <c r="M39">
        <f t="shared" si="11"/>
        <v>3.4865941862343601</v>
      </c>
      <c r="N39">
        <f t="shared" si="12"/>
        <v>1.3926225478741718</v>
      </c>
      <c r="O39">
        <f t="shared" si="13"/>
        <v>1.3926225478741718</v>
      </c>
      <c r="P39">
        <f>O39</f>
        <v>1.3926225478741718</v>
      </c>
    </row>
    <row r="40" spans="1:16">
      <c r="A40">
        <f t="shared" si="14"/>
        <v>1.0999999999999999</v>
      </c>
      <c r="B40">
        <f t="shared" si="0"/>
        <v>1.6609999999999999E-3</v>
      </c>
      <c r="C40">
        <f t="shared" si="1"/>
        <v>1.9278087279480036E-4</v>
      </c>
      <c r="D40" s="5">
        <f t="shared" si="2"/>
        <v>1954.2693527937815</v>
      </c>
      <c r="E40" t="str">
        <f t="shared" si="3"/>
        <v>Laminar</v>
      </c>
      <c r="F40">
        <f t="shared" si="4"/>
        <v>3.172541180741853E-2</v>
      </c>
      <c r="G40" s="6">
        <f t="shared" si="5"/>
        <v>4000</v>
      </c>
      <c r="H40">
        <f t="shared" si="6"/>
        <v>-2.5180153743916343</v>
      </c>
      <c r="I40">
        <f t="shared" si="7"/>
        <v>-2.4956796267484425</v>
      </c>
      <c r="J40">
        <f t="shared" si="8"/>
        <v>-1.8011498720706716</v>
      </c>
      <c r="K40">
        <f t="shared" si="9"/>
        <v>3.9406446901075108E-2</v>
      </c>
      <c r="L40">
        <f t="shared" si="10"/>
        <v>3.172541180741853E-2</v>
      </c>
      <c r="M40">
        <f t="shared" si="11"/>
        <v>3.8352536048577961</v>
      </c>
      <c r="N40">
        <f t="shared" si="12"/>
        <v>1.5318848026615897</v>
      </c>
      <c r="O40">
        <f t="shared" si="13"/>
        <v>1.6850732829277484</v>
      </c>
    </row>
    <row r="41" spans="1:16">
      <c r="A41">
        <f t="shared" si="14"/>
        <v>1.2</v>
      </c>
      <c r="B41">
        <f t="shared" si="0"/>
        <v>1.812E-3</v>
      </c>
      <c r="C41">
        <f t="shared" si="1"/>
        <v>2.1030640668523679E-4</v>
      </c>
      <c r="D41" s="5">
        <f t="shared" si="2"/>
        <v>2131.930203047762</v>
      </c>
      <c r="E41" t="str">
        <f t="shared" si="3"/>
        <v>Laminar</v>
      </c>
      <c r="F41">
        <f t="shared" si="4"/>
        <v>2.9081627490133644E-2</v>
      </c>
      <c r="G41" s="6">
        <f t="shared" si="5"/>
        <v>4000</v>
      </c>
      <c r="H41">
        <f t="shared" si="6"/>
        <v>-2.5180153743916343</v>
      </c>
      <c r="I41">
        <f t="shared" si="7"/>
        <v>-2.4956796267484425</v>
      </c>
      <c r="J41">
        <f t="shared" si="8"/>
        <v>-1.8011498720706716</v>
      </c>
      <c r="K41">
        <f t="shared" si="9"/>
        <v>3.9406446901075108E-2</v>
      </c>
      <c r="L41">
        <f t="shared" si="10"/>
        <v>2.9081627490133644E-2</v>
      </c>
      <c r="M41">
        <f t="shared" si="11"/>
        <v>4.1839130234812325</v>
      </c>
      <c r="N41">
        <f t="shared" si="12"/>
        <v>1.6711470574490068</v>
      </c>
      <c r="O41">
        <f t="shared" si="13"/>
        <v>2.0053764689388078</v>
      </c>
    </row>
    <row r="42" spans="1:16">
      <c r="A42">
        <f t="shared" si="14"/>
        <v>1.3</v>
      </c>
      <c r="B42">
        <f t="shared" si="0"/>
        <v>1.9630000000000003E-3</v>
      </c>
      <c r="C42">
        <f t="shared" si="1"/>
        <v>2.2783194057567321E-4</v>
      </c>
      <c r="D42" s="5">
        <f t="shared" si="2"/>
        <v>2309.5910533017422</v>
      </c>
      <c r="E42" t="str">
        <f t="shared" si="3"/>
        <v>Transition</v>
      </c>
      <c r="F42">
        <f t="shared" si="4"/>
        <v>2.6956521739130435E-2</v>
      </c>
      <c r="G42" s="6">
        <f t="shared" si="5"/>
        <v>4000</v>
      </c>
      <c r="H42">
        <f t="shared" si="6"/>
        <v>-2.5180153743916343</v>
      </c>
      <c r="I42">
        <f t="shared" si="7"/>
        <v>-2.4956796267484425</v>
      </c>
      <c r="J42">
        <f t="shared" si="8"/>
        <v>-1.8011498720706716</v>
      </c>
      <c r="K42">
        <f t="shared" si="9"/>
        <v>3.9406446901075108E-2</v>
      </c>
      <c r="L42">
        <f t="shared" si="10"/>
        <v>2.7026761677854502E-2</v>
      </c>
      <c r="M42">
        <f t="shared" si="11"/>
        <v>4.5325724421046694</v>
      </c>
      <c r="N42">
        <f t="shared" si="12"/>
        <v>1.8226957709845348</v>
      </c>
      <c r="O42">
        <f t="shared" si="13"/>
        <v>2.3535321059073517</v>
      </c>
    </row>
    <row r="43" spans="1:16">
      <c r="A43">
        <f t="shared" si="14"/>
        <v>1.4000000000000001</v>
      </c>
      <c r="B43">
        <f t="shared" si="0"/>
        <v>2.1140000000000004E-3</v>
      </c>
      <c r="C43">
        <f t="shared" si="1"/>
        <v>2.4535747446610961E-4</v>
      </c>
      <c r="D43" s="5">
        <f t="shared" si="2"/>
        <v>2487.2519035557225</v>
      </c>
      <c r="E43" t="str">
        <f t="shared" si="3"/>
        <v>Transition</v>
      </c>
      <c r="F43">
        <f t="shared" si="4"/>
        <v>2.6956521739130435E-2</v>
      </c>
      <c r="G43" s="6">
        <f t="shared" si="5"/>
        <v>4000</v>
      </c>
      <c r="H43">
        <f t="shared" si="6"/>
        <v>-2.5180153743916343</v>
      </c>
      <c r="I43">
        <f t="shared" si="7"/>
        <v>-2.4956796267484425</v>
      </c>
      <c r="J43">
        <f t="shared" si="8"/>
        <v>-1.8011498720706716</v>
      </c>
      <c r="K43">
        <f t="shared" si="9"/>
        <v>3.9406446901075108E-2</v>
      </c>
      <c r="L43">
        <f t="shared" si="10"/>
        <v>2.8327858318954215E-2</v>
      </c>
      <c r="M43">
        <f t="shared" si="11"/>
        <v>4.8812318607281053</v>
      </c>
      <c r="N43">
        <f t="shared" si="12"/>
        <v>2.215660841569572</v>
      </c>
      <c r="O43">
        <f t="shared" si="13"/>
        <v>2.7295401938333792</v>
      </c>
    </row>
    <row r="44" spans="1:16">
      <c r="A44">
        <f t="shared" si="14"/>
        <v>1.5000000000000002</v>
      </c>
      <c r="B44">
        <f t="shared" si="0"/>
        <v>2.2650000000000005E-3</v>
      </c>
      <c r="C44">
        <f t="shared" si="1"/>
        <v>2.6288300835654603E-4</v>
      </c>
      <c r="D44" s="5">
        <f t="shared" si="2"/>
        <v>2664.9127538097032</v>
      </c>
      <c r="E44" t="str">
        <f t="shared" si="3"/>
        <v>Transition</v>
      </c>
      <c r="F44">
        <f t="shared" si="4"/>
        <v>2.6956521739130435E-2</v>
      </c>
      <c r="G44" s="6">
        <f t="shared" si="5"/>
        <v>4000</v>
      </c>
      <c r="H44">
        <f t="shared" si="6"/>
        <v>-2.5180153743916343</v>
      </c>
      <c r="I44">
        <f t="shared" si="7"/>
        <v>-2.4956796267484425</v>
      </c>
      <c r="J44">
        <f t="shared" si="8"/>
        <v>-1.8011498720706716</v>
      </c>
      <c r="K44">
        <f t="shared" si="9"/>
        <v>3.9406446901075108E-2</v>
      </c>
      <c r="L44">
        <f t="shared" si="10"/>
        <v>2.9628954960053931E-2</v>
      </c>
      <c r="M44">
        <f t="shared" si="11"/>
        <v>5.2298912793515413</v>
      </c>
      <c r="N44">
        <f t="shared" si="12"/>
        <v>2.6603104546838541</v>
      </c>
      <c r="O44">
        <f t="shared" si="13"/>
        <v>3.1334007327168885</v>
      </c>
    </row>
    <row r="45" spans="1:16">
      <c r="A45">
        <f t="shared" si="14"/>
        <v>1.6000000000000003</v>
      </c>
      <c r="B45">
        <f t="shared" si="0"/>
        <v>2.4160000000000006E-3</v>
      </c>
      <c r="C45">
        <f t="shared" si="1"/>
        <v>2.8040854224698245E-4</v>
      </c>
      <c r="D45" s="5">
        <f t="shared" si="2"/>
        <v>2842.5736040636839</v>
      </c>
      <c r="E45" t="str">
        <f t="shared" si="3"/>
        <v>Transition</v>
      </c>
      <c r="F45">
        <f t="shared" si="4"/>
        <v>2.6956521739130435E-2</v>
      </c>
      <c r="G45" s="6">
        <f t="shared" si="5"/>
        <v>4000</v>
      </c>
      <c r="H45">
        <f t="shared" si="6"/>
        <v>-2.5180153743916343</v>
      </c>
      <c r="I45">
        <f t="shared" si="7"/>
        <v>-2.4956796267484425</v>
      </c>
      <c r="J45">
        <f t="shared" si="8"/>
        <v>-1.8011498720706716</v>
      </c>
      <c r="K45">
        <f t="shared" si="9"/>
        <v>3.9406446901075108E-2</v>
      </c>
      <c r="L45">
        <f t="shared" si="10"/>
        <v>3.0930051601153648E-2</v>
      </c>
      <c r="M45">
        <f t="shared" si="11"/>
        <v>5.5785506979749782</v>
      </c>
      <c r="N45">
        <f t="shared" si="12"/>
        <v>3.1597598701593377</v>
      </c>
      <c r="O45">
        <f t="shared" si="13"/>
        <v>3.5651137225578831</v>
      </c>
    </row>
    <row r="46" spans="1:16">
      <c r="A46">
        <f t="shared" si="14"/>
        <v>1.7000000000000004</v>
      </c>
      <c r="B46">
        <f t="shared" si="0"/>
        <v>2.5670000000000007E-3</v>
      </c>
      <c r="C46">
        <f t="shared" si="1"/>
        <v>2.9793407613741882E-4</v>
      </c>
      <c r="D46" s="5">
        <f t="shared" si="2"/>
        <v>3020.2344543176632</v>
      </c>
      <c r="E46" t="str">
        <f t="shared" si="3"/>
        <v>Transition</v>
      </c>
      <c r="F46">
        <f t="shared" si="4"/>
        <v>2.6956521739130435E-2</v>
      </c>
      <c r="G46" s="6">
        <f t="shared" si="5"/>
        <v>4000</v>
      </c>
      <c r="H46">
        <f t="shared" si="6"/>
        <v>-2.5180153743916343</v>
      </c>
      <c r="I46">
        <f t="shared" si="7"/>
        <v>-2.4956796267484425</v>
      </c>
      <c r="J46">
        <f t="shared" si="8"/>
        <v>-1.8011498720706716</v>
      </c>
      <c r="K46">
        <f t="shared" si="9"/>
        <v>3.9406446901075108E-2</v>
      </c>
      <c r="L46">
        <f t="shared" si="10"/>
        <v>3.2231148242253357E-2</v>
      </c>
      <c r="M46">
        <f t="shared" si="11"/>
        <v>5.9272101165984141</v>
      </c>
      <c r="N46">
        <f t="shared" si="12"/>
        <v>3.7171243478279772</v>
      </c>
      <c r="O46">
        <f t="shared" si="13"/>
        <v>4.0246791633563594</v>
      </c>
    </row>
    <row r="47" spans="1:16">
      <c r="A47">
        <f t="shared" si="14"/>
        <v>1.8000000000000005</v>
      </c>
      <c r="B47">
        <f t="shared" si="0"/>
        <v>2.7180000000000008E-3</v>
      </c>
      <c r="C47">
        <f t="shared" si="1"/>
        <v>3.1545961002785525E-4</v>
      </c>
      <c r="D47" s="5">
        <f t="shared" si="2"/>
        <v>3197.8953045716439</v>
      </c>
      <c r="E47" t="str">
        <f t="shared" si="3"/>
        <v>Transition</v>
      </c>
      <c r="F47">
        <f t="shared" si="4"/>
        <v>2.6956521739130435E-2</v>
      </c>
      <c r="G47" s="6">
        <f t="shared" si="5"/>
        <v>4000</v>
      </c>
      <c r="H47">
        <f t="shared" si="6"/>
        <v>-2.5180153743916343</v>
      </c>
      <c r="I47">
        <f t="shared" si="7"/>
        <v>-2.4956796267484425</v>
      </c>
      <c r="J47">
        <f t="shared" si="8"/>
        <v>-1.8011498720706716</v>
      </c>
      <c r="K47">
        <f t="shared" si="9"/>
        <v>3.9406446901075108E-2</v>
      </c>
      <c r="L47">
        <f t="shared" si="10"/>
        <v>3.3532244883353074E-2</v>
      </c>
      <c r="M47">
        <f t="shared" si="11"/>
        <v>6.2758695352218501</v>
      </c>
      <c r="N47">
        <f t="shared" si="12"/>
        <v>4.3355191475217332</v>
      </c>
      <c r="O47">
        <f t="shared" si="13"/>
        <v>4.5120970551123207</v>
      </c>
    </row>
    <row r="48" spans="1:16">
      <c r="A48">
        <f t="shared" si="14"/>
        <v>1.9000000000000006</v>
      </c>
      <c r="B48">
        <f t="shared" si="0"/>
        <v>2.8690000000000009E-3</v>
      </c>
      <c r="C48">
        <f t="shared" si="1"/>
        <v>3.3298514391829167E-4</v>
      </c>
      <c r="D48" s="5">
        <f t="shared" si="2"/>
        <v>3375.5561548256242</v>
      </c>
      <c r="E48" t="str">
        <f t="shared" si="3"/>
        <v>Transition</v>
      </c>
      <c r="F48">
        <f t="shared" si="4"/>
        <v>2.6956521739130435E-2</v>
      </c>
      <c r="G48" s="6">
        <f t="shared" si="5"/>
        <v>4000</v>
      </c>
      <c r="H48">
        <f t="shared" si="6"/>
        <v>-2.5180153743916343</v>
      </c>
      <c r="I48">
        <f t="shared" si="7"/>
        <v>-2.4956796267484425</v>
      </c>
      <c r="J48">
        <f t="shared" si="8"/>
        <v>-1.8011498720706716</v>
      </c>
      <c r="K48">
        <f t="shared" si="9"/>
        <v>3.9406446901075108E-2</v>
      </c>
      <c r="L48">
        <f t="shared" si="10"/>
        <v>3.4833341524452791E-2</v>
      </c>
      <c r="M48">
        <f t="shared" si="11"/>
        <v>6.6245289538452869</v>
      </c>
      <c r="N48">
        <f t="shared" si="12"/>
        <v>5.01805952907256</v>
      </c>
      <c r="O48">
        <f t="shared" si="13"/>
        <v>5.0273673978257651</v>
      </c>
    </row>
    <row r="49" spans="1:15">
      <c r="A49">
        <f t="shared" si="14"/>
        <v>2.0000000000000004</v>
      </c>
      <c r="B49">
        <f t="shared" si="0"/>
        <v>3.020000000000001E-3</v>
      </c>
      <c r="C49">
        <f t="shared" si="1"/>
        <v>3.5051067780872809E-4</v>
      </c>
      <c r="D49" s="5">
        <f t="shared" si="2"/>
        <v>3553.2170050796044</v>
      </c>
      <c r="E49" t="str">
        <f t="shared" si="3"/>
        <v>Transition</v>
      </c>
      <c r="F49">
        <f t="shared" si="4"/>
        <v>2.6956521739130435E-2</v>
      </c>
      <c r="G49" s="6">
        <f t="shared" si="5"/>
        <v>4000</v>
      </c>
      <c r="H49">
        <f t="shared" si="6"/>
        <v>-2.5180153743916343</v>
      </c>
      <c r="I49">
        <f t="shared" si="7"/>
        <v>-2.4956796267484425</v>
      </c>
      <c r="J49">
        <f t="shared" si="8"/>
        <v>-1.8011498720706716</v>
      </c>
      <c r="K49">
        <f t="shared" si="9"/>
        <v>3.9406446901075108E-2</v>
      </c>
      <c r="L49">
        <f t="shared" si="10"/>
        <v>3.61344381655525E-2</v>
      </c>
      <c r="M49">
        <f t="shared" si="11"/>
        <v>6.9731883724687238</v>
      </c>
      <c r="N49">
        <f t="shared" si="12"/>
        <v>5.7678607523124148</v>
      </c>
      <c r="O49">
        <f t="shared" si="13"/>
        <v>5.5704901914966918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9"/>
  <sheetViews>
    <sheetView zoomScaleNormal="100" workbookViewId="0">
      <selection activeCell="D12" sqref="D12"/>
    </sheetView>
  </sheetViews>
  <sheetFormatPr defaultRowHeight="12.75"/>
  <cols>
    <col min="1" max="1" width="8.625"/>
    <col min="2" max="2" width="12.125"/>
    <col min="3" max="6" width="8.625"/>
    <col min="7" max="7" width="11.625"/>
    <col min="8" max="1025" width="8.625"/>
  </cols>
  <sheetData>
    <row r="1" spans="1:7">
      <c r="A1" t="s">
        <v>1</v>
      </c>
    </row>
    <row r="2" spans="1:7">
      <c r="A2" t="s">
        <v>2</v>
      </c>
      <c r="B2" s="1">
        <v>6.0960000000000001</v>
      </c>
      <c r="C2" t="s">
        <v>3</v>
      </c>
      <c r="F2">
        <f>3.28084*B2</f>
        <v>20.00000064</v>
      </c>
      <c r="G2" t="s">
        <v>4</v>
      </c>
    </row>
    <row r="3" spans="1:7">
      <c r="A3" t="s">
        <v>5</v>
      </c>
      <c r="B3" s="1">
        <v>2.5399999999999999E-2</v>
      </c>
      <c r="C3" t="s">
        <v>3</v>
      </c>
      <c r="F3">
        <f>3.28084*12*B3</f>
        <v>1.000000032</v>
      </c>
      <c r="G3" t="s">
        <v>6</v>
      </c>
    </row>
    <row r="4" spans="1:7">
      <c r="A4" t="s">
        <v>7</v>
      </c>
      <c r="B4" s="2">
        <v>9.9999999999999995E-7</v>
      </c>
      <c r="C4" t="s">
        <v>3</v>
      </c>
      <c r="F4">
        <f>3.28084*12*B4</f>
        <v>3.9370080000000003E-5</v>
      </c>
      <c r="G4" t="s">
        <v>6</v>
      </c>
    </row>
    <row r="6" spans="1:7">
      <c r="A6" t="s">
        <v>8</v>
      </c>
    </row>
    <row r="7" spans="1:7">
      <c r="A7" t="s">
        <v>9</v>
      </c>
      <c r="B7" s="1">
        <v>0.378</v>
      </c>
      <c r="C7" t="s">
        <v>10</v>
      </c>
      <c r="D7" t="s">
        <v>65</v>
      </c>
      <c r="F7">
        <f>2.204623*3600*B7</f>
        <v>3000.0509784000001</v>
      </c>
      <c r="G7" t="s">
        <v>12</v>
      </c>
    </row>
    <row r="8" spans="1:7">
      <c r="A8" t="s">
        <v>46</v>
      </c>
      <c r="B8" s="3">
        <v>1.3480000000000001E-6</v>
      </c>
      <c r="C8" t="s">
        <v>47</v>
      </c>
      <c r="D8" t="s">
        <v>48</v>
      </c>
    </row>
    <row r="9" spans="1:7">
      <c r="A9" t="s">
        <v>16</v>
      </c>
      <c r="B9" s="1">
        <v>999.3</v>
      </c>
      <c r="C9" t="s">
        <v>17</v>
      </c>
      <c r="D9" t="s">
        <v>66</v>
      </c>
      <c r="F9">
        <f>2.204623*B9/35.314667</f>
        <v>62.384271212298287</v>
      </c>
      <c r="G9" t="s">
        <v>19</v>
      </c>
    </row>
    <row r="11" spans="1:7">
      <c r="A11" t="s">
        <v>20</v>
      </c>
    </row>
    <row r="12" spans="1:7">
      <c r="A12" t="s">
        <v>21</v>
      </c>
      <c r="B12" s="4">
        <f>PI()*SQRT(B3^5/(8*L39*B2))</f>
        <v>2.8500835970845178E-4</v>
      </c>
      <c r="C12" t="s">
        <v>22</v>
      </c>
      <c r="D12" t="s">
        <v>67</v>
      </c>
    </row>
    <row r="13" spans="1:7">
      <c r="A13" t="s">
        <v>24</v>
      </c>
      <c r="B13">
        <f>O39</f>
        <v>1.7602425500019903</v>
      </c>
      <c r="C13" t="s">
        <v>25</v>
      </c>
      <c r="D13" t="s">
        <v>68</v>
      </c>
      <c r="F13">
        <f>0.145037738*B13</f>
        <v>0.25530159778364059</v>
      </c>
      <c r="G13" t="s">
        <v>27</v>
      </c>
    </row>
    <row r="15" spans="1:7">
      <c r="A15" t="s">
        <v>69</v>
      </c>
    </row>
    <row r="16" spans="1:7">
      <c r="A16" t="s">
        <v>77</v>
      </c>
    </row>
    <row r="25" spans="1:16">
      <c r="A25" t="s">
        <v>37</v>
      </c>
    </row>
    <row r="26" spans="1:16">
      <c r="A26" t="s">
        <v>38</v>
      </c>
      <c r="B26">
        <f>B7/B9</f>
        <v>3.7826478534974483E-4</v>
      </c>
      <c r="C26" t="s">
        <v>39</v>
      </c>
      <c r="D26" t="s">
        <v>40</v>
      </c>
      <c r="F26">
        <f>35.314667*60*B26</f>
        <v>0.80149769594716302</v>
      </c>
      <c r="G26" t="s">
        <v>41</v>
      </c>
    </row>
    <row r="27" spans="1:16">
      <c r="A27" t="s">
        <v>42</v>
      </c>
      <c r="B27">
        <f>PI()*(B3/2)^2</f>
        <v>5.0670747909749769E-4</v>
      </c>
      <c r="C27" t="s">
        <v>22</v>
      </c>
      <c r="D27" t="s">
        <v>43</v>
      </c>
      <c r="F27">
        <f>3.28084^2*B27</f>
        <v>5.4541542615481357E-3</v>
      </c>
      <c r="G27" t="s">
        <v>44</v>
      </c>
    </row>
    <row r="28" spans="1:16">
      <c r="A28" t="s">
        <v>45</v>
      </c>
      <c r="B28">
        <f>MIN(MAX(0, B4/B3), 0.5) / 3.7</f>
        <v>1.0640561821664183E-5</v>
      </c>
    </row>
    <row r="29" spans="1:16">
      <c r="B29" t="s">
        <v>50</v>
      </c>
      <c r="C29" t="s">
        <v>51</v>
      </c>
      <c r="D29" t="s">
        <v>52</v>
      </c>
      <c r="E29" t="s">
        <v>53</v>
      </c>
      <c r="F29" t="s">
        <v>54</v>
      </c>
      <c r="G29" t="s">
        <v>55</v>
      </c>
      <c r="H29" t="s">
        <v>56</v>
      </c>
      <c r="I29" t="s">
        <v>57</v>
      </c>
      <c r="J29" t="s">
        <v>58</v>
      </c>
      <c r="K29" t="s">
        <v>59</v>
      </c>
      <c r="L29" t="s">
        <v>60</v>
      </c>
      <c r="M29" t="s">
        <v>61</v>
      </c>
      <c r="N29" t="s">
        <v>71</v>
      </c>
      <c r="O29" t="s">
        <v>72</v>
      </c>
      <c r="P29" t="s">
        <v>73</v>
      </c>
    </row>
    <row r="30" spans="1:16">
      <c r="A30">
        <v>0.1</v>
      </c>
      <c r="B30">
        <f t="shared" ref="B30:B49" si="0">$B$7*A30</f>
        <v>3.78E-2</v>
      </c>
      <c r="C30">
        <f t="shared" ref="C30:C49" si="1">B30/$B$9</f>
        <v>3.7826478534974484E-5</v>
      </c>
      <c r="D30" s="5">
        <f t="shared" ref="D30:D49" si="2">C30*$B$3/$B$8/$B$27</f>
        <v>1406.638248230254</v>
      </c>
      <c r="E30" t="str">
        <f t="shared" ref="E30:E49" si="3">IF(D30&lt;2300,"Laminar",IF(D30&lt;4000,"Transition","Turbulent"))</f>
        <v>Laminar</v>
      </c>
      <c r="F30">
        <f t="shared" ref="F30:F49" si="4">62/MIN(2300,D30)</f>
        <v>4.4076719851749088E-2</v>
      </c>
      <c r="G30" s="6">
        <f t="shared" ref="G30:G49" si="5">MAX(D30,4000)</f>
        <v>4000</v>
      </c>
      <c r="H30">
        <f t="shared" ref="H30:H49" si="6">LOG10($B$28+12/G30)</f>
        <v>-2.5213410914933911</v>
      </c>
      <c r="I30">
        <f t="shared" ref="I30:I49" si="7">LOG10($B$28-5.02*H30/G30)</f>
        <v>-2.4982667165936348</v>
      </c>
      <c r="J30">
        <f t="shared" ref="J30:J49" si="8">LOG10($B$28+10.04*H30*I30/G30)</f>
        <v>-1.8007636891738772</v>
      </c>
      <c r="K30">
        <f t="shared" ref="K30:K49" si="9">0.25 / (H30-(I30-H30)^2/(J30-2*I30+H30))^2</f>
        <v>3.9301116350678754E-2</v>
      </c>
      <c r="L30">
        <f t="shared" ref="L30:L49" si="10">IF(E30="Laminar",F30,IF(E30="Turbulent",K30,F30+(K30-F30)*(D30-2300)/(4000-2300)))</f>
        <v>4.4076719851749088E-2</v>
      </c>
      <c r="M30">
        <f t="shared" ref="M30:M49" si="11">C30/$B$27</f>
        <v>7.4651510181668615E-2</v>
      </c>
      <c r="N30">
        <f t="shared" ref="N30:N49" si="12">L30*$B$9*$B$2*M30^2/$B$3/2/1000</f>
        <v>2.9455309902579579E-2</v>
      </c>
      <c r="O30">
        <f t="shared" ref="O30:O49" si="13">(B30/$B$12)^2/$B$9/1000</f>
        <v>1.7602425500019909E-2</v>
      </c>
    </row>
    <row r="31" spans="1:16">
      <c r="A31">
        <f t="shared" ref="A31:A49" si="14">A30+0.1</f>
        <v>0.2</v>
      </c>
      <c r="B31">
        <f t="shared" si="0"/>
        <v>7.5600000000000001E-2</v>
      </c>
      <c r="C31">
        <f t="shared" si="1"/>
        <v>7.5652957069948968E-5</v>
      </c>
      <c r="D31" s="5">
        <f t="shared" si="2"/>
        <v>2813.276496460508</v>
      </c>
      <c r="E31" t="str">
        <f t="shared" si="3"/>
        <v>Transition</v>
      </c>
      <c r="F31">
        <f t="shared" si="4"/>
        <v>2.6956521739130435E-2</v>
      </c>
      <c r="G31" s="6">
        <f t="shared" si="5"/>
        <v>4000</v>
      </c>
      <c r="H31">
        <f t="shared" si="6"/>
        <v>-2.5213410914933911</v>
      </c>
      <c r="I31">
        <f t="shared" si="7"/>
        <v>-2.4982667165936348</v>
      </c>
      <c r="J31">
        <f t="shared" si="8"/>
        <v>-1.8007636891738772</v>
      </c>
      <c r="K31">
        <f t="shared" si="9"/>
        <v>3.9301116350678754E-2</v>
      </c>
      <c r="L31">
        <f t="shared" si="10"/>
        <v>3.0683692487625015E-2</v>
      </c>
      <c r="M31">
        <f t="shared" si="11"/>
        <v>0.14930302036333723</v>
      </c>
      <c r="N31">
        <f t="shared" si="12"/>
        <v>8.2020411157486109E-2</v>
      </c>
      <c r="O31">
        <f t="shared" si="13"/>
        <v>7.0409702000079635E-2</v>
      </c>
    </row>
    <row r="32" spans="1:16">
      <c r="A32">
        <f t="shared" si="14"/>
        <v>0.30000000000000004</v>
      </c>
      <c r="B32">
        <f t="shared" si="0"/>
        <v>0.11340000000000001</v>
      </c>
      <c r="C32">
        <f t="shared" si="1"/>
        <v>1.1347943560492347E-4</v>
      </c>
      <c r="D32" s="5">
        <f t="shared" si="2"/>
        <v>4219.9147446907627</v>
      </c>
      <c r="E32" t="str">
        <f t="shared" si="3"/>
        <v>Turbulent</v>
      </c>
      <c r="F32">
        <f t="shared" si="4"/>
        <v>2.6956521739130435E-2</v>
      </c>
      <c r="G32" s="6">
        <f t="shared" si="5"/>
        <v>4219.9147446907627</v>
      </c>
      <c r="H32">
        <f t="shared" si="6"/>
        <v>-2.5445003966194664</v>
      </c>
      <c r="I32">
        <f t="shared" si="7"/>
        <v>-2.5174734400021372</v>
      </c>
      <c r="J32">
        <f t="shared" si="8"/>
        <v>-1.8166994342057925</v>
      </c>
      <c r="K32">
        <f t="shared" si="9"/>
        <v>3.8580242233008308E-2</v>
      </c>
      <c r="L32">
        <f t="shared" si="10"/>
        <v>3.8580242233008308E-2</v>
      </c>
      <c r="M32">
        <f t="shared" si="11"/>
        <v>0.22395453054500589</v>
      </c>
      <c r="N32">
        <f t="shared" si="12"/>
        <v>0.23203942929983665</v>
      </c>
      <c r="O32">
        <f t="shared" si="13"/>
        <v>0.15842182950017919</v>
      </c>
    </row>
    <row r="33" spans="1:16">
      <c r="A33">
        <f t="shared" si="14"/>
        <v>0.4</v>
      </c>
      <c r="B33">
        <f t="shared" si="0"/>
        <v>0.1512</v>
      </c>
      <c r="C33">
        <f t="shared" si="1"/>
        <v>1.5130591413989794E-4</v>
      </c>
      <c r="D33" s="5">
        <f t="shared" si="2"/>
        <v>5626.5529929210161</v>
      </c>
      <c r="E33" t="str">
        <f t="shared" si="3"/>
        <v>Turbulent</v>
      </c>
      <c r="F33">
        <f t="shared" si="4"/>
        <v>2.6956521739130435E-2</v>
      </c>
      <c r="G33" s="6">
        <f t="shared" si="5"/>
        <v>5626.5529929210161</v>
      </c>
      <c r="H33">
        <f t="shared" si="6"/>
        <v>-2.6688997985846061</v>
      </c>
      <c r="I33">
        <f t="shared" si="7"/>
        <v>-2.6212700646046101</v>
      </c>
      <c r="J33">
        <f t="shared" si="8"/>
        <v>-1.9032946412277798</v>
      </c>
      <c r="K33">
        <f t="shared" si="9"/>
        <v>3.500860314570662E-2</v>
      </c>
      <c r="L33">
        <f t="shared" si="10"/>
        <v>3.500860314570662E-2</v>
      </c>
      <c r="M33">
        <f t="shared" si="11"/>
        <v>0.29860604072667446</v>
      </c>
      <c r="N33">
        <f t="shared" si="12"/>
        <v>0.37432522506451088</v>
      </c>
      <c r="O33">
        <f t="shared" si="13"/>
        <v>0.28163880800031854</v>
      </c>
    </row>
    <row r="34" spans="1:16">
      <c r="A34">
        <f t="shared" si="14"/>
        <v>0.5</v>
      </c>
      <c r="B34">
        <f t="shared" si="0"/>
        <v>0.189</v>
      </c>
      <c r="C34">
        <f t="shared" si="1"/>
        <v>1.8913239267487241E-4</v>
      </c>
      <c r="D34" s="5">
        <f t="shared" si="2"/>
        <v>7033.1912411512703</v>
      </c>
      <c r="E34" t="str">
        <f t="shared" si="3"/>
        <v>Turbulent</v>
      </c>
      <c r="F34">
        <f t="shared" si="4"/>
        <v>2.6956521739130435E-2</v>
      </c>
      <c r="G34" s="6">
        <f t="shared" si="5"/>
        <v>7033.1912411512703</v>
      </c>
      <c r="H34">
        <f t="shared" si="6"/>
        <v>-2.7652711458990726</v>
      </c>
      <c r="I34">
        <f t="shared" si="7"/>
        <v>-2.702375960849229</v>
      </c>
      <c r="J34">
        <f t="shared" si="8"/>
        <v>-1.971502243026737</v>
      </c>
      <c r="K34">
        <f t="shared" si="9"/>
        <v>3.255415295571884E-2</v>
      </c>
      <c r="L34">
        <f t="shared" si="10"/>
        <v>3.255415295571884E-2</v>
      </c>
      <c r="M34">
        <f t="shared" si="11"/>
        <v>0.37325755090834306</v>
      </c>
      <c r="N34">
        <f t="shared" si="12"/>
        <v>0.54387705525268559</v>
      </c>
      <c r="O34">
        <f t="shared" si="13"/>
        <v>0.44006063750049756</v>
      </c>
    </row>
    <row r="35" spans="1:16">
      <c r="A35">
        <f t="shared" si="14"/>
        <v>0.6</v>
      </c>
      <c r="B35">
        <f t="shared" si="0"/>
        <v>0.2268</v>
      </c>
      <c r="C35">
        <f t="shared" si="1"/>
        <v>2.2695887120984692E-4</v>
      </c>
      <c r="D35" s="5">
        <f t="shared" si="2"/>
        <v>8439.8294893815255</v>
      </c>
      <c r="E35" t="str">
        <f t="shared" si="3"/>
        <v>Turbulent</v>
      </c>
      <c r="F35">
        <f t="shared" si="4"/>
        <v>2.6956521739130435E-2</v>
      </c>
      <c r="G35" s="6">
        <f t="shared" si="5"/>
        <v>8439.8294893815255</v>
      </c>
      <c r="H35">
        <f t="shared" si="6"/>
        <v>-2.8439143935453046</v>
      </c>
      <c r="I35">
        <f t="shared" si="7"/>
        <v>-2.7689901083215283</v>
      </c>
      <c r="J35">
        <f t="shared" si="8"/>
        <v>-2.0278690164024087</v>
      </c>
      <c r="K35">
        <f t="shared" si="9"/>
        <v>3.0728204101739744E-2</v>
      </c>
      <c r="L35">
        <f t="shared" si="10"/>
        <v>3.0728204101739744E-2</v>
      </c>
      <c r="M35">
        <f t="shared" si="11"/>
        <v>0.44790906109001172</v>
      </c>
      <c r="N35">
        <f t="shared" si="12"/>
        <v>0.73925455419522534</v>
      </c>
      <c r="O35">
        <f t="shared" si="13"/>
        <v>0.63368731800071665</v>
      </c>
    </row>
    <row r="36" spans="1:16">
      <c r="A36">
        <f t="shared" si="14"/>
        <v>0.7</v>
      </c>
      <c r="B36">
        <f t="shared" si="0"/>
        <v>0.2646</v>
      </c>
      <c r="C36">
        <f t="shared" si="1"/>
        <v>2.6478534974482139E-4</v>
      </c>
      <c r="D36" s="5">
        <f t="shared" si="2"/>
        <v>9846.4677376117797</v>
      </c>
      <c r="E36" t="str">
        <f t="shared" si="3"/>
        <v>Turbulent</v>
      </c>
      <c r="F36">
        <f t="shared" si="4"/>
        <v>2.6956521739130435E-2</v>
      </c>
      <c r="G36" s="6">
        <f t="shared" si="5"/>
        <v>9846.4677376117797</v>
      </c>
      <c r="H36">
        <f t="shared" si="6"/>
        <v>-2.910323850415502</v>
      </c>
      <c r="I36">
        <f t="shared" si="7"/>
        <v>-2.8255320700100079</v>
      </c>
      <c r="J36">
        <f t="shared" si="8"/>
        <v>-2.0759544094902185</v>
      </c>
      <c r="K36">
        <f t="shared" si="9"/>
        <v>2.9297840683854548E-2</v>
      </c>
      <c r="L36">
        <f t="shared" si="10"/>
        <v>2.9297840683854548E-2</v>
      </c>
      <c r="M36">
        <f t="shared" si="11"/>
        <v>0.52256057127168032</v>
      </c>
      <c r="N36">
        <f t="shared" si="12"/>
        <v>0.95936975361086518</v>
      </c>
      <c r="O36">
        <f t="shared" si="13"/>
        <v>0.86251884950097557</v>
      </c>
    </row>
    <row r="37" spans="1:16">
      <c r="A37">
        <f t="shared" si="14"/>
        <v>0.79999999999999993</v>
      </c>
      <c r="B37">
        <f t="shared" si="0"/>
        <v>0.3024</v>
      </c>
      <c r="C37">
        <f t="shared" si="1"/>
        <v>3.0261182827979587E-4</v>
      </c>
      <c r="D37" s="5">
        <f t="shared" si="2"/>
        <v>11253.105985842032</v>
      </c>
      <c r="E37" t="str">
        <f t="shared" si="3"/>
        <v>Turbulent</v>
      </c>
      <c r="F37">
        <f t="shared" si="4"/>
        <v>2.6956521739130435E-2</v>
      </c>
      <c r="G37" s="6">
        <f t="shared" si="5"/>
        <v>11253.105985842032</v>
      </c>
      <c r="H37">
        <f t="shared" si="6"/>
        <v>-2.9677791286286497</v>
      </c>
      <c r="I37">
        <f t="shared" si="7"/>
        <v>-2.8746605811987851</v>
      </c>
      <c r="J37">
        <f t="shared" si="8"/>
        <v>-2.1179138575285559</v>
      </c>
      <c r="K37">
        <f t="shared" si="9"/>
        <v>2.8135921287976148E-2</v>
      </c>
      <c r="L37">
        <f t="shared" si="10"/>
        <v>2.8135921287976148E-2</v>
      </c>
      <c r="M37">
        <f t="shared" si="11"/>
        <v>0.59721208145334892</v>
      </c>
      <c r="N37">
        <f t="shared" si="12"/>
        <v>1.2033596455916471</v>
      </c>
      <c r="O37">
        <f t="shared" si="13"/>
        <v>1.1265552320012742</v>
      </c>
    </row>
    <row r="38" spans="1:16">
      <c r="A38">
        <f t="shared" si="14"/>
        <v>0.89999999999999991</v>
      </c>
      <c r="B38">
        <f t="shared" si="0"/>
        <v>0.34019999999999995</v>
      </c>
      <c r="C38">
        <f t="shared" si="1"/>
        <v>3.404383068147703E-4</v>
      </c>
      <c r="D38" s="5">
        <f t="shared" si="2"/>
        <v>12659.744234072285</v>
      </c>
      <c r="E38" t="str">
        <f t="shared" si="3"/>
        <v>Turbulent</v>
      </c>
      <c r="F38">
        <f t="shared" si="4"/>
        <v>2.6956521739130435E-2</v>
      </c>
      <c r="G38" s="6">
        <f t="shared" si="5"/>
        <v>12659.744234072285</v>
      </c>
      <c r="H38">
        <f t="shared" si="6"/>
        <v>-3.0183956446683604</v>
      </c>
      <c r="I38">
        <f t="shared" si="7"/>
        <v>-2.9181011624700024</v>
      </c>
      <c r="J38">
        <f t="shared" si="8"/>
        <v>-2.1551536617025557</v>
      </c>
      <c r="K38">
        <f t="shared" si="9"/>
        <v>2.7166293574366861E-2</v>
      </c>
      <c r="L38">
        <f t="shared" si="10"/>
        <v>2.7166293574366861E-2</v>
      </c>
      <c r="M38">
        <f t="shared" si="11"/>
        <v>0.67186359163501741</v>
      </c>
      <c r="N38">
        <f t="shared" si="12"/>
        <v>1.4705159436804123</v>
      </c>
      <c r="O38">
        <f t="shared" si="13"/>
        <v>1.4257964655016122</v>
      </c>
    </row>
    <row r="39" spans="1:16">
      <c r="A39">
        <f t="shared" si="14"/>
        <v>0.99999999999999989</v>
      </c>
      <c r="B39">
        <f t="shared" si="0"/>
        <v>0.37799999999999995</v>
      </c>
      <c r="C39">
        <f t="shared" si="1"/>
        <v>3.7826478534974477E-4</v>
      </c>
      <c r="D39" s="5">
        <f t="shared" si="2"/>
        <v>14066.382482302541</v>
      </c>
      <c r="E39" t="str">
        <f t="shared" si="3"/>
        <v>Turbulent</v>
      </c>
      <c r="F39">
        <f t="shared" si="4"/>
        <v>2.6956521739130435E-2</v>
      </c>
      <c r="G39" s="6">
        <f t="shared" si="5"/>
        <v>14066.382482302541</v>
      </c>
      <c r="H39">
        <f t="shared" si="6"/>
        <v>-3.0636177895452872</v>
      </c>
      <c r="I39">
        <f t="shared" si="7"/>
        <v>-2.9570379390248447</v>
      </c>
      <c r="J39">
        <f t="shared" si="8"/>
        <v>-2.1886431466367271</v>
      </c>
      <c r="K39">
        <f t="shared" si="9"/>
        <v>2.6340146480947926E-2</v>
      </c>
      <c r="L39">
        <f t="shared" si="10"/>
        <v>2.6340146480947926E-2</v>
      </c>
      <c r="M39">
        <f t="shared" si="11"/>
        <v>0.74651510181668601</v>
      </c>
      <c r="N39">
        <f t="shared" si="12"/>
        <v>1.7602425500019909</v>
      </c>
      <c r="O39">
        <f t="shared" si="13"/>
        <v>1.7602425500019903</v>
      </c>
      <c r="P39">
        <f>O39</f>
        <v>1.7602425500019903</v>
      </c>
    </row>
    <row r="40" spans="1:16">
      <c r="A40">
        <f t="shared" si="14"/>
        <v>1.0999999999999999</v>
      </c>
      <c r="B40">
        <f t="shared" si="0"/>
        <v>0.41579999999999995</v>
      </c>
      <c r="C40">
        <f t="shared" si="1"/>
        <v>4.1609126388471925E-4</v>
      </c>
      <c r="D40" s="5">
        <f t="shared" si="2"/>
        <v>15473.020730532795</v>
      </c>
      <c r="E40" t="str">
        <f t="shared" si="3"/>
        <v>Turbulent</v>
      </c>
      <c r="F40">
        <f t="shared" si="4"/>
        <v>2.6956521739130435E-2</v>
      </c>
      <c r="G40" s="6">
        <f t="shared" si="5"/>
        <v>15473.020730532795</v>
      </c>
      <c r="H40">
        <f t="shared" si="6"/>
        <v>-3.1044757881167691</v>
      </c>
      <c r="I40">
        <f t="shared" si="7"/>
        <v>-2.9923190885702509</v>
      </c>
      <c r="J40">
        <f t="shared" si="8"/>
        <v>-2.219079245696383</v>
      </c>
      <c r="K40">
        <f t="shared" si="9"/>
        <v>2.5624530678516676E-2</v>
      </c>
      <c r="L40">
        <f t="shared" si="10"/>
        <v>2.5624530678516676E-2</v>
      </c>
      <c r="M40">
        <f t="shared" si="11"/>
        <v>0.82116661199835461</v>
      </c>
      <c r="N40">
        <f t="shared" si="12"/>
        <v>2.0720279972894495</v>
      </c>
      <c r="O40">
        <f t="shared" si="13"/>
        <v>2.1298934855024076</v>
      </c>
    </row>
    <row r="41" spans="1:16">
      <c r="A41">
        <f t="shared" si="14"/>
        <v>1.2</v>
      </c>
      <c r="B41">
        <f t="shared" si="0"/>
        <v>0.4536</v>
      </c>
      <c r="C41">
        <f t="shared" si="1"/>
        <v>4.5391774241969384E-4</v>
      </c>
      <c r="D41" s="5">
        <f t="shared" si="2"/>
        <v>16879.658978763051</v>
      </c>
      <c r="E41" t="str">
        <f t="shared" si="3"/>
        <v>Turbulent</v>
      </c>
      <c r="F41">
        <f t="shared" si="4"/>
        <v>2.6956521739130435E-2</v>
      </c>
      <c r="G41" s="6">
        <f t="shared" si="5"/>
        <v>16879.658978763051</v>
      </c>
      <c r="H41">
        <f t="shared" si="6"/>
        <v>-3.1417303198955167</v>
      </c>
      <c r="I41">
        <f t="shared" si="7"/>
        <v>-3.0245731596178596</v>
      </c>
      <c r="J41">
        <f t="shared" si="8"/>
        <v>-2.2469801176629209</v>
      </c>
      <c r="K41">
        <f t="shared" si="9"/>
        <v>2.4996275235913818E-2</v>
      </c>
      <c r="L41">
        <f t="shared" si="10"/>
        <v>2.4996275235913818E-2</v>
      </c>
      <c r="M41">
        <f t="shared" si="11"/>
        <v>0.89581812218002344</v>
      </c>
      <c r="N41">
        <f t="shared" si="12"/>
        <v>2.4054266555747605</v>
      </c>
      <c r="O41">
        <f t="shared" si="13"/>
        <v>2.5347492720028666</v>
      </c>
    </row>
    <row r="42" spans="1:16">
      <c r="A42">
        <f t="shared" si="14"/>
        <v>1.3</v>
      </c>
      <c r="B42">
        <f t="shared" si="0"/>
        <v>0.4914</v>
      </c>
      <c r="C42">
        <f t="shared" si="1"/>
        <v>4.9174422095466831E-4</v>
      </c>
      <c r="D42" s="5">
        <f t="shared" si="2"/>
        <v>18286.297226993305</v>
      </c>
      <c r="E42" t="str">
        <f t="shared" si="3"/>
        <v>Turbulent</v>
      </c>
      <c r="F42">
        <f t="shared" si="4"/>
        <v>2.6956521739130435E-2</v>
      </c>
      <c r="G42" s="6">
        <f t="shared" si="5"/>
        <v>18286.297226993305</v>
      </c>
      <c r="H42">
        <f t="shared" si="6"/>
        <v>-3.1759590529052262</v>
      </c>
      <c r="I42">
        <f t="shared" si="7"/>
        <v>-3.0542789988650694</v>
      </c>
      <c r="J42">
        <f t="shared" si="8"/>
        <v>-2.2727416513683236</v>
      </c>
      <c r="K42">
        <f t="shared" si="9"/>
        <v>2.4438536272044075E-2</v>
      </c>
      <c r="L42">
        <f t="shared" si="10"/>
        <v>2.4438536272044075E-2</v>
      </c>
      <c r="M42">
        <f t="shared" si="11"/>
        <v>0.97046963236169204</v>
      </c>
      <c r="N42">
        <f t="shared" si="12"/>
        <v>2.7600453903481035</v>
      </c>
      <c r="O42">
        <f t="shared" si="13"/>
        <v>2.9748099095033647</v>
      </c>
    </row>
    <row r="43" spans="1:16">
      <c r="A43">
        <f t="shared" si="14"/>
        <v>1.4000000000000001</v>
      </c>
      <c r="B43">
        <f t="shared" si="0"/>
        <v>0.5292</v>
      </c>
      <c r="C43">
        <f t="shared" si="1"/>
        <v>5.2957069948964279E-4</v>
      </c>
      <c r="D43" s="5">
        <f t="shared" si="2"/>
        <v>19692.935475223559</v>
      </c>
      <c r="E43" t="str">
        <f t="shared" si="3"/>
        <v>Turbulent</v>
      </c>
      <c r="F43">
        <f t="shared" si="4"/>
        <v>2.6956521739130435E-2</v>
      </c>
      <c r="G43" s="6">
        <f t="shared" si="5"/>
        <v>19692.935475223559</v>
      </c>
      <c r="H43">
        <f t="shared" si="6"/>
        <v>-3.207611017279274</v>
      </c>
      <c r="I43">
        <f t="shared" si="7"/>
        <v>-3.0818098691991249</v>
      </c>
      <c r="J43">
        <f t="shared" si="8"/>
        <v>-2.2966732396102487</v>
      </c>
      <c r="K43">
        <f t="shared" si="9"/>
        <v>2.3938728721554219E-2</v>
      </c>
      <c r="L43">
        <f t="shared" si="10"/>
        <v>2.3938728721554219E-2</v>
      </c>
      <c r="M43">
        <f t="shared" si="11"/>
        <v>1.0451211425433606</v>
      </c>
      <c r="N43">
        <f t="shared" si="12"/>
        <v>3.1355337785027908</v>
      </c>
      <c r="O43">
        <f t="shared" si="13"/>
        <v>3.4500753980039023</v>
      </c>
    </row>
    <row r="44" spans="1:16">
      <c r="A44">
        <f t="shared" si="14"/>
        <v>1.5000000000000002</v>
      </c>
      <c r="B44">
        <f t="shared" si="0"/>
        <v>0.56700000000000006</v>
      </c>
      <c r="C44">
        <f t="shared" si="1"/>
        <v>5.6739717802461727E-4</v>
      </c>
      <c r="D44" s="5">
        <f t="shared" si="2"/>
        <v>21099.573723453814</v>
      </c>
      <c r="E44" t="str">
        <f t="shared" si="3"/>
        <v>Turbulent</v>
      </c>
      <c r="F44">
        <f t="shared" si="4"/>
        <v>2.6956521739130435E-2</v>
      </c>
      <c r="G44" s="6">
        <f t="shared" si="5"/>
        <v>21099.573723453814</v>
      </c>
      <c r="H44">
        <f t="shared" si="6"/>
        <v>-3.2370421743084279</v>
      </c>
      <c r="I44">
        <f t="shared" si="7"/>
        <v>-3.1074624131338586</v>
      </c>
      <c r="J44">
        <f t="shared" si="8"/>
        <v>-2.3190213373709736</v>
      </c>
      <c r="K44">
        <f t="shared" si="9"/>
        <v>2.3487229985841514E-2</v>
      </c>
      <c r="L44">
        <f t="shared" si="10"/>
        <v>2.3487229985841514E-2</v>
      </c>
      <c r="M44">
        <f t="shared" si="11"/>
        <v>1.1197726527250291</v>
      </c>
      <c r="N44">
        <f t="shared" si="12"/>
        <v>3.5315767387055299</v>
      </c>
      <c r="O44">
        <f t="shared" si="13"/>
        <v>3.9605457375044808</v>
      </c>
    </row>
    <row r="45" spans="1:16">
      <c r="A45">
        <f t="shared" si="14"/>
        <v>1.6000000000000003</v>
      </c>
      <c r="B45">
        <f t="shared" si="0"/>
        <v>0.60480000000000012</v>
      </c>
      <c r="C45">
        <f t="shared" si="1"/>
        <v>6.0522365655959185E-4</v>
      </c>
      <c r="D45" s="5">
        <f t="shared" si="2"/>
        <v>22506.211971684068</v>
      </c>
      <c r="E45" t="str">
        <f t="shared" si="3"/>
        <v>Turbulent</v>
      </c>
      <c r="F45">
        <f t="shared" si="4"/>
        <v>2.6956521739130435E-2</v>
      </c>
      <c r="G45" s="6">
        <f t="shared" si="5"/>
        <v>22506.211971684068</v>
      </c>
      <c r="H45">
        <f t="shared" si="6"/>
        <v>-3.2645394826122454</v>
      </c>
      <c r="I45">
        <f t="shared" si="7"/>
        <v>-3.1314763118202031</v>
      </c>
      <c r="J45">
        <f t="shared" si="8"/>
        <v>-2.3399854963606423</v>
      </c>
      <c r="K45">
        <f t="shared" si="9"/>
        <v>2.3076536275640481E-2</v>
      </c>
      <c r="L45">
        <f t="shared" si="10"/>
        <v>2.3076536275640481E-2</v>
      </c>
      <c r="M45">
        <f t="shared" si="11"/>
        <v>1.1944241629066981</v>
      </c>
      <c r="N45">
        <f t="shared" si="12"/>
        <v>3.9478888542391162</v>
      </c>
      <c r="O45">
        <f t="shared" si="13"/>
        <v>4.5062209280050984</v>
      </c>
    </row>
    <row r="46" spans="1:16">
      <c r="A46">
        <f t="shared" si="14"/>
        <v>1.7000000000000004</v>
      </c>
      <c r="B46">
        <f t="shared" si="0"/>
        <v>0.64260000000000017</v>
      </c>
      <c r="C46">
        <f t="shared" si="1"/>
        <v>6.4305013509456644E-4</v>
      </c>
      <c r="D46" s="5">
        <f t="shared" si="2"/>
        <v>23912.850219914326</v>
      </c>
      <c r="E46" t="str">
        <f t="shared" si="3"/>
        <v>Turbulent</v>
      </c>
      <c r="F46">
        <f t="shared" si="4"/>
        <v>2.6956521739130435E-2</v>
      </c>
      <c r="G46" s="6">
        <f t="shared" si="5"/>
        <v>23912.850219914326</v>
      </c>
      <c r="H46">
        <f t="shared" si="6"/>
        <v>-3.2903376554986861</v>
      </c>
      <c r="I46">
        <f t="shared" si="7"/>
        <v>-3.1540480126735941</v>
      </c>
      <c r="J46">
        <f t="shared" si="8"/>
        <v>-2.3597295898081891</v>
      </c>
      <c r="K46">
        <f t="shared" si="9"/>
        <v>2.2700695751805368E-2</v>
      </c>
      <c r="L46">
        <f t="shared" si="10"/>
        <v>2.2700695751805368E-2</v>
      </c>
      <c r="M46">
        <f t="shared" si="11"/>
        <v>1.2690756730883668</v>
      </c>
      <c r="N46">
        <f t="shared" si="12"/>
        <v>4.3842099151192118</v>
      </c>
      <c r="O46">
        <f t="shared" si="13"/>
        <v>5.0871009695057552</v>
      </c>
    </row>
    <row r="47" spans="1:16">
      <c r="A47">
        <f t="shared" si="14"/>
        <v>1.8000000000000005</v>
      </c>
      <c r="B47">
        <f t="shared" si="0"/>
        <v>0.68040000000000023</v>
      </c>
      <c r="C47">
        <f t="shared" si="1"/>
        <v>6.8087661362954092E-4</v>
      </c>
      <c r="D47" s="5">
        <f t="shared" si="2"/>
        <v>25319.488468144584</v>
      </c>
      <c r="E47" t="str">
        <f t="shared" si="3"/>
        <v>Turbulent</v>
      </c>
      <c r="F47">
        <f t="shared" si="4"/>
        <v>2.6956521739130435E-2</v>
      </c>
      <c r="G47" s="6">
        <f t="shared" si="5"/>
        <v>25319.488468144584</v>
      </c>
      <c r="H47">
        <f t="shared" si="6"/>
        <v>-3.3146311212628103</v>
      </c>
      <c r="I47">
        <f t="shared" si="7"/>
        <v>-3.1753405524966749</v>
      </c>
      <c r="J47">
        <f t="shared" si="8"/>
        <v>-2.3783898629839109</v>
      </c>
      <c r="K47">
        <f t="shared" si="9"/>
        <v>2.2354917041557395E-2</v>
      </c>
      <c r="L47">
        <f t="shared" si="10"/>
        <v>2.2354917041557395E-2</v>
      </c>
      <c r="M47">
        <f t="shared" si="11"/>
        <v>1.3437271832700355</v>
      </c>
      <c r="N47">
        <f t="shared" si="12"/>
        <v>4.8403013593700051</v>
      </c>
      <c r="O47">
        <f t="shared" si="13"/>
        <v>5.7031858620064533</v>
      </c>
    </row>
    <row r="48" spans="1:16">
      <c r="A48">
        <f t="shared" si="14"/>
        <v>1.9000000000000006</v>
      </c>
      <c r="B48">
        <f t="shared" si="0"/>
        <v>0.71820000000000017</v>
      </c>
      <c r="C48">
        <f t="shared" si="1"/>
        <v>7.1870309216451539E-4</v>
      </c>
      <c r="D48" s="5">
        <f t="shared" si="2"/>
        <v>26726.126716374834</v>
      </c>
      <c r="E48" t="str">
        <f t="shared" si="3"/>
        <v>Turbulent</v>
      </c>
      <c r="F48">
        <f t="shared" si="4"/>
        <v>2.6956521739130435E-2</v>
      </c>
      <c r="G48" s="6">
        <f t="shared" si="5"/>
        <v>26726.126716374834</v>
      </c>
      <c r="H48">
        <f t="shared" si="6"/>
        <v>-3.3375827454467069</v>
      </c>
      <c r="I48">
        <f t="shared" si="7"/>
        <v>-3.1954907379865944</v>
      </c>
      <c r="J48">
        <f t="shared" si="8"/>
        <v>-2.3960808303166976</v>
      </c>
      <c r="K48">
        <f t="shared" si="9"/>
        <v>2.2035292334834602E-2</v>
      </c>
      <c r="L48">
        <f t="shared" si="10"/>
        <v>2.2035292334834602E-2</v>
      </c>
      <c r="M48">
        <f t="shared" si="11"/>
        <v>1.418378693451704</v>
      </c>
      <c r="N48">
        <f t="shared" si="12"/>
        <v>5.3159433909452956</v>
      </c>
      <c r="O48">
        <f t="shared" si="13"/>
        <v>6.35447560550719</v>
      </c>
    </row>
    <row r="49" spans="1:15">
      <c r="A49">
        <f t="shared" si="14"/>
        <v>2.0000000000000004</v>
      </c>
      <c r="B49">
        <f t="shared" si="0"/>
        <v>0.75600000000000023</v>
      </c>
      <c r="C49">
        <f t="shared" si="1"/>
        <v>7.5652957069948987E-4</v>
      </c>
      <c r="D49" s="5">
        <f t="shared" si="2"/>
        <v>28132.764964605092</v>
      </c>
      <c r="E49" t="str">
        <f t="shared" si="3"/>
        <v>Turbulent</v>
      </c>
      <c r="F49">
        <f t="shared" si="4"/>
        <v>2.6956521739130435E-2</v>
      </c>
      <c r="G49" s="6">
        <f t="shared" si="5"/>
        <v>28132.764964605092</v>
      </c>
      <c r="H49">
        <f t="shared" si="6"/>
        <v>-3.359330313213567</v>
      </c>
      <c r="I49">
        <f t="shared" si="7"/>
        <v>-3.2146144937699686</v>
      </c>
      <c r="J49">
        <f t="shared" si="8"/>
        <v>-2.4128996760653543</v>
      </c>
      <c r="K49">
        <f t="shared" si="9"/>
        <v>2.1738597373202388E-2</v>
      </c>
      <c r="L49">
        <f t="shared" si="10"/>
        <v>2.1738597373202388E-2</v>
      </c>
      <c r="M49">
        <f t="shared" si="11"/>
        <v>1.4930302036333727</v>
      </c>
      <c r="N49">
        <f t="shared" si="12"/>
        <v>5.8109326159366583</v>
      </c>
      <c r="O49">
        <f t="shared" si="13"/>
        <v>7.0409702000079664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jharvey</dc:creator>
  <cp:keywords/>
  <dc:description/>
  <cp:lastModifiedBy>Harvey, Jason L. (JSC-ER7)[CACI NSS, INC]</cp:lastModifiedBy>
  <cp:revision>0</cp:revision>
  <dcterms:created xsi:type="dcterms:W3CDTF">2013-11-25T21:11:34Z</dcterms:created>
  <dcterms:modified xsi:type="dcterms:W3CDTF">2019-10-28T12:06:29Z</dcterms:modified>
  <cp:category/>
  <cp:contentStatus/>
</cp:coreProperties>
</file>