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modules/arch/attachments/architecture/"/>
    </mc:Choice>
  </mc:AlternateContent>
  <xr:revisionPtr revIDLastSave="0" documentId="13_ncr:1_{48401AEA-D67E-EF40-AAF6-7E47D034297C}" xr6:coauthVersionLast="47" xr6:coauthVersionMax="47" xr10:uidLastSave="{00000000-0000-0000-0000-000000000000}"/>
  <bookViews>
    <workbookView xWindow="0" yWindow="760" windowWidth="34560" windowHeight="21580" activeTab="1" xr2:uid="{27F18D04-7E62-4946-83A8-E11013D50C84}"/>
  </bookViews>
  <sheets>
    <sheet name="Калькулятор вартості" sheetId="1" r:id="rId1"/>
    <sheet name="Вибір розміру реєстру" sheetId="2" r:id="rId2"/>
    <sheet name="Словники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R8" i="1" l="1"/>
  <c r="P8" i="1"/>
  <c r="O8" i="1"/>
  <c r="Q8" i="1" s="1"/>
  <c r="S8" i="1" s="1"/>
  <c r="M8" i="1"/>
  <c r="I8" i="1"/>
  <c r="E8" i="1"/>
  <c r="I9" i="1"/>
  <c r="E9" i="1"/>
  <c r="I10" i="1"/>
  <c r="B3" i="1"/>
  <c r="G18" i="1"/>
  <c r="I18" i="1" s="1"/>
  <c r="G20" i="1"/>
  <c r="I20" i="1"/>
  <c r="G19" i="1"/>
  <c r="I19" i="1" s="1"/>
  <c r="G23" i="2"/>
  <c r="E23" i="2"/>
  <c r="E17" i="2"/>
  <c r="A23" i="2"/>
  <c r="C19" i="2"/>
  <c r="I21" i="1"/>
  <c r="I22" i="1"/>
  <c r="I23" i="1"/>
  <c r="I17" i="1"/>
  <c r="G22" i="2"/>
  <c r="G20" i="2"/>
  <c r="G18" i="2"/>
  <c r="G17" i="2"/>
  <c r="E22" i="2"/>
  <c r="E20" i="2"/>
  <c r="E19" i="2"/>
  <c r="E18" i="2"/>
  <c r="C21" i="2"/>
  <c r="C20" i="2"/>
  <c r="C18" i="2"/>
  <c r="C17" i="2"/>
  <c r="C22" i="2"/>
  <c r="C10" i="2"/>
  <c r="A22" i="2"/>
  <c r="A21" i="2"/>
  <c r="A20" i="2"/>
  <c r="A19" i="2"/>
  <c r="A18" i="2"/>
  <c r="A17" i="2"/>
  <c r="I11" i="1"/>
  <c r="D3" i="3"/>
  <c r="C6" i="2"/>
  <c r="A6" i="2"/>
  <c r="C12" i="2"/>
  <c r="A12" i="2"/>
  <c r="C11" i="2"/>
  <c r="A11" i="2"/>
  <c r="A10" i="2"/>
  <c r="A5" i="2"/>
  <c r="T8" i="1" l="1"/>
  <c r="C24" i="2"/>
  <c r="E24" i="2"/>
  <c r="G24" i="2"/>
  <c r="B2" i="2" l="1"/>
  <c r="C2" i="2" s="1"/>
  <c r="E23" i="1"/>
  <c r="E22" i="1"/>
  <c r="E21" i="1"/>
  <c r="E20" i="1"/>
  <c r="E19" i="1"/>
  <c r="E18" i="1"/>
  <c r="E17" i="1"/>
  <c r="R11" i="1"/>
  <c r="P11" i="1"/>
  <c r="O11" i="1"/>
  <c r="M11" i="1"/>
  <c r="E11" i="1"/>
  <c r="R10" i="1"/>
  <c r="Q10" i="1"/>
  <c r="P10" i="1"/>
  <c r="O10" i="1"/>
  <c r="M10" i="1"/>
  <c r="E10" i="1"/>
  <c r="R9" i="1"/>
  <c r="P9" i="1"/>
  <c r="O9" i="1"/>
  <c r="Q9" i="1" s="1"/>
  <c r="S9" i="1" s="1"/>
  <c r="M9" i="1"/>
  <c r="B2" i="1"/>
  <c r="J21" i="1" l="1"/>
  <c r="J22" i="1"/>
  <c r="J23" i="1"/>
  <c r="J18" i="1"/>
  <c r="J19" i="1"/>
  <c r="J20" i="1"/>
  <c r="J17" i="1"/>
  <c r="J24" i="1" s="1"/>
  <c r="T9" i="1"/>
  <c r="T10" i="1"/>
  <c r="S10" i="1"/>
  <c r="Q11" i="1"/>
  <c r="S11" i="1" s="1"/>
  <c r="T11" i="1" s="1"/>
  <c r="U8" i="1" l="1"/>
  <c r="V8" i="1" s="1"/>
  <c r="U9" i="1"/>
  <c r="U10" i="1"/>
  <c r="U11" i="1"/>
  <c r="V11" i="1" s="1"/>
  <c r="V10" i="1"/>
  <c r="V9" i="1" l="1"/>
</calcChain>
</file>

<file path=xl/sharedStrings.xml><?xml version="1.0" encoding="utf-8"?>
<sst xmlns="http://schemas.openxmlformats.org/spreadsheetml/2006/main" count="236" uniqueCount="109">
  <si>
    <t>Всього робочих годин в місяць</t>
  </si>
  <si>
    <t>Годин для реєстру</t>
  </si>
  <si>
    <t>&lt;---- можна змінювати</t>
  </si>
  <si>
    <t>240 - 12 годин кожного робочого дня</t>
  </si>
  <si>
    <t>Ефективна кількість ВМ</t>
  </si>
  <si>
    <t>Орієнтовний розрахунок вартості одного реєстру</t>
  </si>
  <si>
    <t>Шаблон</t>
  </si>
  <si>
    <t>Тип машин</t>
  </si>
  <si>
    <t>Кількість машин</t>
  </si>
  <si>
    <t>Вартість роботи, $ в год.</t>
  </si>
  <si>
    <t>Сумарна вартість роботи, $ в год.</t>
  </si>
  <si>
    <t>Тип диску машини</t>
  </si>
  <si>
    <t>Розмір диску машини, Gb</t>
  </si>
  <si>
    <t>Вартість диску машини за 1 Gb, $ в міс.</t>
  </si>
  <si>
    <t>Сумарна вартість диску машини, $ в міс.</t>
  </si>
  <si>
    <t>Тип диску Ceph</t>
  </si>
  <si>
    <t>Розмір сховища в Ceph, Gb</t>
  </si>
  <si>
    <t>Вартість Ceph сховища за 1 Gb, $ в міс.</t>
  </si>
  <si>
    <t>Сумарна вартість Ceph сховища, $ в міс.</t>
  </si>
  <si>
    <t>Очікуємий обʼєм трафіку в місяць, Gb</t>
  </si>
  <si>
    <t>Вартість перших 10 Tb трафіку, $</t>
  </si>
  <si>
    <t xml:space="preserve">Вартість наступних 40 Tb трафіку, $ </t>
  </si>
  <si>
    <t>Вартість наступних 100 Tb трафіку, $</t>
  </si>
  <si>
    <t>Вартість трафіку після 150 Tb, $</t>
  </si>
  <si>
    <t>Суммарна вартість трафіку, $</t>
  </si>
  <si>
    <t>Сумарна приблизна вартість реєстру за місяць, $</t>
  </si>
  <si>
    <t>Вартість спільних сервісів, $</t>
  </si>
  <si>
    <t>Підсумкова вартість, $</t>
  </si>
  <si>
    <t>minimal</t>
  </si>
  <si>
    <t>m5.2xlarge (8 CPU, 32 RAM)</t>
  </si>
  <si>
    <t>gp3</t>
  </si>
  <si>
    <t>recommended</t>
  </si>
  <si>
    <t>large</t>
  </si>
  <si>
    <t>Орієнтовний розрахунок вартості спільних сервісів</t>
  </si>
  <si>
    <t>Назва</t>
  </si>
  <si>
    <t>Сумарна вартість диску, $ в міс.</t>
  </si>
  <si>
    <t>Сумарна приблизна вартість спільних сервісів за місяць, $</t>
  </si>
  <si>
    <t>Openshift master</t>
  </si>
  <si>
    <t>r5.2xlarge (8 CPU, 64 RAM)</t>
  </si>
  <si>
    <t>gp2</t>
  </si>
  <si>
    <t>Ceph</t>
  </si>
  <si>
    <t>r5.4xlarge (16 CPU, 128 RAM)</t>
  </si>
  <si>
    <t>Logging</t>
  </si>
  <si>
    <t>Workers</t>
  </si>
  <si>
    <t>Central Vault</t>
  </si>
  <si>
    <t>Minio</t>
  </si>
  <si>
    <t>Trembita</t>
  </si>
  <si>
    <t>Підсумок, $</t>
  </si>
  <si>
    <t>Кількість ВМ</t>
  </si>
  <si>
    <t>Вартість</t>
  </si>
  <si>
    <t>Ваш реєстр</t>
  </si>
  <si>
    <t>Базові параметри</t>
  </si>
  <si>
    <t>Коеф</t>
  </si>
  <si>
    <t>Ні</t>
  </si>
  <si>
    <t>12 годин протягом кожного робочого дня</t>
  </si>
  <si>
    <t>Об'єм реєстру</t>
  </si>
  <si>
    <t>Додати значення не знаю</t>
  </si>
  <si>
    <t>&lt;10</t>
  </si>
  <si>
    <t>&lt;5000000</t>
  </si>
  <si>
    <t>&lt;1</t>
  </si>
  <si>
    <t>Параметри реєстру</t>
  </si>
  <si>
    <t>Посадові особи</t>
  </si>
  <si>
    <t>Громадяни</t>
  </si>
  <si>
    <t>Інші системи</t>
  </si>
  <si>
    <t>100&lt;x&lt;1000</t>
  </si>
  <si>
    <t>&lt;10000</t>
  </si>
  <si>
    <t>&lt;50</t>
  </si>
  <si>
    <t>10&lt;x&lt;30</t>
  </si>
  <si>
    <t>&gt;25</t>
  </si>
  <si>
    <t>2&lt;x&lt;5</t>
  </si>
  <si>
    <t>&lt;15</t>
  </si>
  <si>
    <t>15&lt;x&lt;50</t>
  </si>
  <si>
    <t>&gt;30</t>
  </si>
  <si>
    <t>1000&lt;x&lt;10000</t>
  </si>
  <si>
    <t>12 годин протягом робочого тижня</t>
  </si>
  <si>
    <t>&lt;100</t>
  </si>
  <si>
    <t>Так</t>
  </si>
  <si>
    <t>Цілодобово</t>
  </si>
  <si>
    <t>5000000&lt;x&lt;30000000</t>
  </si>
  <si>
    <t>1&lt;x&lt;50</t>
  </si>
  <si>
    <t>&lt;5</t>
  </si>
  <si>
    <t>10&lt;x&lt;25</t>
  </si>
  <si>
    <t>&gt;50</t>
  </si>
  <si>
    <t>Режим високої доступності</t>
  </si>
  <si>
    <t>Режим роботи</t>
  </si>
  <si>
    <t>Кількість бізнес сутностей</t>
  </si>
  <si>
    <t>Максимальна кількість екземплярів бізнес сутностей (рядків в таблиці)</t>
  </si>
  <si>
    <t>Приблизний об'єм історичних даних в GB</t>
  </si>
  <si>
    <t>&gt;30000000</t>
  </si>
  <si>
    <t>Кількість користувачів</t>
  </si>
  <si>
    <t>Кількість послуг (бізнес-процесів)</t>
  </si>
  <si>
    <t>Середня кількість задач для користувачів на послугу</t>
  </si>
  <si>
    <t>Середня кількість автоматизованих задач на послугу</t>
  </si>
  <si>
    <t>Кількість звітів</t>
  </si>
  <si>
    <t>Кількість витягів</t>
  </si>
  <si>
    <t>Кількість надаваємих послуг в місяць</t>
  </si>
  <si>
    <t>&gt;1000</t>
  </si>
  <si>
    <t>&lt;2</t>
  </si>
  <si>
    <t>&lt;1000</t>
  </si>
  <si>
    <t>10000&lt;x&lt;1000000</t>
  </si>
  <si>
    <t>&gt;1000000</t>
  </si>
  <si>
    <t>&gt;5</t>
  </si>
  <si>
    <t>&gt;10000</t>
  </si>
  <si>
    <t>50&lt;x&lt;250</t>
  </si>
  <si>
    <t>5&lt;x&lt;25</t>
  </si>
  <si>
    <t>10000&lt;x&lt;100000</t>
  </si>
  <si>
    <t>&gt;250</t>
  </si>
  <si>
    <t>&gt;100000</t>
  </si>
  <si>
    <t>1 VM calculation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</si>
</sst>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Unicode MS"/>
      <family val="2"/>
    </font>
    <font>
      <sz val="12"/>
      <color rgb="FF16191F"/>
      <name val="Helvetica Neue"/>
      <family val="2"/>
    </font>
    <font>
      <sz val="12"/>
      <color rgb="FF333333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6191F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0" borderId="0" xfId="0" applyFont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0" borderId="3" xfId="0" applyFont="1" applyBorder="1" applyAlignment="1">
      <alignment horizontal="left"/>
    </xf>
    <xf numFmtId="0" fontId="12" fillId="0" borderId="0" xfId="0" applyFont="1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0" fontId="0" fillId="4" borderId="0" xfId="0" applyFill="1"/>
    <xf numFmtId="0" fontId="1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E3AB-101C-8547-83F4-DF3AE92242F5}">
  <dimension ref="A1:V24"/>
  <sheetViews>
    <sheetView topLeftCell="A2" workbookViewId="0">
      <selection activeCell="M17" sqref="M17"/>
    </sheetView>
  </sheetViews>
  <sheetFormatPr baseColWidth="10" defaultColWidth="11" defaultRowHeight="16" x14ac:dyDescent="0.2"/>
  <cols>
    <col min="1" max="1" width="25.1640625" customWidth="1"/>
    <col min="2" max="2" width="28" bestFit="1" customWidth="1"/>
    <col min="3" max="3" width="9.1640625" customWidth="1"/>
    <col min="4" max="4" width="11.83203125" customWidth="1"/>
    <col min="5" max="5" width="8.6640625" customWidth="1"/>
    <col min="6" max="6" width="9.1640625" customWidth="1"/>
    <col min="7" max="7" width="10.1640625" customWidth="1"/>
    <col min="8" max="8" width="10.6640625" customWidth="1"/>
    <col min="9" max="9" width="11.5" customWidth="1"/>
    <col min="10" max="10" width="11.83203125" customWidth="1"/>
    <col min="11" max="11" width="8.6640625" customWidth="1"/>
    <col min="12" max="12" width="12" customWidth="1"/>
    <col min="13" max="13" width="11.5" customWidth="1"/>
    <col min="14" max="18" width="12.1640625" customWidth="1"/>
    <col min="20" max="20" width="13.1640625" customWidth="1"/>
  </cols>
  <sheetData>
    <row r="1" spans="1:22" x14ac:dyDescent="0.2">
      <c r="A1" s="8"/>
      <c r="C1" s="29"/>
      <c r="D1" s="29"/>
    </row>
    <row r="2" spans="1:22" x14ac:dyDescent="0.2">
      <c r="A2" s="8" t="s">
        <v>0</v>
      </c>
      <c r="B2">
        <f>30*24</f>
        <v>720</v>
      </c>
      <c r="C2" s="12"/>
      <c r="D2" s="12"/>
    </row>
    <row r="3" spans="1:22" ht="17" x14ac:dyDescent="0.2">
      <c r="A3" s="17" t="s">
        <v>1</v>
      </c>
      <c r="B3" s="18">
        <f>5*4*12</f>
        <v>240</v>
      </c>
      <c r="C3" s="19" t="s">
        <v>2</v>
      </c>
      <c r="D3" s="19"/>
      <c r="E3" t="s">
        <v>3</v>
      </c>
    </row>
    <row r="4" spans="1:22" x14ac:dyDescent="0.2">
      <c r="A4" s="8" t="s">
        <v>4</v>
      </c>
      <c r="B4" s="8">
        <v>80</v>
      </c>
      <c r="C4" s="1"/>
      <c r="D4" s="1"/>
    </row>
    <row r="6" spans="1:22" x14ac:dyDescent="0.2">
      <c r="A6" s="30" t="s">
        <v>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85" x14ac:dyDescent="0.2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14" t="s">
        <v>27</v>
      </c>
    </row>
    <row r="8" spans="1:22" ht="18" x14ac:dyDescent="0.25">
      <c r="A8" s="28" t="s">
        <v>108</v>
      </c>
      <c r="B8" s="9" t="s">
        <v>29</v>
      </c>
      <c r="C8" s="28">
        <v>1</v>
      </c>
      <c r="D8" s="10">
        <v>0.46</v>
      </c>
      <c r="E8" s="28">
        <f>C8*D8</f>
        <v>0.46</v>
      </c>
      <c r="F8" s="28" t="s">
        <v>30</v>
      </c>
      <c r="G8" s="28">
        <v>120</v>
      </c>
      <c r="H8" s="11">
        <v>9.5200000000000007E-2</v>
      </c>
      <c r="I8" s="28">
        <f>G8*H8*C8</f>
        <v>11.424000000000001</v>
      </c>
      <c r="J8" s="28" t="s">
        <v>30</v>
      </c>
      <c r="K8" s="28">
        <v>200</v>
      </c>
      <c r="L8" s="11">
        <v>9.5200000000000007E-2</v>
      </c>
      <c r="M8" s="28">
        <f>K8*L8</f>
        <v>19.040000000000003</v>
      </c>
      <c r="N8" s="28">
        <v>550</v>
      </c>
      <c r="O8" s="28">
        <f>IF(N8&lt;=10000, 0.09 * N8, 10000*0.09)</f>
        <v>49.5</v>
      </c>
      <c r="P8" s="28">
        <f>IF(N8&gt;10000, IF(N8&lt;=50000, 0.085 * (N8-10000), 40000*0.085), 0)</f>
        <v>0</v>
      </c>
      <c r="Q8" s="28">
        <f>IF(O8&gt;50000,IF(O8&lt;=150000,0.07*(O8-50000),100000*0.07),0)</f>
        <v>0</v>
      </c>
      <c r="R8" s="28">
        <f>IF(N8&gt;150000,(N8-150000)*0.05,0)</f>
        <v>0</v>
      </c>
      <c r="S8" s="28">
        <f>SUM(O8:R8)</f>
        <v>49.5</v>
      </c>
      <c r="T8" s="28">
        <f>$B$3*E8+I8+M8+S8</f>
        <v>190.364</v>
      </c>
      <c r="U8" s="28">
        <f>J$24/$B$4*C8</f>
        <v>129.26185000000001</v>
      </c>
      <c r="V8" s="15">
        <f>T8+U8</f>
        <v>319.62585000000001</v>
      </c>
    </row>
    <row r="9" spans="1:22" ht="18" x14ac:dyDescent="0.25">
      <c r="A9" s="28" t="s">
        <v>28</v>
      </c>
      <c r="B9" s="9" t="s">
        <v>29</v>
      </c>
      <c r="C9" s="28">
        <v>2</v>
      </c>
      <c r="D9" s="10">
        <v>0.46</v>
      </c>
      <c r="E9" s="28">
        <f>C9*D9</f>
        <v>0.92</v>
      </c>
      <c r="F9" s="28" t="s">
        <v>30</v>
      </c>
      <c r="G9" s="28">
        <v>120</v>
      </c>
      <c r="H9" s="11">
        <v>9.5200000000000007E-2</v>
      </c>
      <c r="I9" s="28">
        <f>G9*H9*C9</f>
        <v>22.848000000000003</v>
      </c>
      <c r="J9" s="28" t="s">
        <v>30</v>
      </c>
      <c r="K9" s="28">
        <v>200</v>
      </c>
      <c r="L9" s="11">
        <v>9.5200000000000007E-2</v>
      </c>
      <c r="M9" s="28">
        <f>K9*L9</f>
        <v>19.040000000000003</v>
      </c>
      <c r="N9" s="28">
        <v>550</v>
      </c>
      <c r="O9" s="28">
        <f>IF(N9&lt;=10000, 0.09 * N9, 10000*0.09)</f>
        <v>49.5</v>
      </c>
      <c r="P9" s="28">
        <f>IF(N9&gt;10000, IF(N9&lt;=50000, 0.085 * (N9-10000), 40000*0.085), 0)</f>
        <v>0</v>
      </c>
      <c r="Q9" s="28">
        <f>IF(O9&gt;50000,IF(O9&lt;=150000,0.07*(O9-50000),100000*0.07),0)</f>
        <v>0</v>
      </c>
      <c r="R9" s="28">
        <f>IF(N9&gt;150000,(N9-150000)*0.05,0)</f>
        <v>0</v>
      </c>
      <c r="S9" s="28">
        <f>SUM(O9:R9)</f>
        <v>49.5</v>
      </c>
      <c r="T9" s="28">
        <f>$B$3*E9+I9+M9+S9</f>
        <v>312.18800000000005</v>
      </c>
      <c r="U9" s="28">
        <f>J$24/$B$4*C9</f>
        <v>258.52370000000002</v>
      </c>
      <c r="V9" s="15">
        <f>T9+U9</f>
        <v>570.71170000000006</v>
      </c>
    </row>
    <row r="10" spans="1:22" ht="18" x14ac:dyDescent="0.25">
      <c r="A10" s="28" t="s">
        <v>31</v>
      </c>
      <c r="B10" s="9" t="s">
        <v>29</v>
      </c>
      <c r="C10" s="28">
        <v>5</v>
      </c>
      <c r="D10" s="10">
        <v>0.46</v>
      </c>
      <c r="E10" s="28">
        <f>C10*D10</f>
        <v>2.3000000000000003</v>
      </c>
      <c r="F10" s="28" t="s">
        <v>30</v>
      </c>
      <c r="G10" s="28">
        <v>120</v>
      </c>
      <c r="H10" s="11">
        <v>9.5200000000000007E-2</v>
      </c>
      <c r="I10" s="28">
        <f>G10*H10*C10</f>
        <v>57.120000000000005</v>
      </c>
      <c r="J10" s="28" t="s">
        <v>30</v>
      </c>
      <c r="K10" s="28">
        <v>200</v>
      </c>
      <c r="L10" s="11">
        <v>9.5200000000000007E-2</v>
      </c>
      <c r="M10" s="28">
        <f>K10*L10</f>
        <v>19.040000000000003</v>
      </c>
      <c r="N10" s="28">
        <v>550</v>
      </c>
      <c r="O10" s="28">
        <f>IF(N10&lt;=10000, 0.09 * N10, 10000*0.09)</f>
        <v>49.5</v>
      </c>
      <c r="P10" s="28">
        <f>IF(N10&gt;10000, IF(N10&lt;=50000, 0.085 * (N10-10000), 40000*0.085), 0)</f>
        <v>0</v>
      </c>
      <c r="Q10" s="28">
        <f>IF(N10&gt;50000,IF(N10&lt;=150000,0.07*(N10-50000),100000*0.07),0)</f>
        <v>0</v>
      </c>
      <c r="R10" s="28">
        <f>IF(N10&gt;150000,(N10-150000)*0.05,0)</f>
        <v>0</v>
      </c>
      <c r="S10" s="28">
        <f>SUM(O10:R10)</f>
        <v>49.5</v>
      </c>
      <c r="T10" s="28">
        <f>$B$3*E10+I10+M10+S10</f>
        <v>677.66000000000008</v>
      </c>
      <c r="U10" s="28">
        <f>J$24/$B$4*C10</f>
        <v>646.30925000000002</v>
      </c>
      <c r="V10" s="15">
        <f t="shared" ref="V10:V11" si="0">T10+U10</f>
        <v>1323.9692500000001</v>
      </c>
    </row>
    <row r="11" spans="1:22" ht="18" x14ac:dyDescent="0.25">
      <c r="A11" s="28" t="s">
        <v>32</v>
      </c>
      <c r="B11" s="9" t="s">
        <v>29</v>
      </c>
      <c r="C11" s="28">
        <v>10</v>
      </c>
      <c r="D11" s="10">
        <v>0.46</v>
      </c>
      <c r="E11" s="28">
        <f>C11*D11</f>
        <v>4.6000000000000005</v>
      </c>
      <c r="F11" s="28" t="s">
        <v>30</v>
      </c>
      <c r="G11" s="28">
        <v>120</v>
      </c>
      <c r="H11" s="11">
        <v>9.5200000000000007E-2</v>
      </c>
      <c r="I11" s="28">
        <f>G11*H11*C11</f>
        <v>114.24000000000001</v>
      </c>
      <c r="J11" s="28" t="s">
        <v>30</v>
      </c>
      <c r="K11" s="28">
        <v>200</v>
      </c>
      <c r="L11" s="11">
        <v>9.5200000000000007E-2</v>
      </c>
      <c r="M11" s="28">
        <f>K11*L11</f>
        <v>19.040000000000003</v>
      </c>
      <c r="N11" s="28">
        <v>550</v>
      </c>
      <c r="O11" s="28">
        <f>IF(N11&lt;=10000, 0.09 * N11, 10000*0.09)</f>
        <v>49.5</v>
      </c>
      <c r="P11" s="28">
        <f>IF(N11&gt;10000, IF(N11&lt;=50000, 0.085 * (N11-10000), 40000*0.085), 0)</f>
        <v>0</v>
      </c>
      <c r="Q11" s="28">
        <f>IF(O11&gt;50000,IF(O11&lt;=150000,0.07*(O11-50000),100000*0.07),0)</f>
        <v>0</v>
      </c>
      <c r="R11" s="28">
        <f>IF(N11&gt;150000,(N11-150000)*0.05,0)</f>
        <v>0</v>
      </c>
      <c r="S11" s="28">
        <f>SUM(O11:R11)</f>
        <v>49.5</v>
      </c>
      <c r="T11" s="28">
        <f t="shared" ref="T11" si="1">$B$3*E11+I11+M11+S11</f>
        <v>1286.7800000000002</v>
      </c>
      <c r="U11" s="28">
        <f t="shared" ref="U11" si="2">J$24/$B$4*C11</f>
        <v>1292.6185</v>
      </c>
      <c r="V11" s="15">
        <f t="shared" si="0"/>
        <v>2579.3985000000002</v>
      </c>
    </row>
    <row r="15" spans="1:22" x14ac:dyDescent="0.2">
      <c r="A15" s="31" t="s">
        <v>33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22" ht="102" x14ac:dyDescent="0.2">
      <c r="A16" s="13" t="s">
        <v>34</v>
      </c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35</v>
      </c>
      <c r="J16" s="13" t="s">
        <v>36</v>
      </c>
    </row>
    <row r="17" spans="1:10" x14ac:dyDescent="0.2">
      <c r="A17" s="3" t="s">
        <v>37</v>
      </c>
      <c r="B17" s="3" t="s">
        <v>38</v>
      </c>
      <c r="C17" s="3">
        <v>3</v>
      </c>
      <c r="D17" s="3">
        <v>0.60799999999999998</v>
      </c>
      <c r="E17" s="3">
        <f t="shared" ref="E17:E23" si="3">C17*D17</f>
        <v>1.8239999999999998</v>
      </c>
      <c r="F17" s="3" t="s">
        <v>39</v>
      </c>
      <c r="G17" s="3">
        <v>120</v>
      </c>
      <c r="H17" s="5">
        <v>0.11899999999999999</v>
      </c>
      <c r="I17" s="3">
        <f t="shared" ref="I17:I23" si="4">G17*H17*C17</f>
        <v>42.839999999999996</v>
      </c>
      <c r="J17" s="3">
        <f>B$2*E17+I17</f>
        <v>1356.12</v>
      </c>
    </row>
    <row r="18" spans="1:10" x14ac:dyDescent="0.2">
      <c r="A18" s="3" t="s">
        <v>40</v>
      </c>
      <c r="B18" s="3" t="s">
        <v>41</v>
      </c>
      <c r="C18" s="3">
        <v>3</v>
      </c>
      <c r="D18" s="4">
        <v>1.216</v>
      </c>
      <c r="E18" s="3">
        <f t="shared" si="3"/>
        <v>3.6479999999999997</v>
      </c>
      <c r="F18" s="3" t="s">
        <v>30</v>
      </c>
      <c r="G18" s="6">
        <f>1000+120+50</f>
        <v>1170</v>
      </c>
      <c r="H18" s="5">
        <v>9.5200000000000007E-2</v>
      </c>
      <c r="I18" s="3">
        <f t="shared" si="4"/>
        <v>334.15200000000004</v>
      </c>
      <c r="J18" s="3">
        <f t="shared" ref="J18:J23" si="5">B$2*E18+I18</f>
        <v>2960.712</v>
      </c>
    </row>
    <row r="19" spans="1:10" x14ac:dyDescent="0.2">
      <c r="A19" s="3" t="s">
        <v>42</v>
      </c>
      <c r="B19" s="3" t="s">
        <v>29</v>
      </c>
      <c r="C19" s="3">
        <v>3</v>
      </c>
      <c r="D19" s="7">
        <v>0.46</v>
      </c>
      <c r="E19" s="3">
        <f t="shared" si="3"/>
        <v>1.3800000000000001</v>
      </c>
      <c r="F19" s="3" t="s">
        <v>30</v>
      </c>
      <c r="G19" s="3">
        <f>375+120</f>
        <v>495</v>
      </c>
      <c r="H19" s="5">
        <v>9.5200000000000007E-2</v>
      </c>
      <c r="I19" s="3">
        <f t="shared" si="4"/>
        <v>141.37200000000001</v>
      </c>
      <c r="J19" s="3">
        <f t="shared" si="5"/>
        <v>1134.9720000000002</v>
      </c>
    </row>
    <row r="20" spans="1:10" x14ac:dyDescent="0.2">
      <c r="A20" s="3" t="s">
        <v>43</v>
      </c>
      <c r="B20" s="3" t="s">
        <v>38</v>
      </c>
      <c r="C20" s="3">
        <v>5</v>
      </c>
      <c r="D20" s="3">
        <v>0.60799999999999998</v>
      </c>
      <c r="E20" s="3">
        <f t="shared" si="3"/>
        <v>3.04</v>
      </c>
      <c r="F20" s="3" t="s">
        <v>39</v>
      </c>
      <c r="G20" s="3">
        <f>120+(100+400+100+50)/5</f>
        <v>250</v>
      </c>
      <c r="H20" s="3">
        <v>0.11899999999999999</v>
      </c>
      <c r="I20" s="27">
        <f t="shared" si="4"/>
        <v>148.75</v>
      </c>
      <c r="J20" s="3">
        <f t="shared" si="5"/>
        <v>2337.5500000000002</v>
      </c>
    </row>
    <row r="21" spans="1:10" s="21" customFormat="1" x14ac:dyDescent="0.2">
      <c r="A21" s="20" t="s">
        <v>44</v>
      </c>
      <c r="B21" s="20" t="s">
        <v>38</v>
      </c>
      <c r="C21" s="20">
        <v>1</v>
      </c>
      <c r="D21" s="20">
        <v>0.60799999999999998</v>
      </c>
      <c r="E21" s="20">
        <f t="shared" si="3"/>
        <v>0.60799999999999998</v>
      </c>
      <c r="F21" s="20" t="s">
        <v>39</v>
      </c>
      <c r="G21" s="20">
        <v>160</v>
      </c>
      <c r="H21" s="20">
        <v>0.11899999999999999</v>
      </c>
      <c r="I21" s="27">
        <f t="shared" si="4"/>
        <v>19.04</v>
      </c>
      <c r="J21" s="3">
        <f t="shared" si="5"/>
        <v>456.8</v>
      </c>
    </row>
    <row r="22" spans="1:10" s="21" customFormat="1" x14ac:dyDescent="0.2">
      <c r="A22" s="20" t="s">
        <v>45</v>
      </c>
      <c r="B22" s="20" t="s">
        <v>38</v>
      </c>
      <c r="C22" s="20">
        <v>1</v>
      </c>
      <c r="D22" s="20">
        <v>0.60799999999999998</v>
      </c>
      <c r="E22" s="20">
        <f t="shared" si="3"/>
        <v>0.60799999999999998</v>
      </c>
      <c r="F22" s="20" t="s">
        <v>39</v>
      </c>
      <c r="G22" s="20">
        <v>2080</v>
      </c>
      <c r="H22" s="20">
        <v>0.11899999999999999</v>
      </c>
      <c r="I22" s="27">
        <f t="shared" si="4"/>
        <v>247.51999999999998</v>
      </c>
      <c r="J22" s="3">
        <f t="shared" si="5"/>
        <v>685.28</v>
      </c>
    </row>
    <row r="23" spans="1:10" s="21" customFormat="1" x14ac:dyDescent="0.2">
      <c r="A23" s="20" t="s">
        <v>46</v>
      </c>
      <c r="B23" s="20" t="s">
        <v>38</v>
      </c>
      <c r="C23" s="20">
        <v>1</v>
      </c>
      <c r="D23" s="20">
        <v>0.60799999999999998</v>
      </c>
      <c r="E23" s="20">
        <f t="shared" si="3"/>
        <v>0.60799999999999998</v>
      </c>
      <c r="F23" s="20" t="s">
        <v>39</v>
      </c>
      <c r="G23" s="20">
        <v>160</v>
      </c>
      <c r="H23" s="20">
        <v>0.11899999999999999</v>
      </c>
      <c r="I23" s="27">
        <f t="shared" si="4"/>
        <v>19.04</v>
      </c>
      <c r="J23" s="3">
        <f t="shared" si="5"/>
        <v>456.8</v>
      </c>
    </row>
    <row r="24" spans="1:10" x14ac:dyDescent="0.2">
      <c r="I24" s="16" t="s">
        <v>47</v>
      </c>
      <c r="J24" s="15">
        <f>SUM(J17:J23)+SUM(I17:I23)</f>
        <v>10340.948</v>
      </c>
    </row>
  </sheetData>
  <mergeCells count="3">
    <mergeCell ref="C1:D1"/>
    <mergeCell ref="A6:V6"/>
    <mergeCell ref="A15:J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9B9D-8FE0-401F-8C51-9F6F8ACD5799}">
  <dimension ref="A1:G24"/>
  <sheetViews>
    <sheetView tabSelected="1" workbookViewId="0">
      <selection activeCell="J18" sqref="J18"/>
    </sheetView>
  </sheetViews>
  <sheetFormatPr baseColWidth="10" defaultColWidth="8.83203125" defaultRowHeight="16" x14ac:dyDescent="0.2"/>
  <cols>
    <col min="1" max="1" width="49.6640625" customWidth="1"/>
    <col min="2" max="3" width="15.1640625" customWidth="1"/>
    <col min="4" max="4" width="14.6640625" customWidth="1"/>
    <col min="6" max="6" width="12.6640625" customWidth="1"/>
  </cols>
  <sheetData>
    <row r="1" spans="1:7" x14ac:dyDescent="0.2">
      <c r="B1" s="22" t="s">
        <v>48</v>
      </c>
      <c r="C1" s="22" t="s">
        <v>49</v>
      </c>
    </row>
    <row r="2" spans="1:7" x14ac:dyDescent="0.2">
      <c r="A2" t="s">
        <v>50</v>
      </c>
      <c r="B2">
        <f>CEILING(MAX(C5,C10:C12,C24:G24), 1)</f>
        <v>2</v>
      </c>
      <c r="C2">
        <f>B2*C6*720*'Калькулятор вартості'!E8+B2*'Калькулятор вартості'!I8+'Калькулятор вартості'!M8+'Калькулятор вартості'!S8+B2*'Калькулятор вартості'!U8</f>
        <v>570.71170000000006</v>
      </c>
    </row>
    <row r="3" spans="1:7" x14ac:dyDescent="0.2">
      <c r="F3" s="21"/>
    </row>
    <row r="4" spans="1:7" x14ac:dyDescent="0.2">
      <c r="A4" s="22" t="s">
        <v>51</v>
      </c>
      <c r="C4" s="22" t="s">
        <v>52</v>
      </c>
      <c r="F4" s="21"/>
    </row>
    <row r="5" spans="1:7" x14ac:dyDescent="0.2">
      <c r="A5" t="str">
        <f>Словники!A1</f>
        <v>Режим високої доступності</v>
      </c>
      <c r="B5" t="s">
        <v>53</v>
      </c>
      <c r="C5">
        <f>VLOOKUP(B5,Словники!A2:B3,2,FALSE)</f>
        <v>2</v>
      </c>
      <c r="F5" s="21"/>
    </row>
    <row r="6" spans="1:7" x14ac:dyDescent="0.2">
      <c r="A6" t="str">
        <f>Словники!C1</f>
        <v>Режим роботи</v>
      </c>
      <c r="B6" t="s">
        <v>74</v>
      </c>
      <c r="C6" s="25">
        <f>VLOOKUP(B6,Словники!C2:D4,2,FALSE)</f>
        <v>0.33333333333333331</v>
      </c>
    </row>
    <row r="9" spans="1:7" x14ac:dyDescent="0.2">
      <c r="A9" s="22" t="s">
        <v>55</v>
      </c>
      <c r="F9" s="21" t="s">
        <v>56</v>
      </c>
    </row>
    <row r="10" spans="1:7" x14ac:dyDescent="0.2">
      <c r="A10" t="str">
        <f>Словники!A6</f>
        <v>Кількість бізнес сутностей</v>
      </c>
      <c r="B10" t="s">
        <v>57</v>
      </c>
      <c r="C10">
        <f>VLOOKUP(B10,Словники!A7:B9,2,FALSE)</f>
        <v>1</v>
      </c>
    </row>
    <row r="11" spans="1:7" x14ac:dyDescent="0.2">
      <c r="A11" t="str">
        <f>Словники!C6</f>
        <v>Максимальна кількість екземплярів бізнес сутностей (рядків в таблиці)</v>
      </c>
      <c r="B11" t="s">
        <v>58</v>
      </c>
      <c r="C11">
        <f>VLOOKUP(B11,Словники!C7:D9,2,FALSE)</f>
        <v>1</v>
      </c>
    </row>
    <row r="12" spans="1:7" x14ac:dyDescent="0.2">
      <c r="A12" t="str">
        <f>Словники!E6</f>
        <v>Приблизний об'єм історичних даних в GB</v>
      </c>
      <c r="B12" t="s">
        <v>59</v>
      </c>
      <c r="C12">
        <f>VLOOKUP(B12,Словники!E7:F9,2,FALSE)</f>
        <v>1</v>
      </c>
    </row>
    <row r="16" spans="1:7" x14ac:dyDescent="0.2">
      <c r="A16" s="22" t="s">
        <v>60</v>
      </c>
      <c r="B16" s="22" t="s">
        <v>61</v>
      </c>
      <c r="C16" s="22" t="s">
        <v>52</v>
      </c>
      <c r="D16" s="22" t="s">
        <v>62</v>
      </c>
      <c r="E16" s="22" t="s">
        <v>52</v>
      </c>
      <c r="F16" s="22" t="s">
        <v>63</v>
      </c>
      <c r="G16" s="22" t="s">
        <v>52</v>
      </c>
    </row>
    <row r="17" spans="1:7" x14ac:dyDescent="0.2">
      <c r="A17" t="str">
        <f>Словники!A12</f>
        <v>Кількість користувачів</v>
      </c>
      <c r="B17" t="s">
        <v>75</v>
      </c>
      <c r="C17">
        <f>VLOOKUP(B17,Словники!$A$13:'Словники'!$B$15,2,FALSE)</f>
        <v>1</v>
      </c>
      <c r="D17" t="s">
        <v>65</v>
      </c>
      <c r="E17">
        <f>VLOOKUP(D17,Словники!$A$19:'Словники'!$B$21,2,FALSE)</f>
        <v>1</v>
      </c>
      <c r="F17" t="s">
        <v>66</v>
      </c>
      <c r="G17">
        <f>VLOOKUP(F17,Словники!$A$25:'Словники'!$B$27,2,FALSE)</f>
        <v>1</v>
      </c>
    </row>
    <row r="18" spans="1:7" x14ac:dyDescent="0.2">
      <c r="A18" t="str">
        <f>Словники!C12</f>
        <v>Кількість послуг (бізнес-процесів)</v>
      </c>
      <c r="B18" t="s">
        <v>57</v>
      </c>
      <c r="C18">
        <f>VLOOKUP(B18,Словники!$C$13:'Словники'!$D$15,2,FALSE)</f>
        <v>1</v>
      </c>
      <c r="D18" t="s">
        <v>57</v>
      </c>
      <c r="E18">
        <f>VLOOKUP(D18,Словники!$C$19:'Словники'!$D$21,2,FALSE)</f>
        <v>1</v>
      </c>
      <c r="F18" t="s">
        <v>80</v>
      </c>
      <c r="G18">
        <f>VLOOKUP(F18,Словники!$C$25:'Словники'!$D$27,2,FALSE)</f>
        <v>1</v>
      </c>
    </row>
    <row r="19" spans="1:7" x14ac:dyDescent="0.2">
      <c r="A19" t="str">
        <f>Словники!E12</f>
        <v>Середня кількість задач для користувачів на послугу</v>
      </c>
      <c r="B19" t="s">
        <v>57</v>
      </c>
      <c r="C19">
        <f>VLOOKUP(B19,Словники!$E$13:'Словники'!$F$15,2,FALSE)</f>
        <v>1</v>
      </c>
      <c r="D19" t="s">
        <v>97</v>
      </c>
      <c r="E19">
        <f>VLOOKUP(D19,Словники!$E$19:'Словники'!$F$21,2,FALSE)</f>
        <v>1</v>
      </c>
      <c r="F19" s="26"/>
      <c r="G19" s="26"/>
    </row>
    <row r="20" spans="1:7" x14ac:dyDescent="0.2">
      <c r="A20" t="str">
        <f>Словники!G12</f>
        <v>Середня кількість автоматизованих задач на послугу</v>
      </c>
      <c r="B20" t="s">
        <v>70</v>
      </c>
      <c r="C20">
        <f>VLOOKUP(B20,Словники!$G$13:'Словники'!$H$15,2,FALSE)</f>
        <v>1</v>
      </c>
      <c r="D20" t="s">
        <v>70</v>
      </c>
      <c r="E20">
        <f>VLOOKUP(D20,Словники!$G$19:'Словники'!$H$21,2,FALSE)</f>
        <v>1</v>
      </c>
      <c r="F20" t="s">
        <v>70</v>
      </c>
      <c r="G20">
        <f>VLOOKUP(F20,Словники!$G$25:'Словники'!$H$27,2,FALSE)</f>
        <v>1</v>
      </c>
    </row>
    <row r="21" spans="1:7" x14ac:dyDescent="0.2">
      <c r="A21" t="str">
        <f>Словники!I12</f>
        <v>Кількість звітів</v>
      </c>
      <c r="B21" t="s">
        <v>57</v>
      </c>
      <c r="C21">
        <f>VLOOKUP(B21,Словники!$I$13:'Словники'!$J$15,2,FALSE)</f>
        <v>1</v>
      </c>
      <c r="D21" s="26"/>
      <c r="E21" s="26"/>
      <c r="F21" s="26"/>
      <c r="G21" s="26"/>
    </row>
    <row r="22" spans="1:7" x14ac:dyDescent="0.2">
      <c r="A22" t="str">
        <f>Словники!K12</f>
        <v>Кількість витягів</v>
      </c>
      <c r="B22" t="s">
        <v>57</v>
      </c>
      <c r="C22">
        <f>VLOOKUP(B22,Словники!$K$13:'Словники'!$L$15,2,FALSE)</f>
        <v>1</v>
      </c>
      <c r="D22" t="s">
        <v>57</v>
      </c>
      <c r="E22">
        <f>VLOOKUP(D22,Словники!$K$19:'Словники'!$L$21,2,FALSE)</f>
        <v>1</v>
      </c>
      <c r="F22" t="s">
        <v>57</v>
      </c>
      <c r="G22">
        <f>VLOOKUP(F22,Словники!$K$25:'Словники'!$L$27,2,FALSE)</f>
        <v>1</v>
      </c>
    </row>
    <row r="23" spans="1:7" x14ac:dyDescent="0.2">
      <c r="A23" t="str">
        <f>Словники!M12</f>
        <v>Кількість надаваємих послуг в місяць</v>
      </c>
      <c r="B23" s="26"/>
      <c r="C23" s="26"/>
      <c r="D23" t="s">
        <v>98</v>
      </c>
      <c r="E23">
        <f>VLOOKUP(D23,Словники!$M$19:'Словники'!$N$21,2,FALSE)</f>
        <v>1</v>
      </c>
      <c r="F23" t="s">
        <v>65</v>
      </c>
      <c r="G23">
        <f>VLOOKUP(F23,Словники!$M$25:'Словники'!$N$27,2,FALSE)</f>
        <v>1</v>
      </c>
    </row>
    <row r="24" spans="1:7" x14ac:dyDescent="0.2">
      <c r="A24" s="21"/>
      <c r="C24">
        <f>MAX(C17:C23)</f>
        <v>1</v>
      </c>
      <c r="E24">
        <f>MAX(E17:E23)</f>
        <v>1</v>
      </c>
      <c r="G24">
        <f>MAX(G17:G23)</f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39E872D2-F914-4F34-9F71-DFC6A4C37D99}">
          <x14:formula1>
            <xm:f>Словники!$A$2:$A$3</xm:f>
          </x14:formula1>
          <xm:sqref>B5</xm:sqref>
        </x14:dataValidation>
        <x14:dataValidation type="list" allowBlank="1" showInputMessage="1" showErrorMessage="1" xr:uid="{35545E50-1234-425A-8BC5-F02EB5846AB3}">
          <x14:formula1>
            <xm:f>Словники!$A$7:$A$9</xm:f>
          </x14:formula1>
          <xm:sqref>B10</xm:sqref>
        </x14:dataValidation>
        <x14:dataValidation type="list" allowBlank="1" showInputMessage="1" showErrorMessage="1" xr:uid="{C807F719-1E41-43BD-944D-1815CBE4649B}">
          <x14:formula1>
            <xm:f>Словники!$C$7:$C$9</xm:f>
          </x14:formula1>
          <xm:sqref>B11</xm:sqref>
        </x14:dataValidation>
        <x14:dataValidation type="list" allowBlank="1" showInputMessage="1" showErrorMessage="1" xr:uid="{067380C8-4946-4A11-9D76-22CF09AA4760}">
          <x14:formula1>
            <xm:f>Словники!$E$7:$E$9</xm:f>
          </x14:formula1>
          <xm:sqref>B12</xm:sqref>
        </x14:dataValidation>
        <x14:dataValidation type="list" allowBlank="1" showInputMessage="1" showErrorMessage="1" xr:uid="{AF042AF0-6136-4B12-BE22-F5F411A08D58}">
          <x14:formula1>
            <xm:f>Словники!$C$2:$C$4</xm:f>
          </x14:formula1>
          <xm:sqref>B6</xm:sqref>
        </x14:dataValidation>
        <x14:dataValidation type="list" allowBlank="1" showInputMessage="1" showErrorMessage="1" xr:uid="{19F3EC0A-528C-4249-9D6C-922C48BA02DA}">
          <x14:formula1>
            <xm:f>Словники!$A$13:$A$15</xm:f>
          </x14:formula1>
          <xm:sqref>B17</xm:sqref>
        </x14:dataValidation>
        <x14:dataValidation type="list" allowBlank="1" showInputMessage="1" showErrorMessage="1" xr:uid="{26D76C1C-BD62-484D-B1C3-F28F0649C209}">
          <x14:formula1>
            <xm:f>Словники!$C$13:$C$15</xm:f>
          </x14:formula1>
          <xm:sqref>B18</xm:sqref>
        </x14:dataValidation>
        <x14:dataValidation type="list" allowBlank="1" showInputMessage="1" showErrorMessage="1" xr:uid="{25C2ADAB-F6AB-4D54-BCDF-DD6BE6935622}">
          <x14:formula1>
            <xm:f>Словники!$E$13:$E$15</xm:f>
          </x14:formula1>
          <xm:sqref>B19</xm:sqref>
        </x14:dataValidation>
        <x14:dataValidation type="list" allowBlank="1" showInputMessage="1" showErrorMessage="1" xr:uid="{E642481E-84FB-4AFD-BA7E-D1D22A26EE83}">
          <x14:formula1>
            <xm:f>Словники!$G$13:$G$15</xm:f>
          </x14:formula1>
          <xm:sqref>B20</xm:sqref>
        </x14:dataValidation>
        <x14:dataValidation type="list" allowBlank="1" showInputMessage="1" showErrorMessage="1" xr:uid="{632C7F5F-3689-45FE-B801-6D2143173708}">
          <x14:formula1>
            <xm:f>Словники!$I$13:$I$15</xm:f>
          </x14:formula1>
          <xm:sqref>B21</xm:sqref>
        </x14:dataValidation>
        <x14:dataValidation type="list" allowBlank="1" showInputMessage="1" showErrorMessage="1" xr:uid="{4F1E241B-F048-418B-92B4-96D14D613F13}">
          <x14:formula1>
            <xm:f>Словники!$K$13:$K$15</xm:f>
          </x14:formula1>
          <xm:sqref>B22</xm:sqref>
        </x14:dataValidation>
        <x14:dataValidation type="list" allowBlank="1" showInputMessage="1" showErrorMessage="1" xr:uid="{DD73A732-76D2-431E-9A8C-D6EFA0F571AE}">
          <x14:formula1>
            <xm:f>Словники!$A$19:$A$21</xm:f>
          </x14:formula1>
          <xm:sqref>D17</xm:sqref>
        </x14:dataValidation>
        <x14:dataValidation type="list" allowBlank="1" showInputMessage="1" showErrorMessage="1" xr:uid="{69B4D525-079B-40F4-B13A-085076DF39AE}">
          <x14:formula1>
            <xm:f>Словники!$C$19:$C$21</xm:f>
          </x14:formula1>
          <xm:sqref>D18</xm:sqref>
        </x14:dataValidation>
        <x14:dataValidation type="list" allowBlank="1" showInputMessage="1" showErrorMessage="1" xr:uid="{20E85EBB-6455-4DB3-936C-37FCE144B247}">
          <x14:formula1>
            <xm:f>Словники!$E$19:$E$21</xm:f>
          </x14:formula1>
          <xm:sqref>D19</xm:sqref>
        </x14:dataValidation>
        <x14:dataValidation type="list" allowBlank="1" showInputMessage="1" showErrorMessage="1" xr:uid="{8D946534-54E5-4483-BA2F-3ED0B7DBC504}">
          <x14:formula1>
            <xm:f>Словники!$G$19:$G$21</xm:f>
          </x14:formula1>
          <xm:sqref>D20</xm:sqref>
        </x14:dataValidation>
        <x14:dataValidation type="list" allowBlank="1" showInputMessage="1" showErrorMessage="1" xr:uid="{53BAB197-7CA1-4D73-8926-1C24AD46181E}">
          <x14:formula1>
            <xm:f>Словники!$I$19:$I$21</xm:f>
          </x14:formula1>
          <xm:sqref>D21:E21 G21 B23:C23</xm:sqref>
        </x14:dataValidation>
        <x14:dataValidation type="list" allowBlank="1" showInputMessage="1" showErrorMessage="1" xr:uid="{03CCE164-1B37-4296-A2DD-0EA648DD4E13}">
          <x14:formula1>
            <xm:f>Словники!$K$19:$K$21</xm:f>
          </x14:formula1>
          <xm:sqref>D22</xm:sqref>
        </x14:dataValidation>
        <x14:dataValidation type="list" allowBlank="1" showInputMessage="1" showErrorMessage="1" xr:uid="{31E78878-73AC-491B-90DD-AED425D6F8BE}">
          <x14:formula1>
            <xm:f>Словники!$A$25:$A$27</xm:f>
          </x14:formula1>
          <xm:sqref>F17</xm:sqref>
        </x14:dataValidation>
        <x14:dataValidation type="list" allowBlank="1" showInputMessage="1" showErrorMessage="1" xr:uid="{840D8D22-A889-45D3-983F-D35524CAD48D}">
          <x14:formula1>
            <xm:f>Словники!$C$25:$C$27</xm:f>
          </x14:formula1>
          <xm:sqref>F18</xm:sqref>
        </x14:dataValidation>
        <x14:dataValidation type="list" allowBlank="1" showInputMessage="1" showErrorMessage="1" xr:uid="{A316B165-B319-435C-9AFB-B8DEF6E4F1CC}">
          <x14:formula1>
            <xm:f>Словники!$E$25:$E$27</xm:f>
          </x14:formula1>
          <xm:sqref>F19:G19</xm:sqref>
        </x14:dataValidation>
        <x14:dataValidation type="list" allowBlank="1" showInputMessage="1" showErrorMessage="1" xr:uid="{3DCE2830-B5AD-438F-BAF8-7E109283A00F}">
          <x14:formula1>
            <xm:f>Словники!$G$25:$G$27</xm:f>
          </x14:formula1>
          <xm:sqref>F20</xm:sqref>
        </x14:dataValidation>
        <x14:dataValidation type="list" allowBlank="1" showInputMessage="1" showErrorMessage="1" xr:uid="{B6F10660-1FE4-4B7B-A28D-0294EF6CAD9B}">
          <x14:formula1>
            <xm:f>Словники!$I$25:$I$27</xm:f>
          </x14:formula1>
          <xm:sqref>F21</xm:sqref>
        </x14:dataValidation>
        <x14:dataValidation type="list" allowBlank="1" showInputMessage="1" showErrorMessage="1" xr:uid="{1EF20BE0-2A0A-4121-BFB8-7949F473C9AC}">
          <x14:formula1>
            <xm:f>Словники!$K$25:$K$27</xm:f>
          </x14:formula1>
          <xm:sqref>F22</xm:sqref>
        </x14:dataValidation>
        <x14:dataValidation type="list" allowBlank="1" showInputMessage="1" showErrorMessage="1" xr:uid="{7332525D-8AB8-4083-AF9E-5AC6BC459346}">
          <x14:formula1>
            <xm:f>Словники!$M$19:$M$21</xm:f>
          </x14:formula1>
          <xm:sqref>D23</xm:sqref>
        </x14:dataValidation>
        <x14:dataValidation type="list" allowBlank="1" showInputMessage="1" showErrorMessage="1" xr:uid="{4B23E619-1FDC-4FFB-AB66-B05C3F0BC307}">
          <x14:formula1>
            <xm:f>Словники!$M$25:$M$27</xm:f>
          </x14:formula1>
          <xm:sqref>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CE02-549B-42BB-BB2B-79BD8E0A657F}">
  <dimension ref="A1:N27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7.6640625" customWidth="1"/>
    <col min="2" max="2" width="15.83203125" customWidth="1"/>
    <col min="3" max="3" width="42.83203125" bestFit="1" customWidth="1"/>
    <col min="5" max="5" width="42.6640625" customWidth="1"/>
    <col min="7" max="7" width="44.1640625" customWidth="1"/>
    <col min="9" max="9" width="15.6640625" customWidth="1"/>
    <col min="11" max="11" width="23.83203125" customWidth="1"/>
    <col min="13" max="13" width="39.6640625" customWidth="1"/>
  </cols>
  <sheetData>
    <row r="1" spans="1:14" x14ac:dyDescent="0.2">
      <c r="A1" s="22" t="s">
        <v>83</v>
      </c>
      <c r="B1" t="s">
        <v>52</v>
      </c>
      <c r="C1" s="22" t="s">
        <v>84</v>
      </c>
      <c r="D1" t="s">
        <v>52</v>
      </c>
    </row>
    <row r="2" spans="1:14" x14ac:dyDescent="0.2">
      <c r="A2" t="s">
        <v>76</v>
      </c>
      <c r="B2">
        <v>4</v>
      </c>
      <c r="C2" t="s">
        <v>77</v>
      </c>
      <c r="D2">
        <v>1</v>
      </c>
    </row>
    <row r="3" spans="1:14" x14ac:dyDescent="0.2">
      <c r="A3" t="s">
        <v>53</v>
      </c>
      <c r="B3" s="23">
        <v>2</v>
      </c>
      <c r="C3" t="s">
        <v>74</v>
      </c>
      <c r="D3" s="23">
        <f>240/720</f>
        <v>0.33333333333333331</v>
      </c>
    </row>
    <row r="4" spans="1:14" x14ac:dyDescent="0.2">
      <c r="C4" t="s">
        <v>54</v>
      </c>
      <c r="D4">
        <v>0.5</v>
      </c>
    </row>
    <row r="6" spans="1:14" x14ac:dyDescent="0.2">
      <c r="A6" s="22" t="s">
        <v>85</v>
      </c>
      <c r="B6" t="s">
        <v>52</v>
      </c>
      <c r="C6" s="22" t="s">
        <v>86</v>
      </c>
      <c r="D6" t="s">
        <v>52</v>
      </c>
      <c r="E6" s="22" t="s">
        <v>87</v>
      </c>
      <c r="F6" t="s">
        <v>52</v>
      </c>
    </row>
    <row r="7" spans="1:14" x14ac:dyDescent="0.2">
      <c r="A7" t="s">
        <v>57</v>
      </c>
      <c r="B7">
        <v>1</v>
      </c>
      <c r="C7" t="s">
        <v>58</v>
      </c>
      <c r="D7">
        <v>1</v>
      </c>
      <c r="E7" t="s">
        <v>59</v>
      </c>
      <c r="F7">
        <v>1</v>
      </c>
    </row>
    <row r="8" spans="1:14" x14ac:dyDescent="0.2">
      <c r="A8" s="24" t="s">
        <v>67</v>
      </c>
      <c r="B8">
        <v>1.2</v>
      </c>
      <c r="C8" s="23" t="s">
        <v>78</v>
      </c>
      <c r="D8">
        <v>1.2</v>
      </c>
      <c r="E8" s="23" t="s">
        <v>79</v>
      </c>
      <c r="F8">
        <v>1.5</v>
      </c>
    </row>
    <row r="9" spans="1:14" x14ac:dyDescent="0.2">
      <c r="A9" t="s">
        <v>72</v>
      </c>
      <c r="B9">
        <v>1.5</v>
      </c>
      <c r="C9" t="s">
        <v>88</v>
      </c>
      <c r="D9">
        <v>1.5</v>
      </c>
      <c r="E9" t="s">
        <v>82</v>
      </c>
      <c r="F9">
        <v>3</v>
      </c>
    </row>
    <row r="11" spans="1:14" x14ac:dyDescent="0.2">
      <c r="A11" s="22" t="s">
        <v>61</v>
      </c>
    </row>
    <row r="12" spans="1:14" x14ac:dyDescent="0.2">
      <c r="A12" s="22" t="s">
        <v>89</v>
      </c>
      <c r="B12" t="s">
        <v>52</v>
      </c>
      <c r="C12" s="22" t="s">
        <v>90</v>
      </c>
      <c r="D12" t="s">
        <v>52</v>
      </c>
      <c r="E12" s="22" t="s">
        <v>91</v>
      </c>
      <c r="F12" t="s">
        <v>52</v>
      </c>
      <c r="G12" s="22" t="s">
        <v>92</v>
      </c>
      <c r="H12" t="s">
        <v>52</v>
      </c>
      <c r="I12" s="22" t="s">
        <v>93</v>
      </c>
      <c r="J12" t="s">
        <v>52</v>
      </c>
      <c r="K12" s="22" t="s">
        <v>94</v>
      </c>
      <c r="L12" t="s">
        <v>52</v>
      </c>
      <c r="M12" s="22" t="s">
        <v>95</v>
      </c>
      <c r="N12" t="s">
        <v>52</v>
      </c>
    </row>
    <row r="13" spans="1:14" x14ac:dyDescent="0.2">
      <c r="A13" t="s">
        <v>75</v>
      </c>
      <c r="B13">
        <v>1</v>
      </c>
      <c r="C13" t="s">
        <v>57</v>
      </c>
      <c r="D13">
        <v>1</v>
      </c>
      <c r="E13" t="s">
        <v>57</v>
      </c>
      <c r="F13">
        <v>1</v>
      </c>
      <c r="G13" t="s">
        <v>70</v>
      </c>
      <c r="H13">
        <v>1</v>
      </c>
      <c r="I13" t="s">
        <v>57</v>
      </c>
      <c r="J13">
        <v>1</v>
      </c>
      <c r="K13" t="s">
        <v>57</v>
      </c>
      <c r="L13">
        <v>1</v>
      </c>
    </row>
    <row r="14" spans="1:14" x14ac:dyDescent="0.2">
      <c r="A14" s="24" t="s">
        <v>64</v>
      </c>
      <c r="B14">
        <v>5</v>
      </c>
      <c r="C14" s="24" t="s">
        <v>67</v>
      </c>
      <c r="D14">
        <v>1.5</v>
      </c>
      <c r="E14" s="24" t="s">
        <v>81</v>
      </c>
      <c r="F14">
        <v>2</v>
      </c>
      <c r="G14" s="24" t="s">
        <v>71</v>
      </c>
      <c r="H14">
        <v>2</v>
      </c>
      <c r="I14" s="24" t="s">
        <v>67</v>
      </c>
      <c r="J14">
        <v>1.5</v>
      </c>
      <c r="K14" s="24" t="s">
        <v>67</v>
      </c>
      <c r="L14">
        <v>1.5</v>
      </c>
    </row>
    <row r="15" spans="1:14" x14ac:dyDescent="0.2">
      <c r="A15" t="s">
        <v>96</v>
      </c>
      <c r="B15">
        <v>8</v>
      </c>
      <c r="C15" t="s">
        <v>72</v>
      </c>
      <c r="D15">
        <v>2</v>
      </c>
      <c r="E15" t="s">
        <v>68</v>
      </c>
      <c r="F15">
        <v>3</v>
      </c>
      <c r="G15" t="s">
        <v>82</v>
      </c>
      <c r="H15">
        <v>3</v>
      </c>
      <c r="I15" t="s">
        <v>72</v>
      </c>
      <c r="J15">
        <v>2</v>
      </c>
      <c r="K15" t="s">
        <v>72</v>
      </c>
      <c r="L15">
        <v>2</v>
      </c>
    </row>
    <row r="17" spans="1:14" x14ac:dyDescent="0.2">
      <c r="A17" s="22" t="s">
        <v>62</v>
      </c>
    </row>
    <row r="18" spans="1:14" x14ac:dyDescent="0.2">
      <c r="A18" s="22" t="s">
        <v>89</v>
      </c>
      <c r="B18" t="s">
        <v>52</v>
      </c>
      <c r="C18" s="22" t="s">
        <v>90</v>
      </c>
      <c r="D18" t="s">
        <v>52</v>
      </c>
      <c r="E18" s="22" t="s">
        <v>91</v>
      </c>
      <c r="F18" t="s">
        <v>52</v>
      </c>
      <c r="G18" s="22" t="s">
        <v>92</v>
      </c>
      <c r="H18" t="s">
        <v>52</v>
      </c>
      <c r="I18" s="22" t="s">
        <v>93</v>
      </c>
      <c r="J18" t="s">
        <v>52</v>
      </c>
      <c r="K18" s="22" t="s">
        <v>94</v>
      </c>
      <c r="L18" t="s">
        <v>52</v>
      </c>
      <c r="M18" s="22" t="s">
        <v>95</v>
      </c>
      <c r="N18" t="s">
        <v>52</v>
      </c>
    </row>
    <row r="19" spans="1:14" x14ac:dyDescent="0.2">
      <c r="A19" t="s">
        <v>65</v>
      </c>
      <c r="B19">
        <v>1</v>
      </c>
      <c r="C19" t="s">
        <v>57</v>
      </c>
      <c r="D19">
        <v>1</v>
      </c>
      <c r="E19" t="s">
        <v>97</v>
      </c>
      <c r="F19">
        <v>1</v>
      </c>
      <c r="G19" t="s">
        <v>70</v>
      </c>
      <c r="H19">
        <v>1</v>
      </c>
      <c r="K19" t="s">
        <v>57</v>
      </c>
      <c r="L19">
        <v>1</v>
      </c>
      <c r="M19" t="s">
        <v>98</v>
      </c>
      <c r="N19">
        <v>1</v>
      </c>
    </row>
    <row r="20" spans="1:14" x14ac:dyDescent="0.2">
      <c r="A20" s="24" t="s">
        <v>99</v>
      </c>
      <c r="B20">
        <v>5</v>
      </c>
      <c r="C20" s="24" t="s">
        <v>67</v>
      </c>
      <c r="D20">
        <v>1.5</v>
      </c>
      <c r="E20" s="24" t="s">
        <v>69</v>
      </c>
      <c r="F20">
        <v>2</v>
      </c>
      <c r="G20" s="24" t="s">
        <v>71</v>
      </c>
      <c r="H20">
        <v>2</v>
      </c>
      <c r="I20" s="24"/>
      <c r="K20" s="24" t="s">
        <v>67</v>
      </c>
      <c r="L20">
        <v>1.5</v>
      </c>
      <c r="M20" s="24" t="s">
        <v>73</v>
      </c>
      <c r="N20">
        <v>2</v>
      </c>
    </row>
    <row r="21" spans="1:14" x14ac:dyDescent="0.2">
      <c r="A21" t="s">
        <v>100</v>
      </c>
      <c r="B21">
        <v>8</v>
      </c>
      <c r="C21" t="s">
        <v>72</v>
      </c>
      <c r="D21">
        <v>2</v>
      </c>
      <c r="E21" t="s">
        <v>101</v>
      </c>
      <c r="F21">
        <v>3</v>
      </c>
      <c r="G21" t="s">
        <v>82</v>
      </c>
      <c r="H21">
        <v>3</v>
      </c>
      <c r="K21" t="s">
        <v>72</v>
      </c>
      <c r="L21">
        <v>2</v>
      </c>
      <c r="M21" t="s">
        <v>102</v>
      </c>
      <c r="N21">
        <v>5</v>
      </c>
    </row>
    <row r="23" spans="1:14" x14ac:dyDescent="0.2">
      <c r="A23" s="22" t="s">
        <v>63</v>
      </c>
    </row>
    <row r="24" spans="1:14" x14ac:dyDescent="0.2">
      <c r="A24" s="22" t="s">
        <v>89</v>
      </c>
      <c r="B24" t="s">
        <v>52</v>
      </c>
      <c r="C24" s="22" t="s">
        <v>90</v>
      </c>
      <c r="D24" t="s">
        <v>52</v>
      </c>
      <c r="E24" s="22" t="s">
        <v>91</v>
      </c>
      <c r="F24" t="s">
        <v>52</v>
      </c>
      <c r="G24" s="22" t="s">
        <v>92</v>
      </c>
      <c r="H24" t="s">
        <v>52</v>
      </c>
      <c r="I24" s="22" t="s">
        <v>93</v>
      </c>
      <c r="J24" t="s">
        <v>52</v>
      </c>
      <c r="K24" s="22" t="s">
        <v>94</v>
      </c>
      <c r="L24" t="s">
        <v>52</v>
      </c>
      <c r="M24" s="22" t="s">
        <v>95</v>
      </c>
      <c r="N24" t="s">
        <v>52</v>
      </c>
    </row>
    <row r="25" spans="1:14" x14ac:dyDescent="0.2">
      <c r="A25" t="s">
        <v>66</v>
      </c>
      <c r="B25">
        <v>1</v>
      </c>
      <c r="C25" t="s">
        <v>80</v>
      </c>
      <c r="D25">
        <v>1</v>
      </c>
      <c r="G25" t="s">
        <v>70</v>
      </c>
      <c r="H25">
        <v>1</v>
      </c>
      <c r="I25" t="s">
        <v>57</v>
      </c>
      <c r="J25">
        <v>1</v>
      </c>
      <c r="K25" t="s">
        <v>57</v>
      </c>
      <c r="L25">
        <v>1</v>
      </c>
      <c r="M25" t="s">
        <v>65</v>
      </c>
      <c r="N25">
        <v>1</v>
      </c>
    </row>
    <row r="26" spans="1:14" x14ac:dyDescent="0.2">
      <c r="A26" s="24" t="s">
        <v>103</v>
      </c>
      <c r="B26">
        <v>5</v>
      </c>
      <c r="C26" s="24" t="s">
        <v>104</v>
      </c>
      <c r="D26">
        <v>2</v>
      </c>
      <c r="E26" s="24"/>
      <c r="G26" s="24" t="s">
        <v>71</v>
      </c>
      <c r="H26">
        <v>2</v>
      </c>
      <c r="I26" s="24" t="s">
        <v>67</v>
      </c>
      <c r="J26">
        <v>1.5</v>
      </c>
      <c r="K26" s="24" t="s">
        <v>67</v>
      </c>
      <c r="L26">
        <v>2</v>
      </c>
      <c r="M26" s="24" t="s">
        <v>105</v>
      </c>
      <c r="N26">
        <v>2</v>
      </c>
    </row>
    <row r="27" spans="1:14" x14ac:dyDescent="0.2">
      <c r="A27" t="s">
        <v>106</v>
      </c>
      <c r="B27">
        <v>8</v>
      </c>
      <c r="C27" t="s">
        <v>68</v>
      </c>
      <c r="D27">
        <v>4</v>
      </c>
      <c r="G27" t="s">
        <v>82</v>
      </c>
      <c r="H27">
        <v>4</v>
      </c>
      <c r="I27" t="s">
        <v>72</v>
      </c>
      <c r="J27">
        <v>2</v>
      </c>
      <c r="K27" t="s">
        <v>72</v>
      </c>
      <c r="L27">
        <v>4</v>
      </c>
      <c r="M27" t="s">
        <v>107</v>
      </c>
      <c r="N27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14AB35D24274D94E93A0CCD2DBC5F" ma:contentTypeVersion="19" ma:contentTypeDescription="Create a new document." ma:contentTypeScope="" ma:versionID="3febe1d67782b5c77e50c43cf0e433a2">
  <xsd:schema xmlns:xsd="http://www.w3.org/2001/XMLSchema" xmlns:xs="http://www.w3.org/2001/XMLSchema" xmlns:p="http://schemas.microsoft.com/office/2006/metadata/properties" xmlns:ns2="346a80a9-3278-4844-b436-58ae57568790" xmlns:ns3="a2d094e0-efa8-4820-a0b3-29af30f3c512" targetNamespace="http://schemas.microsoft.com/office/2006/metadata/properties" ma:root="true" ma:fieldsID="a828650ea744d4614f15fd37c541cd95" ns2:_="" ns3:_="">
    <xsd:import namespace="346a80a9-3278-4844-b436-58ae57568790"/>
    <xsd:import namespace="a2d094e0-efa8-4820-a0b3-29af30f3c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Capability_x0020_name"/>
                <xsd:element ref="ns2:Relea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a80a9-3278-4844-b436-58ae5756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apability_x0020_name" ma:index="24" ma:displayName="Oneliner name" ma:format="Dropdown" ma:internalName="Capability_x0020_name">
      <xsd:simpleType>
        <xsd:restriction base="dms:Text">
          <xsd:maxLength value="255"/>
        </xsd:restriction>
      </xsd:simpleType>
    </xsd:element>
    <xsd:element name="Release" ma:index="25" nillable="true" ma:displayName="Release" ma:format="Dropdown" ma:internalName="Relea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094e0-efa8-4820-a0b3-29af30f3c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c9a279-68d4-4c46-9b68-594ad6ec84aa}" ma:internalName="TaxCatchAll" ma:showField="CatchAllData" ma:web="a2d094e0-efa8-4820-a0b3-29af30f3c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6a80a9-3278-4844-b436-58ae57568790">
      <Terms xmlns="http://schemas.microsoft.com/office/infopath/2007/PartnerControls"/>
    </lcf76f155ced4ddcb4097134ff3c332f>
    <TaxCatchAll xmlns="a2d094e0-efa8-4820-a0b3-29af30f3c512" xsi:nil="true"/>
    <SharedWithUsers xmlns="a2d094e0-efa8-4820-a0b3-29af30f3c512">
      <UserInfo>
        <DisplayName>Vitalii Fedorenko</DisplayName>
        <AccountId>158</AccountId>
        <AccountType/>
      </UserInfo>
      <UserInfo>
        <DisplayName>Oleksandr Zakusylo</DisplayName>
        <AccountId>159</AccountId>
        <AccountType/>
      </UserInfo>
    </SharedWithUsers>
    <Capability_x0020_name xmlns="346a80a9-3278-4844-b436-58ae57568790"/>
    <Release xmlns="346a80a9-3278-4844-b436-58ae57568790" xsi:nil="true"/>
  </documentManagement>
</p:properties>
</file>

<file path=customXml/itemProps1.xml><?xml version="1.0" encoding="utf-8"?>
<ds:datastoreItem xmlns:ds="http://schemas.openxmlformats.org/officeDocument/2006/customXml" ds:itemID="{D39A1E4B-89AB-4EF2-84C8-5084CDAB4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a80a9-3278-4844-b436-58ae57568790"/>
    <ds:schemaRef ds:uri="a2d094e0-efa8-4820-a0b3-29af30f3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FEC7CF-4815-42BA-A053-9D2F9AB7FD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63066-8CBD-4D6F-8835-7EB8A1E12EC9}">
  <ds:schemaRefs>
    <ds:schemaRef ds:uri="http://schemas.microsoft.com/office/2006/metadata/properties"/>
    <ds:schemaRef ds:uri="http://schemas.microsoft.com/office/infopath/2007/PartnerControls"/>
    <ds:schemaRef ds:uri="346a80a9-3278-4844-b436-58ae57568790"/>
    <ds:schemaRef ds:uri="a2d094e0-efa8-4820-a0b3-29af30f3c5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Калькулятор вартості</vt:lpstr>
      <vt:lpstr>Вибір розміру реєстру</vt:lpstr>
      <vt:lpstr>Словники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Maksym Kharchenko</cp:lastModifiedBy>
  <cp:revision/>
  <dcterms:created xsi:type="dcterms:W3CDTF">2022-06-10T10:00:46Z</dcterms:created>
  <dcterms:modified xsi:type="dcterms:W3CDTF">2023-04-12T12:49:44Z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0x01010022314AB35D24274D94E93A0CCD2DBC5F</vt:lpwstr>
  </property>
  <property fmtid="{D5CDD505-2E9C-101B-9397-08002B2CF9AE}" pid="3" name="MediaServiceImageTags">
    <vt:lpwstr/>
  </property>
</Properties>
</file>