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PesticideData/"/>
    </mc:Choice>
  </mc:AlternateContent>
  <xr:revisionPtr revIDLastSave="459" documentId="8_{728864B1-7912-4B27-8F6C-A3D64A17F34B}" xr6:coauthVersionLast="47" xr6:coauthVersionMax="47" xr10:uidLastSave="{19224C56-EFED-455C-857F-A7484E433874}"/>
  <bookViews>
    <workbookView xWindow="-110" yWindow="-110" windowWidth="19420" windowHeight="10300" firstSheet="1" activeTab="5" xr2:uid="{B93366EB-D23A-4D9D-9E23-C4C1C9606DA6}"/>
  </bookViews>
  <sheets>
    <sheet name="Plant_UptakeHerbVariables" sheetId="2" r:id="rId1"/>
    <sheet name="Plant_UptakeVegetationVariables" sheetId="6" r:id="rId2"/>
    <sheet name="Soil_DissVariables" sheetId="8" r:id="rId3"/>
    <sheet name="LAI Values" sheetId="9" r:id="rId4"/>
    <sheet name="note" sheetId="7" r:id="rId5"/>
    <sheet name="coeffici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" i="10" l="1"/>
  <c r="AL12" i="10" s="1"/>
  <c r="AJ12" i="10"/>
  <c r="AI12" i="10"/>
  <c r="AH12" i="10"/>
  <c r="X12" i="10"/>
  <c r="AB12" i="10" s="1"/>
  <c r="O12" i="10"/>
  <c r="M12" i="10"/>
  <c r="P12" i="10" s="1"/>
  <c r="L12" i="10"/>
  <c r="K12" i="10"/>
  <c r="I12" i="10"/>
  <c r="AM12" i="10" s="1"/>
  <c r="G12" i="10"/>
  <c r="F12" i="10"/>
  <c r="AK11" i="10"/>
  <c r="AL11" i="10" s="1"/>
  <c r="AJ11" i="10"/>
  <c r="AI11" i="10"/>
  <c r="AH11" i="10"/>
  <c r="AB11" i="10"/>
  <c r="X11" i="10"/>
  <c r="O11" i="10"/>
  <c r="L11" i="10"/>
  <c r="M11" i="10" s="1"/>
  <c r="P11" i="10" s="1"/>
  <c r="K11" i="10"/>
  <c r="I11" i="10"/>
  <c r="AM11" i="10" s="1"/>
  <c r="G11" i="10"/>
  <c r="F11" i="10"/>
  <c r="AM10" i="10"/>
  <c r="AL10" i="10"/>
  <c r="AK10" i="10"/>
  <c r="AJ10" i="10"/>
  <c r="AI10" i="10"/>
  <c r="AH10" i="10"/>
  <c r="AB10" i="10"/>
  <c r="X10" i="10"/>
  <c r="O10" i="10"/>
  <c r="L10" i="10"/>
  <c r="M10" i="10" s="1"/>
  <c r="P10" i="10" s="1"/>
  <c r="K10" i="10"/>
  <c r="I10" i="10"/>
  <c r="G10" i="10"/>
  <c r="F10" i="10"/>
  <c r="AM9" i="10"/>
  <c r="AK9" i="10"/>
  <c r="AJ9" i="10"/>
  <c r="AI9" i="10"/>
  <c r="AH9" i="10"/>
  <c r="X9" i="10"/>
  <c r="AB9" i="10" s="1"/>
  <c r="O9" i="10"/>
  <c r="AL9" i="10" s="1"/>
  <c r="M9" i="10"/>
  <c r="P9" i="10" s="1"/>
  <c r="L9" i="10"/>
  <c r="K9" i="10"/>
  <c r="I9" i="10"/>
  <c r="G9" i="10"/>
  <c r="F9" i="10"/>
  <c r="AK8" i="10"/>
  <c r="AL8" i="10" s="1"/>
  <c r="AJ8" i="10"/>
  <c r="AI8" i="10"/>
  <c r="AH8" i="10"/>
  <c r="X8" i="10"/>
  <c r="AB8" i="10" s="1"/>
  <c r="O8" i="10"/>
  <c r="M8" i="10"/>
  <c r="P8" i="10" s="1"/>
  <c r="L8" i="10"/>
  <c r="K8" i="10"/>
  <c r="I8" i="10"/>
  <c r="AM8" i="10" s="1"/>
  <c r="G8" i="10"/>
  <c r="F8" i="10"/>
  <c r="AK7" i="10"/>
  <c r="AL7" i="10" s="1"/>
  <c r="AJ7" i="10"/>
  <c r="AI7" i="10"/>
  <c r="AH7" i="10"/>
  <c r="X7" i="10"/>
  <c r="AB7" i="10" s="1"/>
  <c r="O7" i="10"/>
  <c r="L7" i="10"/>
  <c r="M7" i="10" s="1"/>
  <c r="P7" i="10" s="1"/>
  <c r="K7" i="10"/>
  <c r="I7" i="10"/>
  <c r="AM7" i="10" s="1"/>
  <c r="G7" i="10"/>
  <c r="F7" i="10"/>
  <c r="AM6" i="10"/>
  <c r="AK6" i="10"/>
  <c r="AL6" i="10" s="1"/>
  <c r="AJ6" i="10"/>
  <c r="AI6" i="10"/>
  <c r="AH6" i="10"/>
  <c r="AB6" i="10"/>
  <c r="X6" i="10"/>
  <c r="O6" i="10"/>
  <c r="M6" i="10"/>
  <c r="P6" i="10" s="1"/>
  <c r="L6" i="10"/>
  <c r="K6" i="10"/>
  <c r="I6" i="10"/>
  <c r="G6" i="10"/>
  <c r="F6" i="10"/>
  <c r="Q6" i="10" l="1"/>
  <c r="AE6" i="10"/>
  <c r="AC6" i="10"/>
  <c r="AF6" i="10" s="1"/>
  <c r="AE8" i="10"/>
  <c r="AC8" i="10"/>
  <c r="Q8" i="10"/>
  <c r="AD8" i="10" s="1"/>
  <c r="AD6" i="10"/>
  <c r="AC12" i="10"/>
  <c r="AF12" i="10" s="1"/>
  <c r="Q12" i="10"/>
  <c r="AE12" i="10"/>
  <c r="AC11" i="10"/>
  <c r="AF11" i="10" s="1"/>
  <c r="Q11" i="10"/>
  <c r="AE11" i="10"/>
  <c r="AE7" i="10"/>
  <c r="AC7" i="10"/>
  <c r="AF7" i="10" s="1"/>
  <c r="Q7" i="10"/>
  <c r="AD7" i="10" s="1"/>
  <c r="AE10" i="10"/>
  <c r="AC10" i="10"/>
  <c r="AF10" i="10" s="1"/>
  <c r="Q10" i="10"/>
  <c r="AD10" i="10" s="1"/>
  <c r="AE9" i="10"/>
  <c r="AC9" i="10"/>
  <c r="AF9" i="10" s="1"/>
  <c r="Q9" i="10"/>
  <c r="AD9" i="10" s="1"/>
  <c r="AD12" i="10"/>
  <c r="AD11" i="10"/>
  <c r="AR9" i="10" l="1"/>
  <c r="AV9" i="10" s="1"/>
  <c r="AR7" i="10"/>
  <c r="AV7" i="10" s="1"/>
  <c r="AQ7" i="10"/>
  <c r="AU7" i="10" s="1"/>
  <c r="AO7" i="10"/>
  <c r="AP7" i="10"/>
  <c r="AT7" i="10" s="1"/>
  <c r="AF8" i="10"/>
  <c r="AR12" i="10"/>
  <c r="AV12" i="10" s="1"/>
  <c r="AP12" i="10"/>
  <c r="AT12" i="10" s="1"/>
  <c r="AO12" i="10"/>
  <c r="AR11" i="10"/>
  <c r="AV11" i="10" s="1"/>
  <c r="AP11" i="10"/>
  <c r="AT11" i="10" s="1"/>
  <c r="AR6" i="10"/>
  <c r="AV6" i="10" s="1"/>
  <c r="AP6" i="10"/>
  <c r="AT6" i="10" s="1"/>
  <c r="AP9" i="10"/>
  <c r="AT9" i="10" s="1"/>
  <c r="AR10" i="10"/>
  <c r="AV10" i="10" s="1"/>
  <c r="AO10" i="10"/>
  <c r="AQ10" i="10"/>
  <c r="AU10" i="10" s="1"/>
  <c r="AP10" i="10"/>
  <c r="AT10" i="10" s="1"/>
  <c r="AO6" i="10"/>
  <c r="AO9" i="10"/>
  <c r="AQ9" i="10"/>
  <c r="AU9" i="10" s="1"/>
  <c r="AQ6" i="10"/>
  <c r="AU6" i="10" s="1"/>
  <c r="AO11" i="10" l="1"/>
  <c r="AQ11" i="10"/>
  <c r="AU11" i="10" s="1"/>
  <c r="AR8" i="10"/>
  <c r="AV8" i="10" s="1"/>
  <c r="AQ8" i="10"/>
  <c r="AU8" i="10" s="1"/>
  <c r="AP8" i="10"/>
  <c r="AT8" i="10" s="1"/>
  <c r="AO8" i="10"/>
  <c r="AQ12" i="10"/>
  <c r="AU12" i="10" s="1"/>
  <c r="D8" i="2" l="1"/>
</calcChain>
</file>

<file path=xl/sharedStrings.xml><?xml version="1.0" encoding="utf-8"?>
<sst xmlns="http://schemas.openxmlformats.org/spreadsheetml/2006/main" count="442" uniqueCount="213">
  <si>
    <t>Variables</t>
  </si>
  <si>
    <t>Units</t>
  </si>
  <si>
    <t>Values</t>
  </si>
  <si>
    <t>References</t>
  </si>
  <si>
    <t>Depth of surface soil</t>
  </si>
  <si>
    <t>m</t>
  </si>
  <si>
    <t>Area of a single leaf</t>
  </si>
  <si>
    <t>m2</t>
  </si>
  <si>
    <t>Mass of a single leaf</t>
  </si>
  <si>
    <t>Transpiration rate coefficient</t>
  </si>
  <si>
    <t>Bulk density soil</t>
  </si>
  <si>
    <t>kg/L</t>
  </si>
  <si>
    <t xml:space="preserve">Generic </t>
  </si>
  <si>
    <t>Hsoil</t>
  </si>
  <si>
    <t>ρsoil</t>
  </si>
  <si>
    <t xml:space="preserve">Default </t>
  </si>
  <si>
    <t>Aleaf</t>
  </si>
  <si>
    <t>Mleaf</t>
  </si>
  <si>
    <t>Notes</t>
  </si>
  <si>
    <t>η</t>
  </si>
  <si>
    <t>L/m2/d</t>
  </si>
  <si>
    <t>LAI</t>
  </si>
  <si>
    <t>LMA</t>
  </si>
  <si>
    <t>Leaf mass per area</t>
  </si>
  <si>
    <t>kg/m2</t>
  </si>
  <si>
    <t>m2/m2</t>
  </si>
  <si>
    <t>reciprocal of average SLA</t>
  </si>
  <si>
    <t>https://www.crops.org/files/publications/nse/pdfs/jnr001/001-01-0024.pdf</t>
  </si>
  <si>
    <t>Avg of mass</t>
  </si>
  <si>
    <t>same as Li et al. 2023</t>
  </si>
  <si>
    <t>Li et al. 2023</t>
  </si>
  <si>
    <t>kg</t>
  </si>
  <si>
    <t>Area/Mass</t>
  </si>
  <si>
    <t>Lleaf</t>
  </si>
  <si>
    <t>Thickness of leaf</t>
  </si>
  <si>
    <t>For all variables except grass, I chose to use the cotton variables from Li et al. 2023</t>
  </si>
  <si>
    <t xml:space="preserve">For grass, I looked for literature variables more appropriate for herbaceous land cover; but for all other variables, cotton was defensible </t>
  </si>
  <si>
    <t>Mass fraction of residues on soil after application</t>
  </si>
  <si>
    <t>fsoil</t>
  </si>
  <si>
    <t>unitless</t>
  </si>
  <si>
    <t>Mass fraction of residues on leaf surfaces after application</t>
  </si>
  <si>
    <t>fsurface</t>
  </si>
  <si>
    <t>Water content of leaf</t>
  </si>
  <si>
    <t>kg/kg</t>
  </si>
  <si>
    <t>Lipid content of leaf</t>
  </si>
  <si>
    <t>Carb content of leaf</t>
  </si>
  <si>
    <t>Water content of nectar</t>
  </si>
  <si>
    <t>Lipid content of nectar</t>
  </si>
  <si>
    <t>wleaf</t>
  </si>
  <si>
    <t>lipnect</t>
  </si>
  <si>
    <t>Carb content of nectar</t>
  </si>
  <si>
    <t>carbleaf</t>
  </si>
  <si>
    <t>lipleaf</t>
  </si>
  <si>
    <t>carbnect</t>
  </si>
  <si>
    <t>Water content of pollen</t>
  </si>
  <si>
    <t>Lipid content of pollen</t>
  </si>
  <si>
    <t>Carb content of pollen</t>
  </si>
  <si>
    <t>lippoll</t>
  </si>
  <si>
    <t>carbpoll</t>
  </si>
  <si>
    <t>wnect</t>
  </si>
  <si>
    <t>wpoll</t>
  </si>
  <si>
    <t>Volumetric fraction of organic matter in soil</t>
  </si>
  <si>
    <t>Volumetric fraction of water in soil</t>
  </si>
  <si>
    <t>Volumetric fraction of air in soil</t>
  </si>
  <si>
    <t>foc</t>
  </si>
  <si>
    <t>fwater</t>
  </si>
  <si>
    <t>fair</t>
  </si>
  <si>
    <t>Density of dry soil</t>
  </si>
  <si>
    <t>Density of wet soil</t>
  </si>
  <si>
    <t>Density of leaf</t>
  </si>
  <si>
    <t>Density of water</t>
  </si>
  <si>
    <t>Density of octanol</t>
  </si>
  <si>
    <t>Gas conductance</t>
  </si>
  <si>
    <t>ρsoildry</t>
  </si>
  <si>
    <t>ρsoilwet</t>
  </si>
  <si>
    <t>ρleaf</t>
  </si>
  <si>
    <t>ρwater</t>
  </si>
  <si>
    <t>ρoctanol</t>
  </si>
  <si>
    <t>g</t>
  </si>
  <si>
    <t>m/d</t>
  </si>
  <si>
    <t>Duration between insecticide application and flowering stage</t>
  </si>
  <si>
    <t>tf</t>
  </si>
  <si>
    <t>d</t>
  </si>
  <si>
    <t>Durration between insecticide application and harvest</t>
  </si>
  <si>
    <t>th</t>
  </si>
  <si>
    <t>*</t>
  </si>
  <si>
    <t>Modified by LC?</t>
  </si>
  <si>
    <t>Elimination rate constant via dilution (plant growth)</t>
  </si>
  <si>
    <t>Kel</t>
  </si>
  <si>
    <t>Unit conversion factor</t>
  </si>
  <si>
    <t>mg/kg per m2/ha</t>
  </si>
  <si>
    <t>c1</t>
  </si>
  <si>
    <t>c2</t>
  </si>
  <si>
    <t>L/m3</t>
  </si>
  <si>
    <t>Calculated</t>
  </si>
  <si>
    <t>NA</t>
  </si>
  <si>
    <t>Soil temperature</t>
  </si>
  <si>
    <t>Gas constant</t>
  </si>
  <si>
    <t>Activation energy</t>
  </si>
  <si>
    <t>Average rainfall intensity</t>
  </si>
  <si>
    <t>Effective diffusion in air</t>
  </si>
  <si>
    <t>Tsoil</t>
  </si>
  <si>
    <t>R</t>
  </si>
  <si>
    <t>Ea</t>
  </si>
  <si>
    <t>I</t>
  </si>
  <si>
    <t>K</t>
  </si>
  <si>
    <t>In ref. state</t>
  </si>
  <si>
    <t>Default</t>
  </si>
  <si>
    <t>kJ/mol</t>
  </si>
  <si>
    <t>kJ/mol/K</t>
  </si>
  <si>
    <t>For plant uptake:</t>
  </si>
  <si>
    <t>Class specific</t>
  </si>
  <si>
    <t>Yang et al. 2021 too complicated</t>
  </si>
  <si>
    <t>From review of values, see folder</t>
  </si>
  <si>
    <t>Class</t>
  </si>
  <si>
    <t>Mean</t>
  </si>
  <si>
    <t>Wetlands</t>
  </si>
  <si>
    <t>Woody Wetlands</t>
  </si>
  <si>
    <t>Emergent Wetlands</t>
  </si>
  <si>
    <t>Developed, Open Space</t>
  </si>
  <si>
    <t>Developed, Low Intensity</t>
  </si>
  <si>
    <t>Developed, Medium Intensity</t>
  </si>
  <si>
    <t>Developed, High Intensity</t>
  </si>
  <si>
    <t>Barren</t>
  </si>
  <si>
    <t>Deciduous Forest</t>
  </si>
  <si>
    <t>Evergreen Forest</t>
  </si>
  <si>
    <t>Mixed Forest</t>
  </si>
  <si>
    <t>Shrub/Scrub</t>
  </si>
  <si>
    <t>Grassland/Herbaceous</t>
  </si>
  <si>
    <t>Pasture/Hay</t>
  </si>
  <si>
    <t>Cultivated Crops</t>
  </si>
  <si>
    <t>TeDBL</t>
  </si>
  <si>
    <t>TeENL</t>
  </si>
  <si>
    <t>TeEBL</t>
  </si>
  <si>
    <t>Shrub</t>
  </si>
  <si>
    <t>Grassland</t>
  </si>
  <si>
    <t>Crops</t>
  </si>
  <si>
    <t>LAI Source</t>
  </si>
  <si>
    <t>Variability analysis (default values used)</t>
    <phoneticPr fontId="0" type="noConversion"/>
  </si>
  <si>
    <t>Tempreture</t>
    <phoneticPr fontId="0" type="noConversion"/>
  </si>
  <si>
    <t>Relative humidity</t>
    <phoneticPr fontId="0" type="noConversion"/>
  </si>
  <si>
    <t>Rainfall intensity</t>
    <phoneticPr fontId="0" type="noConversion"/>
  </si>
  <si>
    <t>Variability analysis 2</t>
    <phoneticPr fontId="0" type="noConversion"/>
  </si>
  <si>
    <t>Dissipation half-life RL50</t>
    <phoneticPr fontId="0" type="noConversion"/>
  </si>
  <si>
    <t>Nectar-leaf</t>
    <phoneticPr fontId="0" type="noConversion"/>
  </si>
  <si>
    <t>Pollen-leaf</t>
    <phoneticPr fontId="0" type="noConversion"/>
  </si>
  <si>
    <t>t (time after insecticide application)</t>
    <phoneticPr fontId="0" type="noConversion"/>
  </si>
  <si>
    <t>Aerial appliaction</t>
    <phoneticPr fontId="0" type="noConversion"/>
  </si>
  <si>
    <t>Risk assessment (based on 1 kg per ha)</t>
    <phoneticPr fontId="0" type="noConversion"/>
  </si>
  <si>
    <t>CAS RN</t>
  </si>
  <si>
    <t>Name</t>
  </si>
  <si>
    <r>
      <t>LD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oral (mg bee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</si>
  <si>
    <r>
      <t>LC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earthworms (mg kg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</si>
  <si>
    <t>MW</t>
  </si>
  <si>
    <r>
      <t>D</t>
    </r>
    <r>
      <rPr>
        <vertAlign val="subscript"/>
        <sz val="8"/>
        <rFont val="Times New Roman"/>
        <family val="1"/>
      </rPr>
      <t>W</t>
    </r>
  </si>
  <si>
    <r>
      <t>D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Air</t>
    </r>
  </si>
  <si>
    <r>
      <t>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</si>
  <si>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OW</t>
    </r>
  </si>
  <si>
    <r>
      <t>K</t>
    </r>
    <r>
      <rPr>
        <vertAlign val="subscript"/>
        <sz val="8"/>
        <rFont val="Times New Roman"/>
        <family val="1"/>
      </rPr>
      <t>ch</t>
    </r>
  </si>
  <si>
    <t>TSCF</t>
  </si>
  <si>
    <r>
      <t>log K</t>
    </r>
    <r>
      <rPr>
        <vertAlign val="subscript"/>
        <sz val="8"/>
        <rFont val="Times New Roman"/>
        <family val="1"/>
      </rPr>
      <t>OC</t>
    </r>
  </si>
  <si>
    <t>Koc</t>
  </si>
  <si>
    <r>
      <t>K</t>
    </r>
    <r>
      <rPr>
        <vertAlign val="subscript"/>
        <sz val="8"/>
        <rFont val="Times New Roman"/>
        <family val="1"/>
      </rPr>
      <t>H</t>
    </r>
    <r>
      <rPr>
        <sz val="8"/>
        <rFont val="Times New Roman"/>
        <family val="1"/>
      </rPr>
      <t>25C</t>
    </r>
  </si>
  <si>
    <r>
      <t>K</t>
    </r>
    <r>
      <rPr>
        <vertAlign val="subscript"/>
        <sz val="8"/>
        <rFont val="Times New Roman"/>
        <family val="1"/>
      </rPr>
      <t>AW</t>
    </r>
  </si>
  <si>
    <r>
      <t>K</t>
    </r>
    <r>
      <rPr>
        <vertAlign val="subscript"/>
        <sz val="8"/>
        <rFont val="Times New Roman"/>
        <family val="1"/>
      </rPr>
      <t>SW</t>
    </r>
  </si>
  <si>
    <r>
      <t>K</t>
    </r>
    <r>
      <rPr>
        <vertAlign val="subscript"/>
        <sz val="8"/>
        <rFont val="Times New Roman"/>
        <family val="1"/>
      </rPr>
      <t>SA</t>
    </r>
  </si>
  <si>
    <r>
      <t>k</t>
    </r>
    <r>
      <rPr>
        <vertAlign val="subscript"/>
        <sz val="8"/>
        <rFont val="Times New Roman"/>
        <family val="1"/>
      </rPr>
      <t>Up,Soil</t>
    </r>
  </si>
  <si>
    <r>
      <t>k</t>
    </r>
    <r>
      <rPr>
        <vertAlign val="subscript"/>
        <sz val="8"/>
        <rFont val="Times New Roman"/>
        <family val="1"/>
      </rPr>
      <t>El,Air</t>
    </r>
  </si>
  <si>
    <r>
      <t>k</t>
    </r>
    <r>
      <rPr>
        <vertAlign val="subscript"/>
        <sz val="8"/>
        <rFont val="Times New Roman"/>
        <family val="1"/>
      </rPr>
      <t>Cuticle</t>
    </r>
  </si>
  <si>
    <r>
      <t>k</t>
    </r>
    <r>
      <rPr>
        <vertAlign val="subscript"/>
        <sz val="8"/>
        <rFont val="Times New Roman"/>
        <family val="1"/>
      </rPr>
      <t>Up,Surface</t>
    </r>
  </si>
  <si>
    <r>
      <t>k</t>
    </r>
    <r>
      <rPr>
        <vertAlign val="subscript"/>
        <sz val="8"/>
        <rFont val="Times New Roman"/>
        <family val="1"/>
      </rPr>
      <t>Diss,Surface</t>
    </r>
  </si>
  <si>
    <t>DT50 (soil)</t>
    <phoneticPr fontId="0" type="noConversion"/>
  </si>
  <si>
    <r>
      <t>k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Diss,Deg</t>
    </r>
  </si>
  <si>
    <r>
      <t>k</t>
    </r>
    <r>
      <rPr>
        <vertAlign val="subscript"/>
        <sz val="8"/>
        <rFont val="Times New Roman"/>
        <family val="1"/>
      </rPr>
      <t>Diss,Deg</t>
    </r>
  </si>
  <si>
    <r>
      <t>k</t>
    </r>
    <r>
      <rPr>
        <vertAlign val="subscript"/>
        <sz val="8"/>
        <rFont val="Times New Roman"/>
        <family val="1"/>
      </rPr>
      <t>Diss,Plant</t>
    </r>
  </si>
  <si>
    <r>
      <t>k</t>
    </r>
    <r>
      <rPr>
        <vertAlign val="subscript"/>
        <sz val="8"/>
        <rFont val="Times New Roman"/>
        <family val="1"/>
      </rPr>
      <t>Diss,Air</t>
    </r>
  </si>
  <si>
    <r>
      <t>k</t>
    </r>
    <r>
      <rPr>
        <vertAlign val="subscript"/>
        <sz val="8"/>
        <rFont val="Times New Roman"/>
        <family val="1"/>
      </rPr>
      <t>Diss,Water</t>
    </r>
  </si>
  <si>
    <r>
      <t>k</t>
    </r>
    <r>
      <rPr>
        <vertAlign val="subscript"/>
        <sz val="8"/>
        <rFont val="Times New Roman"/>
        <family val="1"/>
      </rPr>
      <t>Diss,Soil</t>
    </r>
  </si>
  <si>
    <r>
      <t>k</t>
    </r>
    <r>
      <rPr>
        <vertAlign val="subscript"/>
        <sz val="8"/>
        <rFont val="Times New Roman"/>
        <family val="1"/>
      </rPr>
      <t>El,Degra</t>
    </r>
  </si>
  <si>
    <r>
      <t>K</t>
    </r>
    <r>
      <rPr>
        <vertAlign val="subscript"/>
        <sz val="8"/>
        <rFont val="Times New Roman"/>
        <family val="1"/>
      </rPr>
      <t>N-Leaf</t>
    </r>
  </si>
  <si>
    <r>
      <t>K</t>
    </r>
    <r>
      <rPr>
        <vertAlign val="subscript"/>
        <sz val="8"/>
        <rFont val="Times New Roman"/>
        <family val="1"/>
      </rPr>
      <t>P-Leaf</t>
    </r>
  </si>
  <si>
    <r>
      <t>K</t>
    </r>
    <r>
      <rPr>
        <vertAlign val="subscript"/>
        <sz val="8"/>
        <rFont val="Times New Roman"/>
        <family val="1"/>
      </rPr>
      <t>LW</t>
    </r>
  </si>
  <si>
    <r>
      <t>K</t>
    </r>
    <r>
      <rPr>
        <vertAlign val="subscript"/>
        <sz val="8"/>
        <rFont val="Times New Roman"/>
        <family val="1"/>
      </rPr>
      <t>LA</t>
    </r>
  </si>
  <si>
    <r>
      <t>K</t>
    </r>
    <r>
      <rPr>
        <vertAlign val="subscript"/>
        <sz val="8"/>
        <rFont val="Times New Roman"/>
        <family val="1"/>
      </rPr>
      <t>CW</t>
    </r>
  </si>
  <si>
    <r>
      <t>RUD</t>
    </r>
    <r>
      <rPr>
        <vertAlign val="subscript"/>
        <sz val="8"/>
        <rFont val="Times New Roman"/>
        <family val="1"/>
      </rPr>
      <t>Leaf</t>
    </r>
  </si>
  <si>
    <r>
      <t>RUD</t>
    </r>
    <r>
      <rPr>
        <vertAlign val="subscript"/>
        <sz val="8"/>
        <rFont val="Times New Roman"/>
        <family val="1"/>
      </rPr>
      <t>Nectar</t>
    </r>
  </si>
  <si>
    <r>
      <t>RUD</t>
    </r>
    <r>
      <rPr>
        <vertAlign val="subscript"/>
        <sz val="8"/>
        <rFont val="Times New Roman"/>
        <family val="1"/>
      </rPr>
      <t>Pollen</t>
    </r>
  </si>
  <si>
    <r>
      <t>RUD</t>
    </r>
    <r>
      <rPr>
        <vertAlign val="subscript"/>
        <sz val="8"/>
        <rFont val="Times New Roman"/>
        <family val="1"/>
      </rPr>
      <t>Soil</t>
    </r>
  </si>
  <si>
    <r>
      <t>RQ</t>
    </r>
    <r>
      <rPr>
        <vertAlign val="subscript"/>
        <sz val="8"/>
        <rFont val="Times New Roman"/>
        <family val="1"/>
      </rPr>
      <t>Nectar</t>
    </r>
  </si>
  <si>
    <r>
      <t>RQ</t>
    </r>
    <r>
      <rPr>
        <vertAlign val="subscript"/>
        <sz val="8"/>
        <rFont val="Times New Roman"/>
        <family val="1"/>
      </rPr>
      <t>Pollen</t>
    </r>
  </si>
  <si>
    <r>
      <t>RQ</t>
    </r>
    <r>
      <rPr>
        <vertAlign val="subscript"/>
        <sz val="8"/>
        <rFont val="Times New Roman"/>
        <family val="1"/>
      </rPr>
      <t>Soil</t>
    </r>
  </si>
  <si>
    <r>
      <t>g.mol</t>
    </r>
    <r>
      <rPr>
        <vertAlign val="superscript"/>
        <sz val="8"/>
        <rFont val="Times New Roman"/>
        <family val="1"/>
      </rPr>
      <t>-1</t>
    </r>
  </si>
  <si>
    <r>
      <t>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.d</t>
    </r>
    <r>
      <rPr>
        <vertAlign val="superscript"/>
        <sz val="8"/>
        <rFont val="Times New Roman"/>
        <family val="1"/>
      </rPr>
      <t>-1</t>
    </r>
  </si>
  <si>
    <r>
      <t>L.L</t>
    </r>
    <r>
      <rPr>
        <vertAlign val="superscript"/>
        <sz val="8"/>
        <rFont val="Times New Roman"/>
        <family val="1"/>
      </rPr>
      <t>-1</t>
    </r>
  </si>
  <si>
    <r>
      <t>L.kg</t>
    </r>
    <r>
      <rPr>
        <vertAlign val="superscript"/>
        <sz val="8"/>
        <rFont val="Times New Roman"/>
        <family val="1"/>
      </rPr>
      <t>-1</t>
    </r>
  </si>
  <si>
    <r>
      <t>Pa.m</t>
    </r>
    <r>
      <rPr>
        <vertAlign val="superscript"/>
        <sz val="8"/>
        <rFont val="Times New Roman"/>
        <family val="1"/>
      </rPr>
      <t>3.</t>
    </r>
    <r>
      <rPr>
        <sz val="8"/>
        <rFont val="Times New Roman"/>
        <family val="1"/>
      </rPr>
      <t>mol</t>
    </r>
    <r>
      <rPr>
        <vertAlign val="superscript"/>
        <sz val="8"/>
        <rFont val="Times New Roman"/>
        <family val="1"/>
      </rPr>
      <t>-1</t>
    </r>
  </si>
  <si>
    <r>
      <t>d</t>
    </r>
    <r>
      <rPr>
        <vertAlign val="superscript"/>
        <sz val="8"/>
        <rFont val="Times New Roman"/>
        <family val="1"/>
      </rPr>
      <t>-1</t>
    </r>
  </si>
  <si>
    <t>d</t>
    <phoneticPr fontId="0" type="noConversion"/>
  </si>
  <si>
    <r>
      <t>mg.kg</t>
    </r>
    <r>
      <rPr>
        <vertAlign val="superscript"/>
        <sz val="8"/>
        <rFont val="Times New Roman"/>
        <family val="1"/>
      </rPr>
      <t>-1</t>
    </r>
  </si>
  <si>
    <t>135410-20-7</t>
    <phoneticPr fontId="0" type="noConversion"/>
  </si>
  <si>
    <t>Acetamiprid</t>
    <phoneticPr fontId="0" type="noConversion"/>
  </si>
  <si>
    <t>210880-92-5</t>
    <phoneticPr fontId="0" type="noConversion"/>
  </si>
  <si>
    <t>Clothianidin</t>
    <phoneticPr fontId="0" type="noConversion"/>
  </si>
  <si>
    <t>165252-70-0</t>
    <phoneticPr fontId="0" type="noConversion"/>
  </si>
  <si>
    <t>Dinotefuran</t>
    <phoneticPr fontId="0" type="noConversion"/>
  </si>
  <si>
    <t>158062-67-0</t>
    <phoneticPr fontId="0" type="noConversion"/>
  </si>
  <si>
    <t>Flonicamid</t>
    <phoneticPr fontId="0" type="noConversion"/>
  </si>
  <si>
    <t>138261-41-3</t>
    <phoneticPr fontId="0" type="noConversion"/>
  </si>
  <si>
    <t>Imidacloprid</t>
    <phoneticPr fontId="0" type="noConversion"/>
  </si>
  <si>
    <t>111988-49-9</t>
    <phoneticPr fontId="0" type="noConversion"/>
  </si>
  <si>
    <t>Thiacloprid</t>
    <phoneticPr fontId="0" type="noConversion"/>
  </si>
  <si>
    <t>153719-23-4</t>
    <phoneticPr fontId="0" type="noConversion"/>
  </si>
  <si>
    <t>Thiamethoxam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</si>
</sst>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\-##\-#"/>
    <numFmt numFmtId="165" formatCode="General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Times New Roman"/>
      <family val="1"/>
    </font>
    <font>
      <vertAlign val="subscript"/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7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1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4" fillId="0" borderId="1" xfId="1" applyNumberFormat="1" applyFont="1" applyBorder="1" applyAlignment="1">
      <alignment horizontal="center" vertical="top"/>
    </xf>
    <xf numFmtId="11" fontId="4" fillId="0" borderId="1" xfId="0" applyNumberFormat="1" applyFont="1" applyBorder="1" applyAlignment="1">
      <alignment horizontal="center" vertical="top" wrapText="1"/>
    </xf>
    <xf numFmtId="11" fontId="4" fillId="0" borderId="1" xfId="1" applyNumberFormat="1" applyFont="1" applyBorder="1" applyAlignment="1">
      <alignment horizontal="center" vertical="top" wrapText="1"/>
    </xf>
    <xf numFmtId="11" fontId="4" fillId="0" borderId="1" xfId="1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1" fontId="4" fillId="0" borderId="1" xfId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 vertical="center"/>
    </xf>
    <xf numFmtId="11" fontId="4" fillId="2" borderId="1" xfId="1" applyNumberFormat="1" applyFont="1" applyFill="1" applyBorder="1" applyAlignment="1">
      <alignment horizontal="center" vertical="top"/>
    </xf>
    <xf numFmtId="11" fontId="4" fillId="2" borderId="1" xfId="1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_Merged RRMH database 3.xls" xfId="1" xr:uid="{92D9582D-4755-4926-8DE3-05BC84FDF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A14-D0E4-4410-88D3-23CB391A107A}">
  <dimension ref="A1:G34"/>
  <sheetViews>
    <sheetView workbookViewId="0">
      <selection activeCell="A14" sqref="A14"/>
    </sheetView>
  </sheetViews>
  <sheetFormatPr defaultRowHeight="14.5" x14ac:dyDescent="0.35"/>
  <cols>
    <col min="1" max="1" width="50" customWidth="1"/>
    <col min="4" max="4" width="15.1796875" customWidth="1"/>
    <col min="5" max="5" width="22" customWidth="1"/>
  </cols>
  <sheetData>
    <row r="1" spans="1:7" x14ac:dyDescent="0.3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</row>
    <row r="2" spans="1:7" x14ac:dyDescent="0.35">
      <c r="A2" s="3" t="s">
        <v>10</v>
      </c>
      <c r="B2" s="1" t="s">
        <v>14</v>
      </c>
      <c r="C2" s="3" t="s">
        <v>11</v>
      </c>
      <c r="D2" s="3">
        <v>1.5</v>
      </c>
      <c r="E2" s="3" t="s">
        <v>12</v>
      </c>
      <c r="F2" s="3"/>
      <c r="G2" s="3"/>
    </row>
    <row r="3" spans="1:7" x14ac:dyDescent="0.35">
      <c r="A3" s="3" t="s">
        <v>4</v>
      </c>
      <c r="B3" s="3" t="s">
        <v>13</v>
      </c>
      <c r="C3" s="3" t="s">
        <v>5</v>
      </c>
      <c r="D3" s="3">
        <v>0.05</v>
      </c>
      <c r="E3" s="3" t="s">
        <v>15</v>
      </c>
      <c r="F3" s="3"/>
      <c r="G3" s="3"/>
    </row>
    <row r="4" spans="1:7" x14ac:dyDescent="0.35">
      <c r="A4" s="4" t="s">
        <v>6</v>
      </c>
      <c r="B4" s="4" t="s">
        <v>16</v>
      </c>
      <c r="C4" s="4" t="s">
        <v>7</v>
      </c>
      <c r="D4" s="4">
        <v>4.0000000000000001E-3</v>
      </c>
      <c r="E4" s="4" t="s">
        <v>27</v>
      </c>
      <c r="F4" s="3" t="s">
        <v>26</v>
      </c>
      <c r="G4" s="3"/>
    </row>
    <row r="5" spans="1:7" x14ac:dyDescent="0.35">
      <c r="A5" s="4" t="s">
        <v>8</v>
      </c>
      <c r="B5" s="4" t="s">
        <v>17</v>
      </c>
      <c r="C5" s="4" t="s">
        <v>31</v>
      </c>
      <c r="D5" s="4">
        <v>1.21E-4</v>
      </c>
      <c r="E5" s="4" t="s">
        <v>27</v>
      </c>
      <c r="F5" s="3" t="s">
        <v>28</v>
      </c>
      <c r="G5" s="3"/>
    </row>
    <row r="6" spans="1:7" x14ac:dyDescent="0.35">
      <c r="A6" s="5" t="s">
        <v>9</v>
      </c>
      <c r="B6" s="6" t="s">
        <v>19</v>
      </c>
      <c r="C6" s="5" t="s">
        <v>20</v>
      </c>
      <c r="D6" s="5">
        <v>2.5000000000000001E-3</v>
      </c>
      <c r="E6" s="5" t="s">
        <v>29</v>
      </c>
      <c r="F6" s="3"/>
      <c r="G6" s="3"/>
    </row>
    <row r="7" spans="1:7" x14ac:dyDescent="0.35">
      <c r="A7" s="3" t="s">
        <v>21</v>
      </c>
      <c r="B7" s="3" t="s">
        <v>21</v>
      </c>
      <c r="C7" s="3" t="s">
        <v>25</v>
      </c>
      <c r="D7" s="3" t="s">
        <v>111</v>
      </c>
      <c r="E7" s="5" t="s">
        <v>113</v>
      </c>
      <c r="F7" s="3" t="s">
        <v>112</v>
      </c>
      <c r="G7" s="3"/>
    </row>
    <row r="8" spans="1:7" x14ac:dyDescent="0.35">
      <c r="A8" s="4" t="s">
        <v>23</v>
      </c>
      <c r="B8" s="4" t="s">
        <v>22</v>
      </c>
      <c r="C8" s="4" t="s">
        <v>24</v>
      </c>
      <c r="D8" s="4">
        <f>D5/D4</f>
        <v>3.0249999999999999E-2</v>
      </c>
      <c r="E8" s="4" t="s">
        <v>32</v>
      </c>
      <c r="F8" s="3"/>
      <c r="G8" s="3"/>
    </row>
    <row r="9" spans="1:7" x14ac:dyDescent="0.35">
      <c r="A9" s="3" t="s">
        <v>34</v>
      </c>
      <c r="B9" s="3" t="s">
        <v>33</v>
      </c>
      <c r="C9" s="3" t="s">
        <v>5</v>
      </c>
      <c r="D9" s="3">
        <v>2.0000000000000001E-4</v>
      </c>
      <c r="E9" s="3" t="s">
        <v>30</v>
      </c>
      <c r="F9" s="3"/>
      <c r="G9" s="3"/>
    </row>
    <row r="10" spans="1:7" x14ac:dyDescent="0.35">
      <c r="A10" s="3" t="s">
        <v>37</v>
      </c>
      <c r="B10" s="3" t="s">
        <v>38</v>
      </c>
      <c r="C10" s="3" t="s">
        <v>39</v>
      </c>
      <c r="D10" s="3">
        <v>0.223</v>
      </c>
      <c r="E10" s="3" t="s">
        <v>30</v>
      </c>
      <c r="F10" s="2"/>
      <c r="G10" s="3"/>
    </row>
    <row r="11" spans="1:7" x14ac:dyDescent="0.35">
      <c r="A11" s="3" t="s">
        <v>40</v>
      </c>
      <c r="B11" s="3" t="s">
        <v>41</v>
      </c>
      <c r="C11" s="3" t="s">
        <v>39</v>
      </c>
      <c r="D11" s="3">
        <v>0.61199999999999999</v>
      </c>
      <c r="E11" s="3" t="s">
        <v>30</v>
      </c>
      <c r="G11" s="3"/>
    </row>
    <row r="12" spans="1:7" x14ac:dyDescent="0.35">
      <c r="A12" s="3" t="s">
        <v>42</v>
      </c>
      <c r="B12" s="3" t="s">
        <v>48</v>
      </c>
      <c r="C12" s="3" t="s">
        <v>43</v>
      </c>
      <c r="D12" s="3">
        <v>0.8</v>
      </c>
      <c r="E12" s="3" t="s">
        <v>15</v>
      </c>
    </row>
    <row r="13" spans="1:7" x14ac:dyDescent="0.35">
      <c r="A13" s="3" t="s">
        <v>44</v>
      </c>
      <c r="B13" s="3" t="s">
        <v>52</v>
      </c>
      <c r="C13" s="3" t="s">
        <v>43</v>
      </c>
      <c r="D13" s="3">
        <v>0.02</v>
      </c>
      <c r="E13" s="3" t="s">
        <v>15</v>
      </c>
    </row>
    <row r="14" spans="1:7" x14ac:dyDescent="0.35">
      <c r="A14" s="3" t="s">
        <v>45</v>
      </c>
      <c r="B14" s="3" t="s">
        <v>51</v>
      </c>
      <c r="C14" s="3" t="s">
        <v>43</v>
      </c>
      <c r="D14" s="3">
        <v>0.1</v>
      </c>
      <c r="E14" s="3" t="s">
        <v>15</v>
      </c>
    </row>
    <row r="15" spans="1:7" x14ac:dyDescent="0.35">
      <c r="A15" s="3" t="s">
        <v>46</v>
      </c>
      <c r="B15" s="3" t="s">
        <v>59</v>
      </c>
      <c r="C15" s="3" t="s">
        <v>43</v>
      </c>
      <c r="D15" s="3">
        <v>0.7</v>
      </c>
      <c r="E15" s="3" t="s">
        <v>15</v>
      </c>
    </row>
    <row r="16" spans="1:7" x14ac:dyDescent="0.35">
      <c r="A16" s="3" t="s">
        <v>47</v>
      </c>
      <c r="B16" s="3" t="s">
        <v>49</v>
      </c>
      <c r="C16" s="3" t="s">
        <v>43</v>
      </c>
      <c r="D16" s="3">
        <v>0</v>
      </c>
      <c r="E16" s="3" t="s">
        <v>15</v>
      </c>
    </row>
    <row r="17" spans="1:6" x14ac:dyDescent="0.35">
      <c r="A17" s="3" t="s">
        <v>50</v>
      </c>
      <c r="B17" s="3" t="s">
        <v>53</v>
      </c>
      <c r="C17" s="3" t="s">
        <v>43</v>
      </c>
      <c r="D17" s="3">
        <v>0.3</v>
      </c>
      <c r="E17" s="3" t="s">
        <v>15</v>
      </c>
    </row>
    <row r="18" spans="1:6" x14ac:dyDescent="0.35">
      <c r="A18" s="3" t="s">
        <v>54</v>
      </c>
      <c r="B18" s="3" t="s">
        <v>60</v>
      </c>
      <c r="C18" s="3" t="s">
        <v>43</v>
      </c>
      <c r="D18" s="3">
        <v>0.13</v>
      </c>
      <c r="E18" s="3" t="s">
        <v>30</v>
      </c>
    </row>
    <row r="19" spans="1:6" x14ac:dyDescent="0.35">
      <c r="A19" s="3" t="s">
        <v>55</v>
      </c>
      <c r="B19" s="3" t="s">
        <v>57</v>
      </c>
      <c r="C19" s="3" t="s">
        <v>43</v>
      </c>
      <c r="D19" s="3">
        <v>8.6999999999999994E-2</v>
      </c>
      <c r="E19" s="3" t="s">
        <v>15</v>
      </c>
    </row>
    <row r="20" spans="1:6" x14ac:dyDescent="0.35">
      <c r="A20" s="3" t="s">
        <v>56</v>
      </c>
      <c r="B20" s="3" t="s">
        <v>58</v>
      </c>
      <c r="C20" s="3" t="s">
        <v>43</v>
      </c>
      <c r="D20" s="3">
        <v>0.75</v>
      </c>
      <c r="E20" s="3" t="s">
        <v>15</v>
      </c>
    </row>
    <row r="21" spans="1:6" x14ac:dyDescent="0.35">
      <c r="A21" s="3" t="s">
        <v>61</v>
      </c>
      <c r="B21" s="3" t="s">
        <v>64</v>
      </c>
      <c r="C21" s="3" t="s">
        <v>39</v>
      </c>
      <c r="D21" s="3">
        <v>2.3E-2</v>
      </c>
      <c r="E21" s="3" t="s">
        <v>30</v>
      </c>
    </row>
    <row r="22" spans="1:6" x14ac:dyDescent="0.35">
      <c r="A22" s="3" t="s">
        <v>62</v>
      </c>
      <c r="B22" s="3" t="s">
        <v>65</v>
      </c>
      <c r="C22" s="3" t="s">
        <v>39</v>
      </c>
      <c r="D22" s="3">
        <v>0.35</v>
      </c>
      <c r="E22" s="3" t="s">
        <v>30</v>
      </c>
    </row>
    <row r="23" spans="1:6" x14ac:dyDescent="0.35">
      <c r="A23" s="3" t="s">
        <v>63</v>
      </c>
      <c r="B23" s="3" t="s">
        <v>66</v>
      </c>
      <c r="C23" s="3" t="s">
        <v>39</v>
      </c>
      <c r="D23" s="3">
        <v>0.12</v>
      </c>
      <c r="E23" s="3" t="s">
        <v>30</v>
      </c>
    </row>
    <row r="24" spans="1:6" x14ac:dyDescent="0.35">
      <c r="A24" s="3" t="s">
        <v>67</v>
      </c>
      <c r="B24" t="s">
        <v>73</v>
      </c>
      <c r="C24" s="3" t="s">
        <v>11</v>
      </c>
      <c r="D24" s="3">
        <v>1.6</v>
      </c>
      <c r="E24" s="3" t="s">
        <v>30</v>
      </c>
    </row>
    <row r="25" spans="1:6" x14ac:dyDescent="0.35">
      <c r="A25" s="3" t="s">
        <v>68</v>
      </c>
      <c r="B25" t="s">
        <v>74</v>
      </c>
      <c r="C25" s="3" t="s">
        <v>11</v>
      </c>
      <c r="D25" s="3">
        <v>1.95</v>
      </c>
      <c r="E25" s="3" t="s">
        <v>30</v>
      </c>
    </row>
    <row r="26" spans="1:6" x14ac:dyDescent="0.35">
      <c r="A26" s="3" t="s">
        <v>69</v>
      </c>
      <c r="B26" t="s">
        <v>75</v>
      </c>
      <c r="C26" s="3" t="s">
        <v>11</v>
      </c>
      <c r="D26" s="3">
        <v>0.4</v>
      </c>
      <c r="E26" s="3" t="s">
        <v>30</v>
      </c>
    </row>
    <row r="27" spans="1:6" x14ac:dyDescent="0.35">
      <c r="A27" s="3" t="s">
        <v>70</v>
      </c>
      <c r="B27" t="s">
        <v>76</v>
      </c>
      <c r="C27" s="3" t="s">
        <v>11</v>
      </c>
      <c r="D27" s="3">
        <v>1</v>
      </c>
      <c r="E27" s="3" t="s">
        <v>15</v>
      </c>
    </row>
    <row r="28" spans="1:6" x14ac:dyDescent="0.35">
      <c r="A28" s="3" t="s">
        <v>71</v>
      </c>
      <c r="B28" t="s">
        <v>77</v>
      </c>
      <c r="C28" s="3" t="s">
        <v>11</v>
      </c>
      <c r="D28" s="3">
        <v>0.83</v>
      </c>
      <c r="E28" s="3" t="s">
        <v>30</v>
      </c>
    </row>
    <row r="29" spans="1:6" x14ac:dyDescent="0.35">
      <c r="A29" s="3" t="s">
        <v>72</v>
      </c>
      <c r="B29" t="s">
        <v>78</v>
      </c>
      <c r="C29" s="3" t="s">
        <v>79</v>
      </c>
      <c r="D29" s="3">
        <v>86.4</v>
      </c>
      <c r="E29" s="3" t="s">
        <v>30</v>
      </c>
    </row>
    <row r="30" spans="1:6" x14ac:dyDescent="0.35">
      <c r="A30" s="3" t="s">
        <v>80</v>
      </c>
      <c r="B30" t="s">
        <v>81</v>
      </c>
      <c r="C30" s="3" t="s">
        <v>82</v>
      </c>
      <c r="D30" s="3" t="s">
        <v>95</v>
      </c>
      <c r="E30" s="3" t="s">
        <v>15</v>
      </c>
      <c r="F30" s="3" t="s">
        <v>85</v>
      </c>
    </row>
    <row r="31" spans="1:6" x14ac:dyDescent="0.35">
      <c r="A31" s="3" t="s">
        <v>83</v>
      </c>
      <c r="B31" t="s">
        <v>84</v>
      </c>
      <c r="C31" s="3" t="s">
        <v>82</v>
      </c>
      <c r="D31" s="3">
        <v>50</v>
      </c>
      <c r="E31" s="3" t="s">
        <v>15</v>
      </c>
    </row>
    <row r="32" spans="1:6" x14ac:dyDescent="0.35">
      <c r="A32" s="3" t="s">
        <v>87</v>
      </c>
      <c r="B32" t="s">
        <v>88</v>
      </c>
      <c r="C32" s="3" t="s">
        <v>82</v>
      </c>
      <c r="D32" s="3">
        <v>3.5000000000000003E-2</v>
      </c>
      <c r="E32" s="3" t="s">
        <v>15</v>
      </c>
    </row>
    <row r="33" spans="1:5" x14ac:dyDescent="0.35">
      <c r="A33" s="3" t="s">
        <v>89</v>
      </c>
      <c r="B33" t="s">
        <v>91</v>
      </c>
      <c r="C33" t="s">
        <v>90</v>
      </c>
      <c r="D33">
        <v>100</v>
      </c>
      <c r="E33" s="3" t="s">
        <v>94</v>
      </c>
    </row>
    <row r="34" spans="1:5" x14ac:dyDescent="0.35">
      <c r="A34" s="3" t="s">
        <v>89</v>
      </c>
      <c r="B34" t="s">
        <v>92</v>
      </c>
      <c r="C34" t="s">
        <v>93</v>
      </c>
      <c r="D34">
        <v>1000</v>
      </c>
      <c r="E34" s="3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4958-A0D3-4D82-9905-A141AA4E61F0}">
  <dimension ref="A1:F34"/>
  <sheetViews>
    <sheetView topLeftCell="A16" workbookViewId="0">
      <selection activeCell="F31" sqref="F31"/>
    </sheetView>
  </sheetViews>
  <sheetFormatPr defaultRowHeight="14.5" x14ac:dyDescent="0.35"/>
  <cols>
    <col min="1" max="1" width="48" customWidth="1"/>
    <col min="5" max="5" width="17.7265625" customWidth="1"/>
  </cols>
  <sheetData>
    <row r="1" spans="1:6" x14ac:dyDescent="0.3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86</v>
      </c>
    </row>
    <row r="2" spans="1:6" x14ac:dyDescent="0.35">
      <c r="A2" s="3" t="s">
        <v>10</v>
      </c>
      <c r="B2" s="1" t="s">
        <v>14</v>
      </c>
      <c r="C2" s="3" t="s">
        <v>11</v>
      </c>
      <c r="D2" s="3">
        <v>1.5</v>
      </c>
      <c r="E2" s="3" t="s">
        <v>12</v>
      </c>
      <c r="F2" s="3"/>
    </row>
    <row r="3" spans="1:6" x14ac:dyDescent="0.35">
      <c r="A3" s="3" t="s">
        <v>4</v>
      </c>
      <c r="B3" s="3" t="s">
        <v>13</v>
      </c>
      <c r="C3" s="3" t="s">
        <v>5</v>
      </c>
      <c r="D3" s="3">
        <v>0.05</v>
      </c>
      <c r="E3" s="3" t="s">
        <v>15</v>
      </c>
      <c r="F3" s="3"/>
    </row>
    <row r="4" spans="1:6" x14ac:dyDescent="0.35">
      <c r="A4" s="3" t="s">
        <v>6</v>
      </c>
      <c r="B4" s="3" t="s">
        <v>16</v>
      </c>
      <c r="C4" s="3" t="s">
        <v>7</v>
      </c>
      <c r="D4" s="3">
        <v>0.01</v>
      </c>
      <c r="E4" s="3" t="s">
        <v>30</v>
      </c>
      <c r="F4" s="3"/>
    </row>
    <row r="5" spans="1:6" x14ac:dyDescent="0.35">
      <c r="A5" s="3" t="s">
        <v>8</v>
      </c>
      <c r="B5" s="3" t="s">
        <v>17</v>
      </c>
      <c r="C5" s="3" t="s">
        <v>31</v>
      </c>
      <c r="D5" s="3">
        <v>8.0000000000000004E-4</v>
      </c>
      <c r="E5" s="3" t="s">
        <v>30</v>
      </c>
      <c r="F5" s="3"/>
    </row>
    <row r="6" spans="1:6" x14ac:dyDescent="0.35">
      <c r="A6" s="5" t="s">
        <v>9</v>
      </c>
      <c r="B6" s="1" t="s">
        <v>19</v>
      </c>
      <c r="C6" s="3" t="s">
        <v>20</v>
      </c>
      <c r="D6" s="3">
        <v>2.5000000000000001E-3</v>
      </c>
      <c r="E6" s="3" t="s">
        <v>30</v>
      </c>
      <c r="F6" s="3"/>
    </row>
    <row r="7" spans="1:6" x14ac:dyDescent="0.35">
      <c r="A7" s="3" t="s">
        <v>21</v>
      </c>
      <c r="B7" s="3" t="s">
        <v>21</v>
      </c>
      <c r="C7" s="3" t="s">
        <v>25</v>
      </c>
      <c r="D7" s="3" t="s">
        <v>111</v>
      </c>
      <c r="E7" s="5" t="s">
        <v>113</v>
      </c>
    </row>
    <row r="8" spans="1:6" x14ac:dyDescent="0.35">
      <c r="A8" s="3" t="s">
        <v>23</v>
      </c>
      <c r="B8" s="3" t="s">
        <v>22</v>
      </c>
      <c r="C8" s="3" t="s">
        <v>24</v>
      </c>
      <c r="D8" s="3">
        <v>0.1</v>
      </c>
      <c r="E8" s="3" t="s">
        <v>32</v>
      </c>
      <c r="F8" s="3"/>
    </row>
    <row r="9" spans="1:6" x14ac:dyDescent="0.35">
      <c r="A9" s="3" t="s">
        <v>34</v>
      </c>
      <c r="B9" s="3" t="s">
        <v>33</v>
      </c>
      <c r="C9" s="3" t="s">
        <v>5</v>
      </c>
      <c r="D9" s="3">
        <v>2.0000000000000001E-4</v>
      </c>
      <c r="E9" s="3" t="s">
        <v>30</v>
      </c>
      <c r="F9" s="3"/>
    </row>
    <row r="10" spans="1:6" x14ac:dyDescent="0.35">
      <c r="A10" s="3" t="s">
        <v>37</v>
      </c>
      <c r="B10" s="3" t="s">
        <v>38</v>
      </c>
      <c r="C10" s="3" t="s">
        <v>39</v>
      </c>
      <c r="D10" s="3">
        <v>0.223</v>
      </c>
      <c r="E10" s="3" t="s">
        <v>30</v>
      </c>
      <c r="F10" s="2"/>
    </row>
    <row r="11" spans="1:6" x14ac:dyDescent="0.35">
      <c r="A11" s="3" t="s">
        <v>40</v>
      </c>
      <c r="B11" s="3" t="s">
        <v>41</v>
      </c>
      <c r="C11" s="3" t="s">
        <v>39</v>
      </c>
      <c r="D11" s="3">
        <v>0.61199999999999999</v>
      </c>
      <c r="E11" s="3" t="s">
        <v>30</v>
      </c>
    </row>
    <row r="12" spans="1:6" x14ac:dyDescent="0.35">
      <c r="A12" s="3" t="s">
        <v>42</v>
      </c>
      <c r="B12" s="3" t="s">
        <v>48</v>
      </c>
      <c r="C12" s="3" t="s">
        <v>43</v>
      </c>
      <c r="D12" s="3">
        <v>0.8</v>
      </c>
      <c r="E12" s="3" t="s">
        <v>15</v>
      </c>
    </row>
    <row r="13" spans="1:6" x14ac:dyDescent="0.35">
      <c r="A13" s="3" t="s">
        <v>44</v>
      </c>
      <c r="B13" s="3" t="s">
        <v>52</v>
      </c>
      <c r="C13" s="3" t="s">
        <v>43</v>
      </c>
      <c r="D13" s="3">
        <v>0.02</v>
      </c>
      <c r="E13" s="3" t="s">
        <v>15</v>
      </c>
    </row>
    <row r="14" spans="1:6" x14ac:dyDescent="0.35">
      <c r="A14" s="3" t="s">
        <v>45</v>
      </c>
      <c r="B14" s="3" t="s">
        <v>51</v>
      </c>
      <c r="C14" s="3" t="s">
        <v>43</v>
      </c>
      <c r="D14" s="3">
        <v>0.1</v>
      </c>
      <c r="E14" s="3" t="s">
        <v>15</v>
      </c>
    </row>
    <row r="15" spans="1:6" x14ac:dyDescent="0.35">
      <c r="A15" s="3" t="s">
        <v>46</v>
      </c>
      <c r="B15" s="3" t="s">
        <v>59</v>
      </c>
      <c r="C15" s="3" t="s">
        <v>43</v>
      </c>
      <c r="D15" s="3">
        <v>0.7</v>
      </c>
      <c r="E15" s="3" t="s">
        <v>15</v>
      </c>
    </row>
    <row r="16" spans="1:6" x14ac:dyDescent="0.35">
      <c r="A16" s="3" t="s">
        <v>47</v>
      </c>
      <c r="B16" s="3" t="s">
        <v>49</v>
      </c>
      <c r="C16" s="3" t="s">
        <v>43</v>
      </c>
      <c r="D16" s="3">
        <v>0</v>
      </c>
      <c r="E16" s="3" t="s">
        <v>15</v>
      </c>
    </row>
    <row r="17" spans="1:6" x14ac:dyDescent="0.35">
      <c r="A17" s="3" t="s">
        <v>50</v>
      </c>
      <c r="B17" s="3" t="s">
        <v>53</v>
      </c>
      <c r="C17" s="3" t="s">
        <v>43</v>
      </c>
      <c r="D17" s="3">
        <v>0.3</v>
      </c>
      <c r="E17" s="3" t="s">
        <v>15</v>
      </c>
    </row>
    <row r="18" spans="1:6" x14ac:dyDescent="0.35">
      <c r="A18" s="3" t="s">
        <v>54</v>
      </c>
      <c r="B18" s="3" t="s">
        <v>60</v>
      </c>
      <c r="C18" s="3" t="s">
        <v>43</v>
      </c>
      <c r="D18" s="3">
        <v>0.13</v>
      </c>
      <c r="E18" s="3" t="s">
        <v>30</v>
      </c>
    </row>
    <row r="19" spans="1:6" x14ac:dyDescent="0.35">
      <c r="A19" s="3" t="s">
        <v>55</v>
      </c>
      <c r="B19" s="3" t="s">
        <v>57</v>
      </c>
      <c r="C19" s="3" t="s">
        <v>43</v>
      </c>
      <c r="D19" s="3">
        <v>8.6999999999999994E-2</v>
      </c>
      <c r="E19" s="3" t="s">
        <v>15</v>
      </c>
    </row>
    <row r="20" spans="1:6" x14ac:dyDescent="0.35">
      <c r="A20" s="3" t="s">
        <v>56</v>
      </c>
      <c r="B20" s="3" t="s">
        <v>58</v>
      </c>
      <c r="C20" s="3" t="s">
        <v>43</v>
      </c>
      <c r="D20" s="3">
        <v>0.75</v>
      </c>
      <c r="E20" s="3" t="s">
        <v>15</v>
      </c>
    </row>
    <row r="21" spans="1:6" x14ac:dyDescent="0.35">
      <c r="A21" s="3" t="s">
        <v>61</v>
      </c>
      <c r="B21" s="3" t="s">
        <v>64</v>
      </c>
      <c r="C21" s="3" t="s">
        <v>39</v>
      </c>
      <c r="D21" s="3">
        <v>2.3E-2</v>
      </c>
      <c r="E21" s="3" t="s">
        <v>30</v>
      </c>
    </row>
    <row r="22" spans="1:6" x14ac:dyDescent="0.35">
      <c r="A22" s="3" t="s">
        <v>62</v>
      </c>
      <c r="B22" s="3" t="s">
        <v>65</v>
      </c>
      <c r="C22" s="3" t="s">
        <v>39</v>
      </c>
      <c r="D22" s="3">
        <v>0.35</v>
      </c>
      <c r="E22" s="3" t="s">
        <v>30</v>
      </c>
    </row>
    <row r="23" spans="1:6" x14ac:dyDescent="0.35">
      <c r="A23" s="3" t="s">
        <v>63</v>
      </c>
      <c r="B23" s="3" t="s">
        <v>66</v>
      </c>
      <c r="C23" s="3" t="s">
        <v>39</v>
      </c>
      <c r="D23" s="3">
        <v>0.12</v>
      </c>
      <c r="E23" s="3" t="s">
        <v>30</v>
      </c>
    </row>
    <row r="24" spans="1:6" x14ac:dyDescent="0.35">
      <c r="A24" s="3" t="s">
        <v>67</v>
      </c>
      <c r="B24" t="s">
        <v>73</v>
      </c>
      <c r="C24" s="3" t="s">
        <v>11</v>
      </c>
      <c r="D24" s="3">
        <v>1.6</v>
      </c>
      <c r="E24" s="3" t="s">
        <v>30</v>
      </c>
    </row>
    <row r="25" spans="1:6" x14ac:dyDescent="0.35">
      <c r="A25" s="3" t="s">
        <v>68</v>
      </c>
      <c r="B25" t="s">
        <v>74</v>
      </c>
      <c r="C25" s="3" t="s">
        <v>11</v>
      </c>
      <c r="D25" s="3">
        <v>1.95</v>
      </c>
      <c r="E25" s="3" t="s">
        <v>30</v>
      </c>
    </row>
    <row r="26" spans="1:6" x14ac:dyDescent="0.35">
      <c r="A26" s="3" t="s">
        <v>69</v>
      </c>
      <c r="B26" t="s">
        <v>75</v>
      </c>
      <c r="C26" s="3" t="s">
        <v>11</v>
      </c>
      <c r="D26" s="3">
        <v>0.4</v>
      </c>
      <c r="E26" s="3" t="s">
        <v>30</v>
      </c>
    </row>
    <row r="27" spans="1:6" x14ac:dyDescent="0.35">
      <c r="A27" s="3" t="s">
        <v>70</v>
      </c>
      <c r="B27" t="s">
        <v>76</v>
      </c>
      <c r="C27" s="3" t="s">
        <v>11</v>
      </c>
      <c r="D27" s="3">
        <v>1</v>
      </c>
      <c r="E27" s="3" t="s">
        <v>15</v>
      </c>
    </row>
    <row r="28" spans="1:6" x14ac:dyDescent="0.35">
      <c r="A28" s="3" t="s">
        <v>71</v>
      </c>
      <c r="B28" t="s">
        <v>77</v>
      </c>
      <c r="C28" s="3" t="s">
        <v>11</v>
      </c>
      <c r="D28" s="3">
        <v>0.83</v>
      </c>
      <c r="E28" s="3" t="s">
        <v>30</v>
      </c>
    </row>
    <row r="29" spans="1:6" x14ac:dyDescent="0.35">
      <c r="A29" s="3" t="s">
        <v>72</v>
      </c>
      <c r="B29" t="s">
        <v>78</v>
      </c>
      <c r="C29" s="3" t="s">
        <v>79</v>
      </c>
      <c r="D29" s="3">
        <v>86.4</v>
      </c>
      <c r="E29" s="3" t="s">
        <v>30</v>
      </c>
    </row>
    <row r="30" spans="1:6" x14ac:dyDescent="0.35">
      <c r="A30" s="3" t="s">
        <v>80</v>
      </c>
      <c r="B30" t="s">
        <v>81</v>
      </c>
      <c r="C30" s="3" t="s">
        <v>82</v>
      </c>
      <c r="D30" s="3" t="s">
        <v>95</v>
      </c>
      <c r="E30" s="3" t="s">
        <v>15</v>
      </c>
      <c r="F30" s="3" t="s">
        <v>85</v>
      </c>
    </row>
    <row r="31" spans="1:6" x14ac:dyDescent="0.35">
      <c r="A31" s="3" t="s">
        <v>83</v>
      </c>
      <c r="B31" t="s">
        <v>84</v>
      </c>
      <c r="C31" s="3" t="s">
        <v>82</v>
      </c>
      <c r="D31" s="3">
        <v>50</v>
      </c>
      <c r="E31" s="3" t="s">
        <v>15</v>
      </c>
    </row>
    <row r="32" spans="1:6" x14ac:dyDescent="0.35">
      <c r="A32" s="3" t="s">
        <v>87</v>
      </c>
      <c r="B32" t="s">
        <v>88</v>
      </c>
      <c r="C32" s="3" t="s">
        <v>82</v>
      </c>
      <c r="D32" s="3">
        <v>3.5000000000000003E-2</v>
      </c>
      <c r="E32" s="3" t="s">
        <v>15</v>
      </c>
    </row>
    <row r="33" spans="1:5" x14ac:dyDescent="0.35">
      <c r="A33" s="3" t="s">
        <v>89</v>
      </c>
      <c r="B33" t="s">
        <v>91</v>
      </c>
      <c r="C33" t="s">
        <v>90</v>
      </c>
      <c r="D33">
        <v>100</v>
      </c>
      <c r="E33" s="3" t="s">
        <v>94</v>
      </c>
    </row>
    <row r="34" spans="1:5" x14ac:dyDescent="0.35">
      <c r="A34" s="3" t="s">
        <v>89</v>
      </c>
      <c r="B34" t="s">
        <v>92</v>
      </c>
      <c r="C34" t="s">
        <v>93</v>
      </c>
      <c r="D34">
        <v>1000</v>
      </c>
      <c r="E34" s="3" t="s">
        <v>94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637A-9356-49D9-B472-AC02F83B94D2}">
  <dimension ref="A1:E6"/>
  <sheetViews>
    <sheetView workbookViewId="0">
      <selection activeCell="C13" sqref="C13"/>
    </sheetView>
  </sheetViews>
  <sheetFormatPr defaultRowHeight="14.5" x14ac:dyDescent="0.35"/>
  <cols>
    <col min="1" max="1" width="22.36328125" customWidth="1"/>
  </cols>
  <sheetData>
    <row r="1" spans="1:5" x14ac:dyDescent="0.3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t="s">
        <v>96</v>
      </c>
      <c r="B2" t="s">
        <v>101</v>
      </c>
      <c r="C2" t="s">
        <v>105</v>
      </c>
      <c r="D2">
        <v>298.14999999999998</v>
      </c>
      <c r="E2" t="s">
        <v>106</v>
      </c>
    </row>
    <row r="3" spans="1:5" x14ac:dyDescent="0.35">
      <c r="A3" t="s">
        <v>97</v>
      </c>
      <c r="B3" t="s">
        <v>102</v>
      </c>
      <c r="C3" t="s">
        <v>109</v>
      </c>
      <c r="D3">
        <v>8.3140000000000001</v>
      </c>
      <c r="E3" t="s">
        <v>107</v>
      </c>
    </row>
    <row r="4" spans="1:5" x14ac:dyDescent="0.35">
      <c r="A4" t="s">
        <v>98</v>
      </c>
      <c r="B4" t="s">
        <v>103</v>
      </c>
      <c r="C4" t="s">
        <v>108</v>
      </c>
      <c r="D4">
        <v>60</v>
      </c>
      <c r="E4" t="s">
        <v>107</v>
      </c>
    </row>
    <row r="5" spans="1:5" x14ac:dyDescent="0.35">
      <c r="A5" s="7" t="s">
        <v>99</v>
      </c>
      <c r="B5" s="7" t="s">
        <v>104</v>
      </c>
      <c r="C5" s="7" t="s">
        <v>79</v>
      </c>
      <c r="D5" s="7">
        <v>2.7000000000000001E-3</v>
      </c>
      <c r="E5" s="7" t="s">
        <v>107</v>
      </c>
    </row>
    <row r="6" spans="1:5" x14ac:dyDescent="0.35">
      <c r="A6" t="s">
        <v>100</v>
      </c>
      <c r="B6" t="s">
        <v>82</v>
      </c>
      <c r="C6" t="s">
        <v>5</v>
      </c>
      <c r="D6">
        <v>0.01</v>
      </c>
      <c r="E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61F4-99DB-4D21-BB3B-7800C020E52E}">
  <dimension ref="A1:D15"/>
  <sheetViews>
    <sheetView workbookViewId="0">
      <selection activeCell="H19" sqref="H19"/>
    </sheetView>
  </sheetViews>
  <sheetFormatPr defaultRowHeight="14.5" x14ac:dyDescent="0.35"/>
  <cols>
    <col min="1" max="1" width="18.26953125" customWidth="1"/>
  </cols>
  <sheetData>
    <row r="1" spans="1:4" x14ac:dyDescent="0.35">
      <c r="A1" t="s">
        <v>114</v>
      </c>
      <c r="B1" t="s">
        <v>114</v>
      </c>
      <c r="C1" t="s">
        <v>115</v>
      </c>
      <c r="D1" t="s">
        <v>137</v>
      </c>
    </row>
    <row r="2" spans="1:4" x14ac:dyDescent="0.35">
      <c r="A2" t="s">
        <v>119</v>
      </c>
      <c r="B2">
        <v>21</v>
      </c>
      <c r="C2">
        <v>0</v>
      </c>
      <c r="D2" t="s">
        <v>95</v>
      </c>
    </row>
    <row r="3" spans="1:4" x14ac:dyDescent="0.35">
      <c r="A3" t="s">
        <v>120</v>
      </c>
      <c r="B3">
        <v>22</v>
      </c>
      <c r="C3">
        <v>0</v>
      </c>
      <c r="D3" t="s">
        <v>95</v>
      </c>
    </row>
    <row r="4" spans="1:4" x14ac:dyDescent="0.35">
      <c r="A4" t="s">
        <v>121</v>
      </c>
      <c r="B4">
        <v>23</v>
      </c>
      <c r="C4">
        <v>0</v>
      </c>
      <c r="D4" t="s">
        <v>95</v>
      </c>
    </row>
    <row r="5" spans="1:4" x14ac:dyDescent="0.35">
      <c r="A5" t="s">
        <v>122</v>
      </c>
      <c r="B5">
        <v>24</v>
      </c>
      <c r="C5">
        <v>0</v>
      </c>
      <c r="D5" t="s">
        <v>95</v>
      </c>
    </row>
    <row r="6" spans="1:4" x14ac:dyDescent="0.35">
      <c r="A6" t="s">
        <v>123</v>
      </c>
      <c r="B6">
        <v>31</v>
      </c>
      <c r="C6">
        <v>0</v>
      </c>
      <c r="D6" t="s">
        <v>95</v>
      </c>
    </row>
    <row r="7" spans="1:4" x14ac:dyDescent="0.35">
      <c r="A7" t="s">
        <v>124</v>
      </c>
      <c r="B7">
        <v>41</v>
      </c>
      <c r="C7">
        <v>5.0599999999999996</v>
      </c>
      <c r="D7" t="s">
        <v>131</v>
      </c>
    </row>
    <row r="8" spans="1:4" x14ac:dyDescent="0.35">
      <c r="A8" t="s">
        <v>125</v>
      </c>
      <c r="B8">
        <v>42</v>
      </c>
      <c r="C8">
        <v>5.47</v>
      </c>
      <c r="D8" t="s">
        <v>132</v>
      </c>
    </row>
    <row r="9" spans="1:4" x14ac:dyDescent="0.35">
      <c r="A9" t="s">
        <v>126</v>
      </c>
      <c r="B9">
        <v>43</v>
      </c>
      <c r="C9">
        <v>5.7</v>
      </c>
      <c r="D9" t="s">
        <v>133</v>
      </c>
    </row>
    <row r="10" spans="1:4" x14ac:dyDescent="0.35">
      <c r="A10" t="s">
        <v>127</v>
      </c>
      <c r="B10">
        <v>52</v>
      </c>
      <c r="C10">
        <v>2.1</v>
      </c>
      <c r="D10" t="s">
        <v>134</v>
      </c>
    </row>
    <row r="11" spans="1:4" x14ac:dyDescent="0.35">
      <c r="A11" t="s">
        <v>128</v>
      </c>
      <c r="B11">
        <v>71</v>
      </c>
      <c r="C11">
        <v>1.71</v>
      </c>
      <c r="D11" t="s">
        <v>135</v>
      </c>
    </row>
    <row r="12" spans="1:4" x14ac:dyDescent="0.35">
      <c r="A12" t="s">
        <v>129</v>
      </c>
      <c r="B12">
        <v>81</v>
      </c>
      <c r="C12">
        <v>1.71</v>
      </c>
      <c r="D12" t="s">
        <v>135</v>
      </c>
    </row>
    <row r="13" spans="1:4" x14ac:dyDescent="0.35">
      <c r="A13" t="s">
        <v>130</v>
      </c>
      <c r="B13">
        <v>82</v>
      </c>
      <c r="C13">
        <v>3.62</v>
      </c>
      <c r="D13" t="s">
        <v>136</v>
      </c>
    </row>
    <row r="14" spans="1:4" x14ac:dyDescent="0.35">
      <c r="A14" t="s">
        <v>117</v>
      </c>
      <c r="B14">
        <v>90</v>
      </c>
      <c r="C14">
        <v>6.34</v>
      </c>
      <c r="D14" t="s">
        <v>116</v>
      </c>
    </row>
    <row r="15" spans="1:4" x14ac:dyDescent="0.35">
      <c r="A15" t="s">
        <v>118</v>
      </c>
      <c r="B15">
        <v>95</v>
      </c>
      <c r="C15">
        <v>6.34</v>
      </c>
      <c r="D15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ED44-B9C4-46A6-AD68-4AA91D69463A}">
  <dimension ref="A1:A3"/>
  <sheetViews>
    <sheetView workbookViewId="0">
      <selection activeCell="B10" sqref="B10"/>
    </sheetView>
  </sheetViews>
  <sheetFormatPr defaultRowHeight="14.5" x14ac:dyDescent="0.35"/>
  <sheetData>
    <row r="1" spans="1:1" x14ac:dyDescent="0.35">
      <c r="A1" s="2" t="s">
        <v>110</v>
      </c>
    </row>
    <row r="2" spans="1:1" x14ac:dyDescent="0.35">
      <c r="A2" t="s">
        <v>35</v>
      </c>
    </row>
    <row r="3" spans="1:1" x14ac:dyDescent="0.35">
      <c r="A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6027-F05D-4189-ABF9-169D935A30B6}">
  <dimension ref="A1:AV12"/>
  <sheetViews>
    <sheetView tabSelected="1" topLeftCell="G1" workbookViewId="0">
      <selection activeCell="T16" sqref="T16"/>
    </sheetView>
  </sheetViews>
  <sheetFormatPr defaultRowHeight="14.5" x14ac:dyDescent="0.35"/>
  <sheetData>
    <row r="1" spans="1:48" s="8" customFormat="1" ht="42" x14ac:dyDescent="0.35">
      <c r="F1" s="9"/>
      <c r="G1" s="9"/>
      <c r="I1" s="10"/>
      <c r="J1" s="10"/>
      <c r="K1" s="10"/>
      <c r="P1" s="8" t="s">
        <v>138</v>
      </c>
      <c r="Y1" s="8" t="s">
        <v>139</v>
      </c>
      <c r="Z1" s="8" t="s">
        <v>140</v>
      </c>
      <c r="AA1" s="8" t="s">
        <v>141</v>
      </c>
      <c r="AF1" s="8" t="s">
        <v>142</v>
      </c>
      <c r="AG1" s="8" t="s">
        <v>143</v>
      </c>
      <c r="AI1" s="8" t="s">
        <v>144</v>
      </c>
      <c r="AJ1" s="8" t="s">
        <v>145</v>
      </c>
      <c r="AM1" s="9"/>
      <c r="AN1" s="8" t="s">
        <v>146</v>
      </c>
      <c r="AO1" s="11" t="s">
        <v>147</v>
      </c>
      <c r="AP1" s="12"/>
      <c r="AQ1" s="12"/>
      <c r="AR1" s="13"/>
      <c r="AT1" s="14" t="s">
        <v>148</v>
      </c>
      <c r="AU1" s="14"/>
      <c r="AV1" s="14"/>
    </row>
    <row r="2" spans="1:48" s="24" customFormat="1" ht="35.5" x14ac:dyDescent="0.35">
      <c r="A2" s="15" t="s">
        <v>149</v>
      </c>
      <c r="B2" s="16" t="s">
        <v>150</v>
      </c>
      <c r="C2" s="8" t="s">
        <v>151</v>
      </c>
      <c r="D2" s="8" t="s">
        <v>152</v>
      </c>
      <c r="E2" s="17" t="s">
        <v>153</v>
      </c>
      <c r="F2" s="18" t="s">
        <v>154</v>
      </c>
      <c r="G2" s="18" t="s">
        <v>155</v>
      </c>
      <c r="H2" s="18" t="s">
        <v>156</v>
      </c>
      <c r="I2" s="19" t="s">
        <v>157</v>
      </c>
      <c r="J2" s="20" t="s">
        <v>158</v>
      </c>
      <c r="K2" s="20" t="s">
        <v>159</v>
      </c>
      <c r="L2" s="21" t="s">
        <v>160</v>
      </c>
      <c r="M2" s="22" t="s">
        <v>161</v>
      </c>
      <c r="N2" s="23" t="s">
        <v>162</v>
      </c>
      <c r="O2" s="23" t="s">
        <v>163</v>
      </c>
      <c r="P2" s="23" t="s">
        <v>164</v>
      </c>
      <c r="Q2" s="23" t="s">
        <v>165</v>
      </c>
      <c r="R2" s="34" t="s">
        <v>166</v>
      </c>
      <c r="S2" s="34" t="s">
        <v>167</v>
      </c>
      <c r="T2" s="34" t="s">
        <v>168</v>
      </c>
      <c r="U2" s="34" t="s">
        <v>169</v>
      </c>
      <c r="V2" s="34" t="s">
        <v>170</v>
      </c>
      <c r="W2" s="23" t="s">
        <v>171</v>
      </c>
      <c r="X2" s="23" t="s">
        <v>172</v>
      </c>
      <c r="Y2" s="23"/>
      <c r="Z2" s="23"/>
      <c r="AA2" s="23"/>
      <c r="AB2" s="23" t="s">
        <v>173</v>
      </c>
      <c r="AC2" s="23" t="s">
        <v>174</v>
      </c>
      <c r="AD2" s="23" t="s">
        <v>175</v>
      </c>
      <c r="AE2" s="23" t="s">
        <v>176</v>
      </c>
      <c r="AF2" s="23" t="s">
        <v>177</v>
      </c>
      <c r="AG2" s="23"/>
      <c r="AH2" s="23" t="s">
        <v>178</v>
      </c>
      <c r="AI2" s="23" t="s">
        <v>179</v>
      </c>
      <c r="AJ2" s="23" t="s">
        <v>180</v>
      </c>
      <c r="AK2" s="23" t="s">
        <v>181</v>
      </c>
      <c r="AL2" s="23" t="s">
        <v>182</v>
      </c>
      <c r="AM2" s="23" t="s">
        <v>183</v>
      </c>
      <c r="AO2" s="24" t="s">
        <v>184</v>
      </c>
      <c r="AP2" s="24" t="s">
        <v>185</v>
      </c>
      <c r="AQ2" s="24" t="s">
        <v>186</v>
      </c>
      <c r="AR2" s="24" t="s">
        <v>187</v>
      </c>
      <c r="AT2" s="24" t="s">
        <v>188</v>
      </c>
      <c r="AU2" s="24" t="s">
        <v>189</v>
      </c>
      <c r="AV2" s="24" t="s">
        <v>190</v>
      </c>
    </row>
    <row r="3" spans="1:48" s="24" customFormat="1" ht="10.5" x14ac:dyDescent="0.25">
      <c r="A3" s="25"/>
      <c r="B3" s="26"/>
      <c r="C3" s="27"/>
      <c r="D3" s="27"/>
      <c r="E3" s="28" t="s">
        <v>191</v>
      </c>
      <c r="F3" s="27" t="s">
        <v>192</v>
      </c>
      <c r="G3" s="27" t="s">
        <v>192</v>
      </c>
      <c r="H3" s="27" t="s">
        <v>193</v>
      </c>
      <c r="I3" s="29"/>
      <c r="J3" s="29" t="s">
        <v>193</v>
      </c>
      <c r="K3" s="27"/>
      <c r="L3" s="27"/>
      <c r="M3" s="27" t="s">
        <v>194</v>
      </c>
      <c r="N3" s="27" t="s">
        <v>195</v>
      </c>
      <c r="O3" s="27"/>
      <c r="P3" s="27" t="s">
        <v>194</v>
      </c>
      <c r="Q3" s="27"/>
      <c r="R3" s="35" t="s">
        <v>196</v>
      </c>
      <c r="S3" s="35" t="s">
        <v>196</v>
      </c>
      <c r="T3" s="35" t="s">
        <v>196</v>
      </c>
      <c r="U3" s="35" t="s">
        <v>196</v>
      </c>
      <c r="V3" s="35" t="s">
        <v>196</v>
      </c>
      <c r="W3" s="27" t="s">
        <v>197</v>
      </c>
      <c r="X3" s="27" t="s">
        <v>196</v>
      </c>
      <c r="Y3" s="30"/>
      <c r="Z3" s="30"/>
      <c r="AA3" s="30"/>
      <c r="AB3" s="27" t="s">
        <v>196</v>
      </c>
      <c r="AC3" s="27" t="s">
        <v>196</v>
      </c>
      <c r="AD3" s="27" t="s">
        <v>196</v>
      </c>
      <c r="AE3" s="27" t="s">
        <v>196</v>
      </c>
      <c r="AF3" s="27" t="s">
        <v>196</v>
      </c>
      <c r="AG3" s="30"/>
      <c r="AH3" s="27" t="s">
        <v>196</v>
      </c>
      <c r="AI3" s="27" t="s">
        <v>194</v>
      </c>
      <c r="AJ3" s="27" t="s">
        <v>194</v>
      </c>
      <c r="AK3" s="27" t="s">
        <v>194</v>
      </c>
      <c r="AL3" s="27" t="s">
        <v>194</v>
      </c>
      <c r="AM3" s="27" t="s">
        <v>193</v>
      </c>
      <c r="AO3" s="27" t="s">
        <v>198</v>
      </c>
      <c r="AP3" s="27" t="s">
        <v>198</v>
      </c>
      <c r="AQ3" s="27" t="s">
        <v>198</v>
      </c>
      <c r="AR3" s="27" t="s">
        <v>198</v>
      </c>
      <c r="AS3" s="27"/>
      <c r="AT3" s="27"/>
      <c r="AU3" s="27"/>
      <c r="AV3" s="27"/>
    </row>
    <row r="4" spans="1:48" s="24" customFormat="1" ht="10.5" x14ac:dyDescent="0.25">
      <c r="A4" s="25"/>
      <c r="B4" s="26"/>
      <c r="C4" s="27"/>
      <c r="D4" s="27"/>
      <c r="E4" s="28"/>
      <c r="F4" s="27"/>
      <c r="G4" s="27"/>
      <c r="H4" s="27"/>
      <c r="I4" s="29"/>
      <c r="J4" s="29"/>
      <c r="K4" s="27"/>
      <c r="L4" s="27"/>
      <c r="M4" s="27"/>
      <c r="N4" s="27"/>
      <c r="O4" s="27"/>
      <c r="P4" s="27"/>
      <c r="Q4" s="27"/>
      <c r="R4" s="35"/>
      <c r="S4" s="35"/>
      <c r="T4" s="35"/>
      <c r="U4" s="35"/>
      <c r="V4" s="35"/>
      <c r="W4" s="27"/>
      <c r="X4" s="27"/>
      <c r="Y4" s="30"/>
      <c r="Z4" s="30"/>
      <c r="AA4" s="30"/>
      <c r="AB4" s="27"/>
      <c r="AC4" s="27"/>
      <c r="AD4" s="27"/>
      <c r="AE4" s="27"/>
      <c r="AF4" s="27"/>
      <c r="AG4" s="30"/>
      <c r="AH4" s="27"/>
      <c r="AI4" s="27"/>
      <c r="AJ4" s="27"/>
      <c r="AK4" s="27"/>
      <c r="AL4" s="27"/>
      <c r="AM4" s="27"/>
      <c r="AO4" s="27"/>
      <c r="AP4" s="27"/>
      <c r="AQ4" s="27"/>
      <c r="AR4" s="27"/>
      <c r="AS4" s="27"/>
      <c r="AT4" s="27"/>
      <c r="AU4" s="27"/>
      <c r="AV4" s="27"/>
    </row>
    <row r="5" spans="1:48" s="24" customFormat="1" ht="10.5" x14ac:dyDescent="0.25">
      <c r="A5" s="31"/>
      <c r="B5" s="26"/>
      <c r="C5" s="27"/>
      <c r="D5" s="27"/>
      <c r="E5" s="28"/>
      <c r="F5" s="27"/>
      <c r="G5" s="27"/>
      <c r="H5" s="27"/>
      <c r="I5" s="29"/>
      <c r="J5" s="29"/>
      <c r="K5" s="27"/>
      <c r="L5" s="27"/>
      <c r="M5" s="27"/>
      <c r="N5" s="27"/>
      <c r="O5" s="27"/>
      <c r="P5" s="27"/>
      <c r="Q5" s="27"/>
      <c r="R5" s="35"/>
      <c r="S5" s="35"/>
      <c r="T5" s="35"/>
      <c r="U5" s="35"/>
      <c r="V5" s="35"/>
      <c r="W5" s="27"/>
      <c r="X5" s="27"/>
      <c r="Y5" s="30"/>
      <c r="Z5" s="30"/>
      <c r="AA5" s="30"/>
      <c r="AB5" s="27"/>
      <c r="AC5" s="27"/>
      <c r="AD5" s="27"/>
      <c r="AE5" s="27"/>
      <c r="AF5" s="27"/>
      <c r="AG5" s="30"/>
      <c r="AH5" s="27"/>
      <c r="AI5" s="27"/>
      <c r="AJ5" s="27"/>
      <c r="AK5" s="27"/>
      <c r="AL5" s="27"/>
      <c r="AM5" s="27"/>
      <c r="AO5" s="27"/>
      <c r="AP5" s="27"/>
      <c r="AQ5" s="27"/>
      <c r="AR5" s="27"/>
      <c r="AS5" s="27"/>
      <c r="AT5" s="27"/>
      <c r="AU5" s="27"/>
      <c r="AV5" s="27"/>
    </row>
    <row r="6" spans="1:48" s="24" customFormat="1" ht="10.5" x14ac:dyDescent="0.25">
      <c r="A6" s="15" t="s">
        <v>199</v>
      </c>
      <c r="B6" s="16" t="s">
        <v>200</v>
      </c>
      <c r="C6" s="18">
        <v>8.09E-3</v>
      </c>
      <c r="D6" s="8">
        <v>9</v>
      </c>
      <c r="E6" s="16">
        <v>222.67</v>
      </c>
      <c r="F6" s="18">
        <f>0.0001728*((32)^0.5)/((E6)^0.5)</f>
        <v>6.550702444732426E-5</v>
      </c>
      <c r="G6" s="18">
        <f>2.22*((18)^0.5)/((E6)^0.5)</f>
        <v>0.63118747514348883</v>
      </c>
      <c r="H6" s="18">
        <v>6.31</v>
      </c>
      <c r="I6" s="19">
        <f t="shared" ref="I6:I12" si="0">LOG10(H6)</f>
        <v>0.80002935924413432</v>
      </c>
      <c r="J6" s="19">
        <v>0.2</v>
      </c>
      <c r="K6" s="19">
        <f t="shared" ref="K6:K12" si="1">0.7*EXP(0-((I6-3.07)^2)/2.78)</f>
        <v>0.10968001039674864</v>
      </c>
      <c r="L6" s="18">
        <f t="shared" ref="L6:L12" si="2">0.81*I6+0.1</f>
        <v>0.7480237809877488</v>
      </c>
      <c r="M6" s="18">
        <f t="shared" ref="M6:M12" si="3">10^L6</f>
        <v>5.5978825339993774</v>
      </c>
      <c r="N6" s="18">
        <v>5.2999999999999998E-8</v>
      </c>
      <c r="O6" s="18">
        <f t="shared" ref="O6:O12" si="4">N6/(8.314*298.15)</f>
        <v>2.1381148789760417E-11</v>
      </c>
      <c r="P6" s="18">
        <f>(0.023*1.6*M6+0.35+0.12*O6)/1.5</f>
        <v>0.37066805150249521</v>
      </c>
      <c r="Q6" s="18">
        <f>P6/O6</f>
        <v>17336208411.776768</v>
      </c>
      <c r="R6" s="36"/>
      <c r="S6" s="36"/>
      <c r="T6" s="36"/>
      <c r="U6" s="36"/>
      <c r="V6" s="36"/>
      <c r="W6" s="18">
        <v>1.6</v>
      </c>
      <c r="X6" s="18">
        <f t="shared" ref="X6:X12" si="5">LN(2)/W6</f>
        <v>0.43321698784996576</v>
      </c>
      <c r="Y6" s="18">
        <v>283.14999999999998</v>
      </c>
      <c r="Z6" s="18">
        <v>90</v>
      </c>
      <c r="AA6" s="18">
        <v>2.7000000000000001E-3</v>
      </c>
      <c r="AB6" s="18">
        <f>X6*EXP((60/8.314)*(1/298.15-1/(0.9*Y6+31.145)))</f>
        <v>0.43277097932849506</v>
      </c>
      <c r="AC6" s="18">
        <f>(0.0025*3*0.01)*(2500000*(31.145-0.1*Y6)/((Y6-33.85)^2)+610.78*(1-Z6/100))*EXP(17.2*(Y6-273.15)/(Y6-35.85))*3*0.001/(0.01*0.05*1.5*P6)</f>
        <v>0.28380429216002928</v>
      </c>
      <c r="AD6" s="18">
        <f>(G6/(Q6*1.5*0.0001))*((Y6/293.15)^1.75)*EXP(60.528-0.7*LN((H6/O6))-19091/(0.9*Y6+31.145)+0.03*Z6)</f>
        <v>6.2713928375215569E-17</v>
      </c>
      <c r="AE6" s="18">
        <f>AA6/(0.05*1.5*P6)</f>
        <v>9.7121939304115237E-2</v>
      </c>
      <c r="AF6" s="18">
        <f>SUM(AB6:AE6)</f>
        <v>0.81369721079263968</v>
      </c>
      <c r="AG6" s="18">
        <v>6.2</v>
      </c>
      <c r="AH6" s="18">
        <f t="shared" ref="AH6:AH12" si="6">LN(2)/AG6</f>
        <v>0.11179793234837827</v>
      </c>
      <c r="AI6" s="32">
        <f t="shared" ref="AI6:AI12" si="7">(0.7+J6*0.3+1.22*0*(H6^0.77))/(0.8+J6*0.1+1.22*0.02*(H6^0.77))</f>
        <v>0.82537925053495764</v>
      </c>
      <c r="AJ6" s="32">
        <f t="shared" ref="AJ6:AJ12" si="8">(0.13+J6*0.75+1.22*0.087*(H6^0.77))/(0.8+J6*0.1+1.22*0.02*(H6^0.77))</f>
        <v>0.780234741436308</v>
      </c>
      <c r="AK6" s="32">
        <f t="shared" ref="AK6:AK12" si="9">0.8+(1/0.83)*0.02*(H6^0.95)</f>
        <v>0.93866913119428863</v>
      </c>
      <c r="AL6" s="32">
        <f t="shared" ref="AL6:AL12" si="10">AK6/O6</f>
        <v>43901716433.675629</v>
      </c>
      <c r="AM6" s="32">
        <f t="shared" ref="AM6:AM12" si="11">10^(0.979*I6+0.057)</f>
        <v>6.9219545394506099</v>
      </c>
      <c r="AN6" s="26">
        <v>7</v>
      </c>
      <c r="AO6" s="33">
        <f t="shared" ref="AO6:AO12" si="12">(0.223*100/(1.5*0.05*1000))*(R6/(S6+AH6+0.035-AF6))*(EXP(0-AF6*AN6)-EXP(0-(S6+AH6+0.035)*AN6))+(0.612*100/(3*0.1*(1/0.2)*1000))*(U6/(S6+AH6+0.035-V6))*(EXP(0-V6*AN6)-EXP(0-(S6+AH6+0.035)*AN6))</f>
        <v>0</v>
      </c>
      <c r="AP6" s="32">
        <f t="shared" ref="AP6:AP12" si="13">(AI6*0.223*100/(1.5*0.05*1000))*(R6/(S6+AH6+0.035-AF6))*(EXP(0-AF6*AN6)-EXP(0-(S6+AH6+0.035)*AN6))+(AI6*0.612*100/(3*0.1*(1/0.2)*1000))*(U6/(S6+AH6+0.035-V6))*(EXP(0-V6*AN6)-EXP(0-(S6+AH6+0.035)*AN6))</f>
        <v>0</v>
      </c>
      <c r="AQ6" s="32">
        <f t="shared" ref="AQ6:AQ12" si="14">(AJ6*0.223*100/(1.5*0.05*1000))*(R6/(S6+AH6+0.035-AF6))*(EXP(0-AF6*AN6)-EXP(0-(S6+AH6+0.035)*AN6))+(AJ6*0.612*100/(3*0.1*(1/0.2)*1000))*(U6/(S6+AH6+0.035-V6))*(EXP(0-V6*AN6)-EXP(0-(S6+AH6+0.035)*AN6))</f>
        <v>0</v>
      </c>
      <c r="AR6" s="32">
        <f t="shared" ref="AR6:AR12" si="15">(0.223*100/(1.5*0.05*1000))*EXP(0-AF6*AN6)</f>
        <v>9.9897389516938632E-4</v>
      </c>
      <c r="AS6" s="32"/>
      <c r="AT6" s="32">
        <f t="shared" ref="AT6:AT12" si="16">AP6*0.000292/(C6/10)</f>
        <v>0</v>
      </c>
      <c r="AU6" s="32">
        <f t="shared" ref="AU6:AU12" si="17">AQ6*0.0000095/(C6/10)</f>
        <v>0</v>
      </c>
      <c r="AV6" s="32">
        <f t="shared" ref="AV6:AV12" si="18">AR6/(D6/10)</f>
        <v>1.1099709946326515E-3</v>
      </c>
    </row>
    <row r="7" spans="1:48" s="24" customFormat="1" ht="10.5" x14ac:dyDescent="0.25">
      <c r="A7" s="15" t="s">
        <v>201</v>
      </c>
      <c r="B7" s="16" t="s">
        <v>202</v>
      </c>
      <c r="C7" s="18">
        <v>4.3999999999999999E-5</v>
      </c>
      <c r="D7" s="8">
        <v>13.21</v>
      </c>
      <c r="E7" s="16">
        <v>249.7</v>
      </c>
      <c r="F7" s="18">
        <f t="shared" ref="F7:F12" si="19">0.0001728*((32)^0.5)/((E7)^0.5)</f>
        <v>6.1859934544114761E-5</v>
      </c>
      <c r="G7" s="18">
        <f t="shared" ref="G7:G12" si="20">2.22*((18)^0.5)/((E7)^0.5)</f>
        <v>0.59604624430527242</v>
      </c>
      <c r="H7" s="18">
        <v>8.0399999999999991</v>
      </c>
      <c r="I7" s="19">
        <f t="shared" si="0"/>
        <v>0.90525604874845123</v>
      </c>
      <c r="J7" s="19">
        <v>0.2</v>
      </c>
      <c r="K7" s="19">
        <f t="shared" si="1"/>
        <v>0.12972631511648189</v>
      </c>
      <c r="L7" s="18">
        <f t="shared" si="2"/>
        <v>0.83325739948624555</v>
      </c>
      <c r="M7" s="18">
        <f t="shared" si="3"/>
        <v>6.811729595421931</v>
      </c>
      <c r="N7" s="18">
        <v>2.9E-11</v>
      </c>
      <c r="O7" s="18">
        <f t="shared" si="4"/>
        <v>1.169911914911419E-14</v>
      </c>
      <c r="P7" s="18">
        <f t="shared" ref="P7:P12" si="21">(0.023*1.6*M7+0.35+0.12*O7)/1.5</f>
        <v>0.40044776607435234</v>
      </c>
      <c r="Q7" s="18">
        <f t="shared" ref="Q7:Q12" si="22">P7/O7</f>
        <v>34228881761980.57</v>
      </c>
      <c r="R7" s="36"/>
      <c r="S7" s="36"/>
      <c r="T7" s="36"/>
      <c r="U7" s="36"/>
      <c r="V7" s="36"/>
      <c r="W7" s="18">
        <v>545</v>
      </c>
      <c r="X7" s="18">
        <f t="shared" si="5"/>
        <v>1.2718296891008171E-3</v>
      </c>
      <c r="Y7" s="18">
        <v>283.14999999999998</v>
      </c>
      <c r="Z7" s="18">
        <v>90</v>
      </c>
      <c r="AA7" s="18">
        <v>2.7000000000000001E-3</v>
      </c>
      <c r="AB7" s="18">
        <f t="shared" ref="AB7:AB12" si="23">X7*EXP((60/8.314)*(1/298.15-1/(0.9*Y7+31.145)))</f>
        <v>1.2705203062854903E-3</v>
      </c>
      <c r="AC7" s="18">
        <f t="shared" ref="AC7:AC12" si="24">(0.0025*3*0.01)*(2500000*(31.145-0.1*Y7)/((Y7-33.85)^2)+610.78*(1-Z7/100))*EXP(17.2*(Y7-273.15)/(Y7-35.85))*3*0.001/(0.01*0.05*1.5*P7)</f>
        <v>0.26269889082979841</v>
      </c>
      <c r="AD7" s="18">
        <f t="shared" ref="AD7:AD12" si="25">G7/(Q7*1.5*0.0001)</f>
        <v>1.1609031391482685E-10</v>
      </c>
      <c r="AE7" s="18">
        <f t="shared" ref="AE7:AE12" si="26">AA7/(0.05*1.5*P7)</f>
        <v>8.9899365285298571E-2</v>
      </c>
      <c r="AF7" s="18">
        <f t="shared" ref="AF7:AF12" si="27">SUM(AB7:AE7)</f>
        <v>0.35386877653747278</v>
      </c>
      <c r="AG7" s="18">
        <v>16.600000000000001</v>
      </c>
      <c r="AH7" s="18">
        <f t="shared" si="6"/>
        <v>4.1755854250599113E-2</v>
      </c>
      <c r="AI7" s="32">
        <f t="shared" si="7"/>
        <v>0.80725592490246267</v>
      </c>
      <c r="AJ7" s="32">
        <f t="shared" si="8"/>
        <v>0.85861812479684874</v>
      </c>
      <c r="AK7" s="32">
        <f t="shared" si="9"/>
        <v>0.97456016734936535</v>
      </c>
      <c r="AL7" s="32">
        <f t="shared" si="10"/>
        <v>83302012307751.828</v>
      </c>
      <c r="AM7" s="32">
        <f t="shared" si="11"/>
        <v>8.7749706335691879</v>
      </c>
      <c r="AN7" s="26">
        <v>7</v>
      </c>
      <c r="AO7" s="33">
        <f t="shared" si="12"/>
        <v>0</v>
      </c>
      <c r="AP7" s="32">
        <f t="shared" si="13"/>
        <v>0</v>
      </c>
      <c r="AQ7" s="32">
        <f t="shared" si="14"/>
        <v>0</v>
      </c>
      <c r="AR7" s="32">
        <f t="shared" si="15"/>
        <v>2.4972429795544291E-2</v>
      </c>
      <c r="AS7" s="32"/>
      <c r="AT7" s="32">
        <f t="shared" si="16"/>
        <v>0</v>
      </c>
      <c r="AU7" s="32">
        <f t="shared" si="17"/>
        <v>0</v>
      </c>
      <c r="AV7" s="32">
        <f t="shared" si="18"/>
        <v>1.8904186067785229E-2</v>
      </c>
    </row>
    <row r="8" spans="1:48" s="24" customFormat="1" ht="10.5" x14ac:dyDescent="0.25">
      <c r="A8" s="15" t="s">
        <v>203</v>
      </c>
      <c r="B8" s="16" t="s">
        <v>204</v>
      </c>
      <c r="C8" s="18">
        <v>2.3E-5</v>
      </c>
      <c r="D8" s="8">
        <v>4.9000000000000004</v>
      </c>
      <c r="E8" s="16">
        <v>202.21</v>
      </c>
      <c r="F8" s="18">
        <f t="shared" si="19"/>
        <v>6.8741248032381578E-5</v>
      </c>
      <c r="G8" s="18">
        <f t="shared" si="20"/>
        <v>0.66235056697867667</v>
      </c>
      <c r="H8" s="18">
        <v>0.28199999999999997</v>
      </c>
      <c r="I8" s="19">
        <f t="shared" si="0"/>
        <v>-0.54975089168063895</v>
      </c>
      <c r="J8" s="19">
        <v>0.1</v>
      </c>
      <c r="K8" s="19">
        <f t="shared" si="1"/>
        <v>6.2834306929133643E-3</v>
      </c>
      <c r="L8" s="18">
        <f t="shared" si="2"/>
        <v>-0.34529822226131757</v>
      </c>
      <c r="M8" s="18">
        <f t="shared" si="3"/>
        <v>0.45154576947905839</v>
      </c>
      <c r="N8" s="18">
        <v>8.7000000000000001E-9</v>
      </c>
      <c r="O8" s="18">
        <f t="shared" si="4"/>
        <v>3.5097357447342574E-12</v>
      </c>
      <c r="P8" s="18">
        <f t="shared" si="21"/>
        <v>0.24441125621150031</v>
      </c>
      <c r="Q8" s="18">
        <f t="shared" si="22"/>
        <v>69638079327.823044</v>
      </c>
      <c r="R8" s="36"/>
      <c r="S8" s="36"/>
      <c r="T8" s="36"/>
      <c r="U8" s="36"/>
      <c r="V8" s="36"/>
      <c r="W8" s="18">
        <v>82</v>
      </c>
      <c r="X8" s="18">
        <f t="shared" si="5"/>
        <v>8.4530143970725034E-3</v>
      </c>
      <c r="Y8" s="18">
        <v>283.14999999999998</v>
      </c>
      <c r="Z8" s="18">
        <v>90</v>
      </c>
      <c r="AA8" s="18">
        <v>2.7000000000000001E-3</v>
      </c>
      <c r="AB8" s="18">
        <f t="shared" si="23"/>
        <v>8.4443117917755144E-3</v>
      </c>
      <c r="AC8" s="18">
        <f t="shared" si="24"/>
        <v>0.4304105531537834</v>
      </c>
      <c r="AD8" s="18">
        <f t="shared" si="25"/>
        <v>6.340884885319179E-8</v>
      </c>
      <c r="AE8" s="18">
        <f t="shared" si="26"/>
        <v>0.14729272521248998</v>
      </c>
      <c r="AF8" s="18">
        <f t="shared" si="27"/>
        <v>0.58614765356689769</v>
      </c>
      <c r="AG8" s="18">
        <v>6.8</v>
      </c>
      <c r="AH8" s="18">
        <f t="shared" si="6"/>
        <v>0.10193340890587431</v>
      </c>
      <c r="AI8" s="32">
        <f t="shared" si="7"/>
        <v>0.89110650857521279</v>
      </c>
      <c r="AJ8" s="32">
        <f t="shared" si="8"/>
        <v>0.29912746752487146</v>
      </c>
      <c r="AK8" s="32">
        <f t="shared" si="9"/>
        <v>0.80723916634539128</v>
      </c>
      <c r="AL8" s="32">
        <f t="shared" si="10"/>
        <v>229999984345.40607</v>
      </c>
      <c r="AM8" s="32">
        <f t="shared" si="11"/>
        <v>0.33021277968787466</v>
      </c>
      <c r="AN8" s="26">
        <v>7</v>
      </c>
      <c r="AO8" s="33">
        <f t="shared" si="12"/>
        <v>0</v>
      </c>
      <c r="AP8" s="32">
        <f t="shared" si="13"/>
        <v>0</v>
      </c>
      <c r="AQ8" s="32">
        <f t="shared" si="14"/>
        <v>0</v>
      </c>
      <c r="AR8" s="32">
        <f t="shared" si="15"/>
        <v>4.912683199129097E-3</v>
      </c>
      <c r="AS8" s="32"/>
      <c r="AT8" s="32">
        <f t="shared" si="16"/>
        <v>0</v>
      </c>
      <c r="AU8" s="32">
        <f t="shared" si="17"/>
        <v>0</v>
      </c>
      <c r="AV8" s="32">
        <f t="shared" si="18"/>
        <v>1.00258840798553E-2</v>
      </c>
    </row>
    <row r="9" spans="1:48" s="24" customFormat="1" ht="10.5" x14ac:dyDescent="0.25">
      <c r="A9" s="15" t="s">
        <v>205</v>
      </c>
      <c r="B9" s="16" t="s">
        <v>206</v>
      </c>
      <c r="C9" s="18">
        <v>0.1</v>
      </c>
      <c r="D9" s="8">
        <v>1000</v>
      </c>
      <c r="E9" s="16">
        <v>229.16</v>
      </c>
      <c r="F9" s="18">
        <f>0.0001728*((32)^0.5)/((E9)^0.5)</f>
        <v>6.4572755671446795E-5</v>
      </c>
      <c r="G9" s="18">
        <f t="shared" si="20"/>
        <v>0.622185406209253</v>
      </c>
      <c r="H9" s="18">
        <v>0.57499999999999996</v>
      </c>
      <c r="I9" s="19">
        <f t="shared" si="0"/>
        <v>-0.24033215531036956</v>
      </c>
      <c r="J9" s="19">
        <v>0.1</v>
      </c>
      <c r="K9" s="19">
        <f t="shared" si="1"/>
        <v>1.3588803343909051E-2</v>
      </c>
      <c r="L9" s="18">
        <f t="shared" si="2"/>
        <v>-9.4669045801399343E-2</v>
      </c>
      <c r="M9" s="18">
        <f t="shared" si="3"/>
        <v>0.80413868280240575</v>
      </c>
      <c r="N9" s="18">
        <v>4.1999999999999999E-8</v>
      </c>
      <c r="O9" s="18">
        <f t="shared" si="4"/>
        <v>1.6943551871130896E-11</v>
      </c>
      <c r="P9" s="18">
        <f t="shared" si="21"/>
        <v>0.25306153568610784</v>
      </c>
      <c r="Q9" s="18">
        <f t="shared" si="22"/>
        <v>14935565907.953707</v>
      </c>
      <c r="R9" s="36"/>
      <c r="S9" s="36"/>
      <c r="T9" s="36"/>
      <c r="U9" s="36"/>
      <c r="V9" s="36"/>
      <c r="W9" s="18">
        <v>3.1</v>
      </c>
      <c r="X9" s="18">
        <f t="shared" si="5"/>
        <v>0.22359586469675655</v>
      </c>
      <c r="Y9" s="18">
        <v>283.14999999999998</v>
      </c>
      <c r="Z9" s="18">
        <v>90</v>
      </c>
      <c r="AA9" s="18">
        <v>2.7000000000000001E-3</v>
      </c>
      <c r="AB9" s="18">
        <f t="shared" si="23"/>
        <v>0.22336566675019101</v>
      </c>
      <c r="AC9" s="18">
        <f t="shared" si="24"/>
        <v>0.41569803841500153</v>
      </c>
      <c r="AD9" s="18">
        <f t="shared" si="25"/>
        <v>2.7771982217645895E-7</v>
      </c>
      <c r="AE9" s="18">
        <f t="shared" si="26"/>
        <v>0.1422578895777098</v>
      </c>
      <c r="AF9" s="18">
        <f t="shared" si="27"/>
        <v>0.78132187246272444</v>
      </c>
      <c r="AG9" s="18">
        <v>4</v>
      </c>
      <c r="AH9" s="18">
        <f t="shared" si="6"/>
        <v>0.17328679513998632</v>
      </c>
      <c r="AI9" s="32">
        <f t="shared" si="7"/>
        <v>0.88384749860435052</v>
      </c>
      <c r="AJ9" s="32">
        <f t="shared" si="8"/>
        <v>0.33212613134446911</v>
      </c>
      <c r="AK9" s="32">
        <f t="shared" si="9"/>
        <v>0.814244144008343</v>
      </c>
      <c r="AL9" s="32">
        <f t="shared" si="10"/>
        <v>48056284195.976929</v>
      </c>
      <c r="AM9" s="32">
        <f t="shared" si="11"/>
        <v>0.6633073657011036</v>
      </c>
      <c r="AN9" s="26">
        <v>7</v>
      </c>
      <c r="AO9" s="33">
        <f t="shared" si="12"/>
        <v>0</v>
      </c>
      <c r="AP9" s="32">
        <f t="shared" si="13"/>
        <v>0</v>
      </c>
      <c r="AQ9" s="32">
        <f t="shared" si="14"/>
        <v>0</v>
      </c>
      <c r="AR9" s="32">
        <f t="shared" si="15"/>
        <v>1.2530752583909137E-3</v>
      </c>
      <c r="AS9" s="32"/>
      <c r="AT9" s="32">
        <f t="shared" si="16"/>
        <v>0</v>
      </c>
      <c r="AU9" s="32">
        <f t="shared" si="17"/>
        <v>0</v>
      </c>
      <c r="AV9" s="32">
        <f t="shared" si="18"/>
        <v>1.2530752583909137E-5</v>
      </c>
    </row>
    <row r="10" spans="1:48" s="24" customFormat="1" ht="10.5" x14ac:dyDescent="0.25">
      <c r="A10" s="15" t="s">
        <v>207</v>
      </c>
      <c r="B10" s="16" t="s">
        <v>208</v>
      </c>
      <c r="C10" s="18">
        <v>8.1000000000000004E-5</v>
      </c>
      <c r="D10" s="8">
        <v>10.7</v>
      </c>
      <c r="E10" s="16">
        <v>255.66</v>
      </c>
      <c r="F10" s="18">
        <f t="shared" si="19"/>
        <v>6.1134636602640924E-5</v>
      </c>
      <c r="G10" s="18">
        <f t="shared" si="20"/>
        <v>0.58905769643169636</v>
      </c>
      <c r="H10" s="18">
        <v>3.72</v>
      </c>
      <c r="I10" s="19">
        <f t="shared" si="0"/>
        <v>0.57054293988189753</v>
      </c>
      <c r="J10" s="19">
        <v>0.2</v>
      </c>
      <c r="K10" s="19">
        <f t="shared" si="1"/>
        <v>7.3984476985727632E-2</v>
      </c>
      <c r="L10" s="18">
        <f t="shared" si="2"/>
        <v>0.56213978130433706</v>
      </c>
      <c r="M10" s="18">
        <f t="shared" si="3"/>
        <v>3.6487136492323029</v>
      </c>
      <c r="N10" s="18">
        <v>1.7000000000000001E-10</v>
      </c>
      <c r="O10" s="18">
        <f t="shared" si="4"/>
        <v>6.8581043287910771E-14</v>
      </c>
      <c r="P10" s="18">
        <f t="shared" si="21"/>
        <v>0.32284844152783793</v>
      </c>
      <c r="Q10" s="18">
        <f t="shared" si="22"/>
        <v>4707546372143.751</v>
      </c>
      <c r="R10" s="36"/>
      <c r="S10" s="36"/>
      <c r="T10" s="36"/>
      <c r="U10" s="36"/>
      <c r="V10" s="36"/>
      <c r="W10" s="18">
        <v>191</v>
      </c>
      <c r="X10" s="18">
        <f t="shared" si="5"/>
        <v>3.6290428301567817E-3</v>
      </c>
      <c r="Y10" s="18">
        <v>283.14999999999998</v>
      </c>
      <c r="Z10" s="18">
        <v>90</v>
      </c>
      <c r="AA10" s="18">
        <v>2.7000000000000001E-3</v>
      </c>
      <c r="AB10" s="18">
        <f t="shared" si="23"/>
        <v>3.6253066331182835E-3</v>
      </c>
      <c r="AC10" s="18">
        <f t="shared" si="24"/>
        <v>0.32584076752909519</v>
      </c>
      <c r="AD10" s="18">
        <f t="shared" si="25"/>
        <v>8.3420342554295808E-10</v>
      </c>
      <c r="AE10" s="18">
        <f t="shared" si="26"/>
        <v>0.11150743001773437</v>
      </c>
      <c r="AF10" s="18">
        <f t="shared" si="27"/>
        <v>0.44097350501415128</v>
      </c>
      <c r="AG10" s="18">
        <v>4.9000000000000004</v>
      </c>
      <c r="AH10" s="18">
        <f t="shared" si="6"/>
        <v>0.14145860827753984</v>
      </c>
      <c r="AI10" s="32">
        <f t="shared" si="7"/>
        <v>0.85672634033967043</v>
      </c>
      <c r="AJ10" s="32">
        <f t="shared" si="8"/>
        <v>0.64465857803092519</v>
      </c>
      <c r="AK10" s="32">
        <f t="shared" si="9"/>
        <v>0.88393975478734632</v>
      </c>
      <c r="AL10" s="32">
        <f t="shared" si="10"/>
        <v>12888980867154.061</v>
      </c>
      <c r="AM10" s="32">
        <f t="shared" si="11"/>
        <v>4.1263070143022658</v>
      </c>
      <c r="AN10" s="26">
        <v>7</v>
      </c>
      <c r="AO10" s="33">
        <f t="shared" si="12"/>
        <v>0</v>
      </c>
      <c r="AP10" s="32">
        <f t="shared" si="13"/>
        <v>0</v>
      </c>
      <c r="AQ10" s="32">
        <f t="shared" si="14"/>
        <v>0</v>
      </c>
      <c r="AR10" s="32">
        <f t="shared" si="15"/>
        <v>1.3572413435079686E-2</v>
      </c>
      <c r="AS10" s="32"/>
      <c r="AT10" s="32">
        <f t="shared" si="16"/>
        <v>0</v>
      </c>
      <c r="AU10" s="32">
        <f t="shared" si="17"/>
        <v>0</v>
      </c>
      <c r="AV10" s="32">
        <f t="shared" si="18"/>
        <v>1.2684498537457652E-2</v>
      </c>
    </row>
    <row r="11" spans="1:48" s="24" customFormat="1" ht="10.5" x14ac:dyDescent="0.25">
      <c r="A11" s="15" t="s">
        <v>209</v>
      </c>
      <c r="B11" s="16" t="s">
        <v>210</v>
      </c>
      <c r="C11" s="18">
        <v>3.882E-2</v>
      </c>
      <c r="D11" s="8">
        <v>105</v>
      </c>
      <c r="E11" s="16">
        <v>252.72</v>
      </c>
      <c r="F11" s="18">
        <f t="shared" si="19"/>
        <v>6.1489211061153466E-5</v>
      </c>
      <c r="G11" s="18">
        <f t="shared" si="20"/>
        <v>0.59247416907882244</v>
      </c>
      <c r="H11" s="18">
        <v>18.2</v>
      </c>
      <c r="I11" s="19">
        <f t="shared" si="0"/>
        <v>1.2600713879850747</v>
      </c>
      <c r="J11" s="19">
        <v>0.5</v>
      </c>
      <c r="K11" s="19">
        <f t="shared" si="1"/>
        <v>0.21544810193559122</v>
      </c>
      <c r="L11" s="18">
        <f t="shared" si="2"/>
        <v>1.1206578242679106</v>
      </c>
      <c r="M11" s="18">
        <f t="shared" si="3"/>
        <v>13.20255010236108</v>
      </c>
      <c r="N11" s="18">
        <v>4.8E-10</v>
      </c>
      <c r="O11" s="18">
        <f t="shared" si="4"/>
        <v>1.9364059281292454E-13</v>
      </c>
      <c r="P11" s="18">
        <f t="shared" si="21"/>
        <v>0.5572358958446072</v>
      </c>
      <c r="Q11" s="18">
        <f t="shared" si="22"/>
        <v>2877681212135.8809</v>
      </c>
      <c r="R11" s="36"/>
      <c r="S11" s="36"/>
      <c r="T11" s="36"/>
      <c r="U11" s="36"/>
      <c r="V11" s="36"/>
      <c r="W11" s="18">
        <v>0.88</v>
      </c>
      <c r="X11" s="18">
        <f t="shared" si="5"/>
        <v>0.7876672506363015</v>
      </c>
      <c r="Y11" s="18">
        <v>283.14999999999998</v>
      </c>
      <c r="Z11" s="18">
        <v>90</v>
      </c>
      <c r="AA11" s="18">
        <v>2.7000000000000001E-3</v>
      </c>
      <c r="AB11" s="18">
        <f t="shared" si="23"/>
        <v>0.78685632605180933</v>
      </c>
      <c r="AC11" s="18">
        <f t="shared" si="24"/>
        <v>0.18878393292225845</v>
      </c>
      <c r="AD11" s="18">
        <f t="shared" si="25"/>
        <v>1.3725730901676783E-9</v>
      </c>
      <c r="AE11" s="18">
        <f t="shared" si="26"/>
        <v>6.4604596129677699E-2</v>
      </c>
      <c r="AF11" s="18">
        <f t="shared" si="27"/>
        <v>1.0402448564763185</v>
      </c>
      <c r="AG11" s="18">
        <v>3.8</v>
      </c>
      <c r="AH11" s="18">
        <f t="shared" si="6"/>
        <v>0.18240715277893299</v>
      </c>
      <c r="AI11" s="32">
        <f t="shared" si="7"/>
        <v>0.78860857572623133</v>
      </c>
      <c r="AJ11" s="32">
        <f t="shared" si="8"/>
        <v>1.3880789670517715</v>
      </c>
      <c r="AK11" s="32">
        <f t="shared" si="9"/>
        <v>1.1793322105485111</v>
      </c>
      <c r="AL11" s="32">
        <f t="shared" si="10"/>
        <v>6090315018235.1465</v>
      </c>
      <c r="AM11" s="32">
        <f t="shared" si="11"/>
        <v>19.52584730931148</v>
      </c>
      <c r="AN11" s="26">
        <v>7</v>
      </c>
      <c r="AO11" s="33">
        <f t="shared" si="12"/>
        <v>0</v>
      </c>
      <c r="AP11" s="32">
        <f t="shared" si="13"/>
        <v>0</v>
      </c>
      <c r="AQ11" s="32">
        <f t="shared" si="14"/>
        <v>0</v>
      </c>
      <c r="AR11" s="32">
        <f t="shared" si="15"/>
        <v>2.0456691354459223E-4</v>
      </c>
      <c r="AS11" s="32"/>
      <c r="AT11" s="32">
        <f t="shared" si="16"/>
        <v>0</v>
      </c>
      <c r="AU11" s="32">
        <f t="shared" si="17"/>
        <v>0</v>
      </c>
      <c r="AV11" s="32">
        <f t="shared" si="18"/>
        <v>1.948256319472307E-5</v>
      </c>
    </row>
    <row r="12" spans="1:48" s="24" customFormat="1" ht="10.5" x14ac:dyDescent="0.25">
      <c r="A12" s="15" t="s">
        <v>211</v>
      </c>
      <c r="B12" s="16" t="s">
        <v>212</v>
      </c>
      <c r="C12" s="18">
        <v>2.4000000000000001E-5</v>
      </c>
      <c r="D12" s="8">
        <v>1000</v>
      </c>
      <c r="E12" s="16">
        <v>291.70999999999998</v>
      </c>
      <c r="F12" s="18">
        <f t="shared" si="19"/>
        <v>5.7232546351409518E-5</v>
      </c>
      <c r="G12" s="18">
        <f t="shared" si="20"/>
        <v>0.55145943099014372</v>
      </c>
      <c r="H12" s="18">
        <v>0.74099999999999999</v>
      </c>
      <c r="I12" s="19">
        <f t="shared" si="0"/>
        <v>-0.13018179202067184</v>
      </c>
      <c r="J12" s="19">
        <v>0.1</v>
      </c>
      <c r="K12" s="19">
        <f t="shared" si="1"/>
        <v>1.7587854379392937E-2</v>
      </c>
      <c r="L12" s="18">
        <f t="shared" si="2"/>
        <v>-5.4472515367441909E-3</v>
      </c>
      <c r="M12" s="18">
        <f t="shared" si="3"/>
        <v>0.98753557238599765</v>
      </c>
      <c r="N12" s="18">
        <v>4.7000000000000003E-10</v>
      </c>
      <c r="O12" s="18">
        <f t="shared" si="4"/>
        <v>1.8960641379598862E-13</v>
      </c>
      <c r="P12" s="18">
        <f t="shared" si="21"/>
        <v>0.25756087270921829</v>
      </c>
      <c r="Q12" s="18">
        <f t="shared" si="22"/>
        <v>1358397469541.019</v>
      </c>
      <c r="R12" s="36"/>
      <c r="S12" s="36"/>
      <c r="T12" s="36"/>
      <c r="U12" s="36"/>
      <c r="V12" s="36"/>
      <c r="W12" s="18">
        <v>50</v>
      </c>
      <c r="X12" s="18">
        <f t="shared" si="5"/>
        <v>1.3862943611198907E-2</v>
      </c>
      <c r="Y12" s="18">
        <v>283.14999999999998</v>
      </c>
      <c r="Z12" s="18">
        <v>90</v>
      </c>
      <c r="AA12" s="18">
        <v>2.7000000000000001E-3</v>
      </c>
      <c r="AB12" s="18">
        <f t="shared" si="23"/>
        <v>1.3848671338511843E-2</v>
      </c>
      <c r="AC12" s="18">
        <f t="shared" si="24"/>
        <v>0.40843619947572046</v>
      </c>
      <c r="AD12" s="18">
        <f t="shared" si="25"/>
        <v>2.7064215658787658E-9</v>
      </c>
      <c r="AE12" s="18">
        <f t="shared" si="26"/>
        <v>0.13977278311462846</v>
      </c>
      <c r="AF12" s="18">
        <f t="shared" si="27"/>
        <v>0.5620576566352824</v>
      </c>
      <c r="AG12" s="18">
        <v>4.4000000000000004</v>
      </c>
      <c r="AH12" s="18">
        <f t="shared" si="6"/>
        <v>0.15753345012726028</v>
      </c>
      <c r="AI12" s="32">
        <f t="shared" si="7"/>
        <v>0.8801852080188094</v>
      </c>
      <c r="AJ12" s="32">
        <f t="shared" si="8"/>
        <v>0.3487745029994257</v>
      </c>
      <c r="AK12" s="32">
        <f t="shared" si="9"/>
        <v>0.81812504948137188</v>
      </c>
      <c r="AL12" s="32">
        <f t="shared" si="10"/>
        <v>4314859572006.105</v>
      </c>
      <c r="AM12" s="32">
        <f t="shared" si="11"/>
        <v>0.85026054268654294</v>
      </c>
      <c r="AN12" s="26">
        <v>7</v>
      </c>
      <c r="AO12" s="33">
        <f t="shared" si="12"/>
        <v>0</v>
      </c>
      <c r="AP12" s="32">
        <f t="shared" si="13"/>
        <v>0</v>
      </c>
      <c r="AQ12" s="32">
        <f t="shared" si="14"/>
        <v>0</v>
      </c>
      <c r="AR12" s="32">
        <f t="shared" si="15"/>
        <v>5.8150550188496054E-3</v>
      </c>
      <c r="AS12" s="32"/>
      <c r="AT12" s="32">
        <f t="shared" si="16"/>
        <v>0</v>
      </c>
      <c r="AU12" s="32">
        <f t="shared" si="17"/>
        <v>0</v>
      </c>
      <c r="AV12" s="32">
        <f t="shared" si="18"/>
        <v>5.8150550188496058E-5</v>
      </c>
    </row>
  </sheetData>
  <mergeCells count="43">
    <mergeCell ref="AT3:AT5"/>
    <mergeCell ref="AU3:AU5"/>
    <mergeCell ref="AV3:AV5"/>
    <mergeCell ref="AM3:AM5"/>
    <mergeCell ref="AO3:AO5"/>
    <mergeCell ref="AP3:AP5"/>
    <mergeCell ref="AQ3:AQ5"/>
    <mergeCell ref="AR3:AR5"/>
    <mergeCell ref="AS3:AS5"/>
    <mergeCell ref="AF3:AF5"/>
    <mergeCell ref="AH3:AH5"/>
    <mergeCell ref="AI3:AI5"/>
    <mergeCell ref="AJ3:AJ5"/>
    <mergeCell ref="AK3:AK5"/>
    <mergeCell ref="AL3:AL5"/>
    <mergeCell ref="W3:W5"/>
    <mergeCell ref="X3:X5"/>
    <mergeCell ref="AB3:AB5"/>
    <mergeCell ref="AC3:AC5"/>
    <mergeCell ref="AD3:AD5"/>
    <mergeCell ref="AE3:AE5"/>
    <mergeCell ref="Q3:Q5"/>
    <mergeCell ref="R3:R5"/>
    <mergeCell ref="S3:S5"/>
    <mergeCell ref="T3:T5"/>
    <mergeCell ref="U3:U5"/>
    <mergeCell ref="V3:V5"/>
    <mergeCell ref="K3:K5"/>
    <mergeCell ref="L3:L5"/>
    <mergeCell ref="M3:M5"/>
    <mergeCell ref="N3:N5"/>
    <mergeCell ref="O3:O5"/>
    <mergeCell ref="P3:P5"/>
    <mergeCell ref="AO1:AR1"/>
    <mergeCell ref="AT1:AV1"/>
    <mergeCell ref="C3:C5"/>
    <mergeCell ref="D3:D5"/>
    <mergeCell ref="E3:E5"/>
    <mergeCell ref="F3:F5"/>
    <mergeCell ref="G3:G5"/>
    <mergeCell ref="H3:H5"/>
    <mergeCell ref="I3:I5"/>
    <mergeCell ref="J3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Plant_UptakeHerbVariables</vt:lpstr>
      <vt:lpstr>Plant_UptakeVegetationVariables</vt:lpstr>
      <vt:lpstr>Soil_DissVariables</vt:lpstr>
      <vt:lpstr>LAI Values</vt:lpstr>
      <vt:lpstr>note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2023-04-12T14:25:42Z</dcterms:created>
  <dcterms:modified xsi:type="dcterms:W3CDTF">2023-04-27T17:26:47Z</dcterms:modified>
</cp:coreProperties>
</file>