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sepa-my.sharepoint.com/personal/paulukonis_elizabeth_epa_gov/Documents/Profile/Documents/Paulukonis_Documents/Personal/NCSU/ComprehensiveExams/Dissertation/Exposure_Mapping/RelatedMisc/"/>
    </mc:Choice>
  </mc:AlternateContent>
  <xr:revisionPtr revIDLastSave="27" documentId="13_ncr:1_{39AD170E-B3CF-4D59-871B-8C5122753D67}" xr6:coauthVersionLast="47" xr6:coauthVersionMax="47" xr10:uidLastSave="{74B10B30-AE9B-425D-99F7-3B96B7394F63}"/>
  <bookViews>
    <workbookView xWindow="28680" yWindow="-120" windowWidth="19440" windowHeight="14880" activeTab="1" xr2:uid="{00000000-000D-0000-FFFF-FFFF00000000}"/>
  </bookViews>
  <sheets>
    <sheet name="Note" sheetId="4" r:id="rId1"/>
    <sheet name="NNIs - default values" sheetId="1" r:id="rId2"/>
    <sheet name="NNIs - LBs of Ksw" sheetId="5" r:id="rId3"/>
    <sheet name="NNIs - UBs of Ksw" sheetId="6" r:id="rId4"/>
    <sheet name="NNIs - LBs of RQs (weather)" sheetId="7" r:id="rId5"/>
    <sheet name="NNIs - UBs of RQs (weather)" sheetId="8" r:id="rId6"/>
    <sheet name="Test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0" i="1" l="1"/>
  <c r="AM18" i="1"/>
  <c r="AM17" i="1"/>
  <c r="AQ7" i="1"/>
  <c r="AQ6" i="1"/>
  <c r="AC10" i="1"/>
  <c r="R10" i="1"/>
  <c r="AL6" i="6"/>
  <c r="O6" i="1"/>
  <c r="AK12" i="8"/>
  <c r="AJ12" i="8"/>
  <c r="AI12" i="8"/>
  <c r="AH12" i="8"/>
  <c r="X12" i="8"/>
  <c r="AB12" i="8" s="1"/>
  <c r="T12" i="8"/>
  <c r="O12" i="8"/>
  <c r="I12" i="8"/>
  <c r="L12" i="8" s="1"/>
  <c r="M12" i="8" s="1"/>
  <c r="G12" i="8"/>
  <c r="F12" i="8"/>
  <c r="AK11" i="8"/>
  <c r="AJ11" i="8"/>
  <c r="AI11" i="8"/>
  <c r="AH11" i="8"/>
  <c r="X11" i="8"/>
  <c r="AB11" i="8" s="1"/>
  <c r="T11" i="8"/>
  <c r="O11" i="8"/>
  <c r="I11" i="8"/>
  <c r="G11" i="8"/>
  <c r="F11" i="8"/>
  <c r="AK10" i="8"/>
  <c r="AJ10" i="8"/>
  <c r="AI10" i="8"/>
  <c r="AH10" i="8"/>
  <c r="X10" i="8"/>
  <c r="AB10" i="8" s="1"/>
  <c r="T10" i="8"/>
  <c r="O10" i="8"/>
  <c r="L10" i="8"/>
  <c r="M10" i="8" s="1"/>
  <c r="P10" i="8" s="1"/>
  <c r="K10" i="8"/>
  <c r="I10" i="8"/>
  <c r="AM10" i="8" s="1"/>
  <c r="G10" i="8"/>
  <c r="F10" i="8"/>
  <c r="AM9" i="8"/>
  <c r="AK9" i="8"/>
  <c r="AL9" i="8" s="1"/>
  <c r="S9" i="8" s="1"/>
  <c r="AJ9" i="8"/>
  <c r="AI9" i="8"/>
  <c r="AH9" i="8"/>
  <c r="X9" i="8"/>
  <c r="AB9" i="8" s="1"/>
  <c r="U9" i="8"/>
  <c r="T9" i="8"/>
  <c r="O9" i="8"/>
  <c r="L9" i="8"/>
  <c r="M9" i="8" s="1"/>
  <c r="P9" i="8" s="1"/>
  <c r="K9" i="8"/>
  <c r="I9" i="8"/>
  <c r="G9" i="8"/>
  <c r="F9" i="8"/>
  <c r="AK8" i="8"/>
  <c r="AJ8" i="8"/>
  <c r="AI8" i="8"/>
  <c r="AH8" i="8"/>
  <c r="X8" i="8"/>
  <c r="AB8" i="8" s="1"/>
  <c r="T8" i="8"/>
  <c r="O8" i="8"/>
  <c r="AL8" i="8" s="1"/>
  <c r="S8" i="8" s="1"/>
  <c r="I8" i="8"/>
  <c r="L8" i="8" s="1"/>
  <c r="M8" i="8" s="1"/>
  <c r="P8" i="8" s="1"/>
  <c r="G8" i="8"/>
  <c r="F8" i="8"/>
  <c r="AK7" i="8"/>
  <c r="AJ7" i="8"/>
  <c r="AI7" i="8"/>
  <c r="AH7" i="8"/>
  <c r="X7" i="8"/>
  <c r="AB7" i="8" s="1"/>
  <c r="T7" i="8"/>
  <c r="O7" i="8"/>
  <c r="I7" i="8"/>
  <c r="G7" i="8"/>
  <c r="F7" i="8"/>
  <c r="AK6" i="8"/>
  <c r="AJ6" i="8"/>
  <c r="AI6" i="8"/>
  <c r="AH6" i="8"/>
  <c r="AB6" i="8"/>
  <c r="X6" i="8"/>
  <c r="T6" i="8"/>
  <c r="O6" i="8"/>
  <c r="I6" i="8"/>
  <c r="AM6" i="8" s="1"/>
  <c r="G6" i="8"/>
  <c r="F6" i="8"/>
  <c r="AK12" i="7"/>
  <c r="AL12" i="7" s="1"/>
  <c r="S12" i="7" s="1"/>
  <c r="AJ12" i="7"/>
  <c r="AI12" i="7"/>
  <c r="AH12" i="7"/>
  <c r="X12" i="7"/>
  <c r="AB12" i="7" s="1"/>
  <c r="T12" i="7"/>
  <c r="O12" i="7"/>
  <c r="L12" i="7"/>
  <c r="M12" i="7" s="1"/>
  <c r="P12" i="7" s="1"/>
  <c r="I12" i="7"/>
  <c r="K12" i="7" s="1"/>
  <c r="G12" i="7"/>
  <c r="F12" i="7"/>
  <c r="AK11" i="7"/>
  <c r="AL11" i="7" s="1"/>
  <c r="S11" i="7" s="1"/>
  <c r="AJ11" i="7"/>
  <c r="AI11" i="7"/>
  <c r="AH11" i="7"/>
  <c r="X11" i="7"/>
  <c r="AB11" i="7" s="1"/>
  <c r="T11" i="7"/>
  <c r="O11" i="7"/>
  <c r="I11" i="7"/>
  <c r="K11" i="7" s="1"/>
  <c r="G11" i="7"/>
  <c r="F11" i="7"/>
  <c r="AK10" i="7"/>
  <c r="AJ10" i="7"/>
  <c r="AI10" i="7"/>
  <c r="AH10" i="7"/>
  <c r="X10" i="7"/>
  <c r="AB10" i="7" s="1"/>
  <c r="T10" i="7"/>
  <c r="O10" i="7"/>
  <c r="I10" i="7"/>
  <c r="G10" i="7"/>
  <c r="F10" i="7"/>
  <c r="AK9" i="7"/>
  <c r="AJ9" i="7"/>
  <c r="AI9" i="7"/>
  <c r="AH9" i="7"/>
  <c r="X9" i="7"/>
  <c r="AB9" i="7" s="1"/>
  <c r="T9" i="7"/>
  <c r="O9" i="7"/>
  <c r="I9" i="7"/>
  <c r="G9" i="7"/>
  <c r="F9" i="7"/>
  <c r="AK8" i="7"/>
  <c r="AJ8" i="7"/>
  <c r="AI8" i="7"/>
  <c r="AH8" i="7"/>
  <c r="AB8" i="7"/>
  <c r="X8" i="7"/>
  <c r="T8" i="7"/>
  <c r="O8" i="7"/>
  <c r="AL8" i="7" s="1"/>
  <c r="S8" i="7" s="1"/>
  <c r="I8" i="7"/>
  <c r="L8" i="7" s="1"/>
  <c r="M8" i="7" s="1"/>
  <c r="P8" i="7" s="1"/>
  <c r="G8" i="7"/>
  <c r="F8" i="7"/>
  <c r="AK7" i="7"/>
  <c r="AJ7" i="7"/>
  <c r="AI7" i="7"/>
  <c r="AH7" i="7"/>
  <c r="X7" i="7"/>
  <c r="AB7" i="7" s="1"/>
  <c r="T7" i="7"/>
  <c r="O7" i="7"/>
  <c r="I7" i="7"/>
  <c r="K7" i="7" s="1"/>
  <c r="G7" i="7"/>
  <c r="F7" i="7"/>
  <c r="AK6" i="7"/>
  <c r="AJ6" i="7"/>
  <c r="AI6" i="7"/>
  <c r="AH6" i="7"/>
  <c r="X6" i="7"/>
  <c r="AB6" i="7" s="1"/>
  <c r="T6" i="7"/>
  <c r="O6" i="7"/>
  <c r="K6" i="7"/>
  <c r="I6" i="7"/>
  <c r="L6" i="7" s="1"/>
  <c r="M6" i="7" s="1"/>
  <c r="G6" i="7"/>
  <c r="F6" i="7"/>
  <c r="AM8" i="8" l="1"/>
  <c r="U8" i="8" s="1"/>
  <c r="K6" i="8"/>
  <c r="AL10" i="8"/>
  <c r="S10" i="8" s="1"/>
  <c r="AL12" i="8"/>
  <c r="S12" i="8" s="1"/>
  <c r="U6" i="8"/>
  <c r="L6" i="8"/>
  <c r="M6" i="8" s="1"/>
  <c r="P6" i="8" s="1"/>
  <c r="Q6" i="8" s="1"/>
  <c r="AD6" i="8" s="1"/>
  <c r="AL6" i="8"/>
  <c r="S6" i="8" s="1"/>
  <c r="P12" i="8"/>
  <c r="AM12" i="8"/>
  <c r="U12" i="8" s="1"/>
  <c r="U8" i="7"/>
  <c r="P6" i="7"/>
  <c r="R6" i="7" s="1"/>
  <c r="L7" i="7"/>
  <c r="M7" i="7" s="1"/>
  <c r="P7" i="7" s="1"/>
  <c r="AM7" i="7"/>
  <c r="U7" i="7" s="1"/>
  <c r="K8" i="7"/>
  <c r="AM12" i="7"/>
  <c r="U12" i="7" s="1"/>
  <c r="AM8" i="7"/>
  <c r="L11" i="7"/>
  <c r="M11" i="7" s="1"/>
  <c r="P11" i="7" s="1"/>
  <c r="AE11" i="7" s="1"/>
  <c r="AL7" i="7"/>
  <c r="S7" i="7" s="1"/>
  <c r="AM11" i="7"/>
  <c r="U11" i="7" s="1"/>
  <c r="AC8" i="8"/>
  <c r="Q8" i="8"/>
  <c r="AE8" i="8"/>
  <c r="AE6" i="8"/>
  <c r="AD8" i="8"/>
  <c r="AF8" i="8" s="1"/>
  <c r="AL7" i="8"/>
  <c r="S7" i="8" s="1"/>
  <c r="R10" i="8"/>
  <c r="U10" i="8"/>
  <c r="AE9" i="8"/>
  <c r="R9" i="8"/>
  <c r="AE10" i="8"/>
  <c r="AC10" i="8"/>
  <c r="Q10" i="8"/>
  <c r="AD10" i="8" s="1"/>
  <c r="AL11" i="8"/>
  <c r="S11" i="8" s="1"/>
  <c r="Q9" i="8"/>
  <c r="AD9" i="8" s="1"/>
  <c r="AD12" i="8"/>
  <c r="AM7" i="8"/>
  <c r="L7" i="8"/>
  <c r="M7" i="8" s="1"/>
  <c r="P7" i="8" s="1"/>
  <c r="K7" i="8"/>
  <c r="R7" i="8" s="1"/>
  <c r="U7" i="8"/>
  <c r="AC9" i="8"/>
  <c r="AM11" i="8"/>
  <c r="U11" i="8" s="1"/>
  <c r="K11" i="8"/>
  <c r="L11" i="8"/>
  <c r="M11" i="8" s="1"/>
  <c r="P11" i="8" s="1"/>
  <c r="AC12" i="8"/>
  <c r="AF12" i="8" s="1"/>
  <c r="Q12" i="8"/>
  <c r="AE12" i="8"/>
  <c r="K8" i="8"/>
  <c r="R8" i="8" s="1"/>
  <c r="K12" i="8"/>
  <c r="R12" i="8" s="1"/>
  <c r="AE8" i="7"/>
  <c r="R8" i="7"/>
  <c r="Q8" i="7"/>
  <c r="AD8" i="7" s="1"/>
  <c r="AF8" i="7" s="1"/>
  <c r="AC8" i="7"/>
  <c r="AE12" i="7"/>
  <c r="AC12" i="7"/>
  <c r="AF12" i="7" s="1"/>
  <c r="Q12" i="7"/>
  <c r="AE6" i="7"/>
  <c r="AE7" i="7"/>
  <c r="Q7" i="7"/>
  <c r="AD7" i="7" s="1"/>
  <c r="AF7" i="7" s="1"/>
  <c r="AC7" i="7"/>
  <c r="R7" i="7"/>
  <c r="AL6" i="7"/>
  <c r="S6" i="7" s="1"/>
  <c r="AM6" i="7"/>
  <c r="U6" i="7" s="1"/>
  <c r="AM9" i="7"/>
  <c r="L9" i="7"/>
  <c r="M9" i="7" s="1"/>
  <c r="P9" i="7" s="1"/>
  <c r="L10" i="7"/>
  <c r="M10" i="7" s="1"/>
  <c r="P10" i="7" s="1"/>
  <c r="K10" i="7"/>
  <c r="Q11" i="7"/>
  <c r="AD11" i="7" s="1"/>
  <c r="R12" i="7"/>
  <c r="K9" i="7"/>
  <c r="U9" i="7"/>
  <c r="AL9" i="7"/>
  <c r="S9" i="7" s="1"/>
  <c r="AL10" i="7"/>
  <c r="S10" i="7" s="1"/>
  <c r="AM10" i="7"/>
  <c r="U10" i="7" s="1"/>
  <c r="AC11" i="7"/>
  <c r="AD12" i="7"/>
  <c r="R6" i="8" l="1"/>
  <c r="AC6" i="8"/>
  <c r="AF6" i="8" s="1"/>
  <c r="AC6" i="7"/>
  <c r="R11" i="7"/>
  <c r="AF11" i="7"/>
  <c r="AR11" i="7" s="1"/>
  <c r="AV11" i="7" s="1"/>
  <c r="Q6" i="7"/>
  <c r="AD6" i="7" s="1"/>
  <c r="AF6" i="7" s="1"/>
  <c r="AF9" i="8"/>
  <c r="AR8" i="8"/>
  <c r="AV8" i="8" s="1"/>
  <c r="V8" i="8"/>
  <c r="AP8" i="8" s="1"/>
  <c r="AT8" i="8" s="1"/>
  <c r="AR12" i="8"/>
  <c r="AV12" i="8" s="1"/>
  <c r="V12" i="8"/>
  <c r="AQ12" i="8"/>
  <c r="AU12" i="8" s="1"/>
  <c r="AC7" i="8"/>
  <c r="Q7" i="8"/>
  <c r="AD7" i="8" s="1"/>
  <c r="AE7" i="8"/>
  <c r="AO12" i="8"/>
  <c r="AC11" i="8"/>
  <c r="Q11" i="8"/>
  <c r="AD11" i="8" s="1"/>
  <c r="AE11" i="8"/>
  <c r="AF10" i="8"/>
  <c r="AP12" i="8"/>
  <c r="AT12" i="8" s="1"/>
  <c r="R11" i="8"/>
  <c r="V7" i="7"/>
  <c r="AR7" i="7"/>
  <c r="AV7" i="7" s="1"/>
  <c r="AP7" i="7"/>
  <c r="AT7" i="7" s="1"/>
  <c r="AR8" i="7"/>
  <c r="AV8" i="7" s="1"/>
  <c r="V8" i="7"/>
  <c r="AO8" i="7" s="1"/>
  <c r="V11" i="7"/>
  <c r="AQ11" i="7" s="1"/>
  <c r="AU11" i="7" s="1"/>
  <c r="AP11" i="7"/>
  <c r="AT11" i="7" s="1"/>
  <c r="AC9" i="7"/>
  <c r="Q9" i="7"/>
  <c r="AD9" i="7" s="1"/>
  <c r="AE9" i="7"/>
  <c r="AR12" i="7"/>
  <c r="AV12" i="7" s="1"/>
  <c r="V12" i="7"/>
  <c r="AP12" i="7" s="1"/>
  <c r="AT12" i="7" s="1"/>
  <c r="R9" i="7"/>
  <c r="AO12" i="7"/>
  <c r="AQ12" i="7"/>
  <c r="AU12" i="7" s="1"/>
  <c r="AQ8" i="7"/>
  <c r="AU8" i="7" s="1"/>
  <c r="AC10" i="7"/>
  <c r="Q10" i="7"/>
  <c r="AD10" i="7" s="1"/>
  <c r="AE10" i="7"/>
  <c r="AQ7" i="7"/>
  <c r="AU7" i="7" s="1"/>
  <c r="AO7" i="7"/>
  <c r="R10" i="7"/>
  <c r="V6" i="8" l="1"/>
  <c r="AQ6" i="8"/>
  <c r="AU6" i="8" s="1"/>
  <c r="AR6" i="8"/>
  <c r="AV6" i="8" s="1"/>
  <c r="AO6" i="8"/>
  <c r="AP6" i="8"/>
  <c r="AT6" i="8" s="1"/>
  <c r="AQ8" i="8"/>
  <c r="AU8" i="8" s="1"/>
  <c r="AO8" i="8"/>
  <c r="AP8" i="7"/>
  <c r="AT8" i="7" s="1"/>
  <c r="AO11" i="7"/>
  <c r="AR10" i="8"/>
  <c r="AV10" i="8" s="1"/>
  <c r="V10" i="8"/>
  <c r="AF11" i="8"/>
  <c r="AR9" i="8"/>
  <c r="AV9" i="8" s="1"/>
  <c r="V9" i="8"/>
  <c r="AF7" i="8"/>
  <c r="AF9" i="7"/>
  <c r="V6" i="7"/>
  <c r="AP6" i="7" s="1"/>
  <c r="AT6" i="7" s="1"/>
  <c r="AR6" i="7"/>
  <c r="AV6" i="7" s="1"/>
  <c r="AQ6" i="7"/>
  <c r="AU6" i="7" s="1"/>
  <c r="AO6" i="7"/>
  <c r="AF10" i="7"/>
  <c r="AQ9" i="8" l="1"/>
  <c r="AU9" i="8" s="1"/>
  <c r="AP9" i="8"/>
  <c r="AT9" i="8" s="1"/>
  <c r="AO9" i="8"/>
  <c r="AR11" i="8"/>
  <c r="AV11" i="8" s="1"/>
  <c r="V11" i="8"/>
  <c r="AQ11" i="8" s="1"/>
  <c r="AU11" i="8" s="1"/>
  <c r="AO11" i="8"/>
  <c r="AR7" i="8"/>
  <c r="AV7" i="8" s="1"/>
  <c r="V7" i="8"/>
  <c r="AO7" i="8" s="1"/>
  <c r="AQ10" i="8"/>
  <c r="AU10" i="8" s="1"/>
  <c r="AO10" i="8"/>
  <c r="AP10" i="8"/>
  <c r="AT10" i="8" s="1"/>
  <c r="AP11" i="8"/>
  <c r="AT11" i="8" s="1"/>
  <c r="V10" i="7"/>
  <c r="AQ10" i="7" s="1"/>
  <c r="AU10" i="7" s="1"/>
  <c r="AR10" i="7"/>
  <c r="AV10" i="7" s="1"/>
  <c r="AR9" i="7"/>
  <c r="AV9" i="7" s="1"/>
  <c r="V9" i="7"/>
  <c r="AP9" i="7" s="1"/>
  <c r="AT9" i="7" s="1"/>
  <c r="AP7" i="8" l="1"/>
  <c r="AT7" i="8" s="1"/>
  <c r="AQ7" i="8"/>
  <c r="AU7" i="8" s="1"/>
  <c r="AO10" i="7"/>
  <c r="AP10" i="7"/>
  <c r="AT10" i="7" s="1"/>
  <c r="AQ9" i="7"/>
  <c r="AU9" i="7" s="1"/>
  <c r="AO9" i="7"/>
  <c r="AH12" i="6" l="1"/>
  <c r="AG12" i="6"/>
  <c r="AF12" i="6"/>
  <c r="AE12" i="6"/>
  <c r="X12" i="6"/>
  <c r="Y12" i="6" s="1"/>
  <c r="T12" i="6"/>
  <c r="O12" i="6"/>
  <c r="I12" i="6"/>
  <c r="L12" i="6" s="1"/>
  <c r="M12" i="6" s="1"/>
  <c r="G12" i="6"/>
  <c r="F12" i="6"/>
  <c r="AH11" i="6"/>
  <c r="AG11" i="6"/>
  <c r="AF11" i="6"/>
  <c r="AE11" i="6"/>
  <c r="X11" i="6"/>
  <c r="Y11" i="6" s="1"/>
  <c r="T11" i="6"/>
  <c r="O11" i="6"/>
  <c r="I11" i="6"/>
  <c r="G11" i="6"/>
  <c r="F11" i="6"/>
  <c r="AH10" i="6"/>
  <c r="AG10" i="6"/>
  <c r="AF10" i="6"/>
  <c r="AE10" i="6"/>
  <c r="X10" i="6"/>
  <c r="Y10" i="6" s="1"/>
  <c r="T10" i="6"/>
  <c r="U10" i="6" s="1"/>
  <c r="O10" i="6"/>
  <c r="L10" i="6"/>
  <c r="M10" i="6" s="1"/>
  <c r="P10" i="6" s="1"/>
  <c r="K10" i="6"/>
  <c r="I10" i="6"/>
  <c r="AJ10" i="6" s="1"/>
  <c r="G10" i="6"/>
  <c r="F10" i="6"/>
  <c r="AJ9" i="6"/>
  <c r="AH9" i="6"/>
  <c r="AG9" i="6"/>
  <c r="AF9" i="6"/>
  <c r="AE9" i="6"/>
  <c r="X9" i="6"/>
  <c r="Y9" i="6" s="1"/>
  <c r="U9" i="6"/>
  <c r="T9" i="6"/>
  <c r="O9" i="6"/>
  <c r="AI9" i="6" s="1"/>
  <c r="S9" i="6" s="1"/>
  <c r="L9" i="6"/>
  <c r="M9" i="6" s="1"/>
  <c r="P9" i="6" s="1"/>
  <c r="AB9" i="6" s="1"/>
  <c r="I9" i="6"/>
  <c r="K9" i="6" s="1"/>
  <c r="G9" i="6"/>
  <c r="F9" i="6"/>
  <c r="AJ8" i="6"/>
  <c r="AH8" i="6"/>
  <c r="AG8" i="6"/>
  <c r="AF8" i="6"/>
  <c r="AE8" i="6"/>
  <c r="X8" i="6"/>
  <c r="Y8" i="6" s="1"/>
  <c r="T8" i="6"/>
  <c r="O8" i="6"/>
  <c r="M8" i="6"/>
  <c r="P8" i="6" s="1"/>
  <c r="I8" i="6"/>
  <c r="L8" i="6" s="1"/>
  <c r="G8" i="6"/>
  <c r="F8" i="6"/>
  <c r="AH7" i="6"/>
  <c r="AG7" i="6"/>
  <c r="AF7" i="6"/>
  <c r="AE7" i="6"/>
  <c r="X7" i="6"/>
  <c r="Y7" i="6" s="1"/>
  <c r="T7" i="6"/>
  <c r="O7" i="6"/>
  <c r="I7" i="6"/>
  <c r="G7" i="6"/>
  <c r="F7" i="6"/>
  <c r="AH6" i="6"/>
  <c r="AG6" i="6"/>
  <c r="AF6" i="6"/>
  <c r="AE6" i="6"/>
  <c r="X6" i="6"/>
  <c r="Y6" i="6" s="1"/>
  <c r="T6" i="6"/>
  <c r="O6" i="6"/>
  <c r="L6" i="6"/>
  <c r="M6" i="6" s="1"/>
  <c r="P6" i="6" s="1"/>
  <c r="K6" i="6"/>
  <c r="I6" i="6"/>
  <c r="AJ6" i="6" s="1"/>
  <c r="G6" i="6"/>
  <c r="F6" i="6"/>
  <c r="AH12" i="5"/>
  <c r="AI12" i="5" s="1"/>
  <c r="S12" i="5" s="1"/>
  <c r="AG12" i="5"/>
  <c r="AF12" i="5"/>
  <c r="AE12" i="5"/>
  <c r="X12" i="5"/>
  <c r="Y12" i="5" s="1"/>
  <c r="T12" i="5"/>
  <c r="O12" i="5"/>
  <c r="I12" i="5"/>
  <c r="AJ12" i="5" s="1"/>
  <c r="G12" i="5"/>
  <c r="F12" i="5"/>
  <c r="AH11" i="5"/>
  <c r="AI11" i="5" s="1"/>
  <c r="S11" i="5" s="1"/>
  <c r="AG11" i="5"/>
  <c r="AF11" i="5"/>
  <c r="AE11" i="5"/>
  <c r="X11" i="5"/>
  <c r="Y11" i="5" s="1"/>
  <c r="T11" i="5"/>
  <c r="O11" i="5"/>
  <c r="L11" i="5"/>
  <c r="M11" i="5" s="1"/>
  <c r="P11" i="5" s="1"/>
  <c r="K11" i="5"/>
  <c r="R11" i="5" s="1"/>
  <c r="I11" i="5"/>
  <c r="AJ11" i="5" s="1"/>
  <c r="G11" i="5"/>
  <c r="F11" i="5"/>
  <c r="AJ10" i="5"/>
  <c r="AI10" i="5"/>
  <c r="S10" i="5" s="1"/>
  <c r="AH10" i="5"/>
  <c r="AG10" i="5"/>
  <c r="AF10" i="5"/>
  <c r="AE10" i="5"/>
  <c r="X10" i="5"/>
  <c r="Y10" i="5" s="1"/>
  <c r="U10" i="5"/>
  <c r="T10" i="5"/>
  <c r="O10" i="5"/>
  <c r="L10" i="5"/>
  <c r="M10" i="5" s="1"/>
  <c r="P10" i="5" s="1"/>
  <c r="K10" i="5"/>
  <c r="I10" i="5"/>
  <c r="G10" i="5"/>
  <c r="F10" i="5"/>
  <c r="AH9" i="5"/>
  <c r="AG9" i="5"/>
  <c r="AF9" i="5"/>
  <c r="AE9" i="5"/>
  <c r="X9" i="5"/>
  <c r="Y9" i="5" s="1"/>
  <c r="T9" i="5"/>
  <c r="O9" i="5"/>
  <c r="AI9" i="5" s="1"/>
  <c r="S9" i="5" s="1"/>
  <c r="I9" i="5"/>
  <c r="K9" i="5" s="1"/>
  <c r="G9" i="5"/>
  <c r="F9" i="5"/>
  <c r="AH8" i="5"/>
  <c r="AI8" i="5" s="1"/>
  <c r="S8" i="5" s="1"/>
  <c r="AG8" i="5"/>
  <c r="AF8" i="5"/>
  <c r="AE8" i="5"/>
  <c r="X8" i="5"/>
  <c r="Y8" i="5" s="1"/>
  <c r="T8" i="5"/>
  <c r="O8" i="5"/>
  <c r="I8" i="5"/>
  <c r="L8" i="5" s="1"/>
  <c r="M8" i="5" s="1"/>
  <c r="G8" i="5"/>
  <c r="F8" i="5"/>
  <c r="AH7" i="5"/>
  <c r="AG7" i="5"/>
  <c r="AF7" i="5"/>
  <c r="AE7" i="5"/>
  <c r="Y7" i="5"/>
  <c r="X7" i="5"/>
  <c r="T7" i="5"/>
  <c r="O7" i="5"/>
  <c r="I7" i="5"/>
  <c r="AJ7" i="5" s="1"/>
  <c r="G7" i="5"/>
  <c r="F7" i="5"/>
  <c r="AH6" i="5"/>
  <c r="AI6" i="5" s="1"/>
  <c r="S6" i="5" s="1"/>
  <c r="AG6" i="5"/>
  <c r="AF6" i="5"/>
  <c r="AE6" i="5"/>
  <c r="Y6" i="5"/>
  <c r="X6" i="5"/>
  <c r="T6" i="5"/>
  <c r="O6" i="5"/>
  <c r="I6" i="5"/>
  <c r="L6" i="5" s="1"/>
  <c r="M6" i="5" s="1"/>
  <c r="P6" i="5" s="1"/>
  <c r="G6" i="5"/>
  <c r="F6" i="5"/>
  <c r="AI6" i="6" l="1"/>
  <c r="S6" i="6" s="1"/>
  <c r="U8" i="6"/>
  <c r="AA9" i="6"/>
  <c r="Q9" i="6"/>
  <c r="Z9" i="6"/>
  <c r="AI10" i="6"/>
  <c r="S10" i="6" s="1"/>
  <c r="AI12" i="6"/>
  <c r="S12" i="6" s="1"/>
  <c r="R10" i="6"/>
  <c r="AI8" i="6"/>
  <c r="S8" i="6" s="1"/>
  <c r="P12" i="6"/>
  <c r="Z12" i="6" s="1"/>
  <c r="AJ12" i="6"/>
  <c r="U12" i="6" s="1"/>
  <c r="R6" i="6"/>
  <c r="U6" i="6"/>
  <c r="R9" i="6"/>
  <c r="AB10" i="6"/>
  <c r="Q10" i="6"/>
  <c r="AA10" i="6" s="1"/>
  <c r="Z10" i="6"/>
  <c r="AI11" i="6"/>
  <c r="S11" i="6" s="1"/>
  <c r="AI7" i="6"/>
  <c r="S7" i="6" s="1"/>
  <c r="Z8" i="6"/>
  <c r="Q8" i="6"/>
  <c r="AA8" i="6" s="1"/>
  <c r="AB8" i="6"/>
  <c r="AB6" i="6"/>
  <c r="Z6" i="6"/>
  <c r="Q6" i="6"/>
  <c r="AA6" i="6" s="1"/>
  <c r="AJ11" i="6"/>
  <c r="K11" i="6"/>
  <c r="L11" i="6"/>
  <c r="M11" i="6" s="1"/>
  <c r="P11" i="6" s="1"/>
  <c r="AJ7" i="6"/>
  <c r="U7" i="6" s="1"/>
  <c r="K7" i="6"/>
  <c r="L7" i="6"/>
  <c r="M7" i="6" s="1"/>
  <c r="P7" i="6" s="1"/>
  <c r="AC9" i="6"/>
  <c r="U11" i="6"/>
  <c r="K8" i="6"/>
  <c r="R8" i="6" s="1"/>
  <c r="K12" i="6"/>
  <c r="R12" i="6" s="1"/>
  <c r="K6" i="5"/>
  <c r="AJ6" i="5"/>
  <c r="U6" i="5" s="1"/>
  <c r="K7" i="5"/>
  <c r="P8" i="5"/>
  <c r="K12" i="5"/>
  <c r="AJ9" i="5"/>
  <c r="U9" i="5" s="1"/>
  <c r="L7" i="5"/>
  <c r="M7" i="5" s="1"/>
  <c r="P7" i="5" s="1"/>
  <c r="Z7" i="5" s="1"/>
  <c r="AI7" i="5"/>
  <c r="S7" i="5" s="1"/>
  <c r="L12" i="5"/>
  <c r="M12" i="5" s="1"/>
  <c r="P12" i="5" s="1"/>
  <c r="Z12" i="5" s="1"/>
  <c r="U12" i="5"/>
  <c r="U7" i="5"/>
  <c r="AB10" i="5"/>
  <c r="Q10" i="5"/>
  <c r="R10" i="5"/>
  <c r="Z10" i="5"/>
  <c r="Z11" i="5"/>
  <c r="Q11" i="5"/>
  <c r="AB11" i="5"/>
  <c r="Z8" i="5"/>
  <c r="Q8" i="5"/>
  <c r="AA8" i="5" s="1"/>
  <c r="AB8" i="5"/>
  <c r="AA10" i="5"/>
  <c r="AA11" i="5"/>
  <c r="AB6" i="5"/>
  <c r="Z6" i="5"/>
  <c r="R6" i="5"/>
  <c r="Q6" i="5"/>
  <c r="AA6" i="5" s="1"/>
  <c r="AB7" i="5"/>
  <c r="U11" i="5"/>
  <c r="AJ8" i="5"/>
  <c r="U8" i="5" s="1"/>
  <c r="L9" i="5"/>
  <c r="M9" i="5" s="1"/>
  <c r="P9" i="5" s="1"/>
  <c r="R9" i="5" s="1"/>
  <c r="AB12" i="5"/>
  <c r="K8" i="5"/>
  <c r="R8" i="5" s="1"/>
  <c r="Q12" i="5"/>
  <c r="AA12" i="5" s="1"/>
  <c r="R7" i="6" l="1"/>
  <c r="Q12" i="6"/>
  <c r="AA12" i="6" s="1"/>
  <c r="R11" i="6"/>
  <c r="AB12" i="6"/>
  <c r="AC8" i="6"/>
  <c r="AO8" i="6"/>
  <c r="AS8" i="6" s="1"/>
  <c r="V8" i="6"/>
  <c r="AM8" i="6"/>
  <c r="AQ8" i="6" s="1"/>
  <c r="AC10" i="6"/>
  <c r="AC6" i="6"/>
  <c r="V9" i="6"/>
  <c r="AM9" i="6" s="1"/>
  <c r="AQ9" i="6" s="1"/>
  <c r="AO9" i="6"/>
  <c r="AS9" i="6" s="1"/>
  <c r="AL8" i="6"/>
  <c r="AN9" i="6"/>
  <c r="AR9" i="6" s="1"/>
  <c r="Z7" i="6"/>
  <c r="Q7" i="6"/>
  <c r="AA7" i="6" s="1"/>
  <c r="AB7" i="6"/>
  <c r="Z11" i="6"/>
  <c r="Q11" i="6"/>
  <c r="AA11" i="6" s="1"/>
  <c r="AB11" i="6"/>
  <c r="AN8" i="6"/>
  <c r="AR8" i="6" s="1"/>
  <c r="R7" i="5"/>
  <c r="AC12" i="5"/>
  <c r="Q7" i="5"/>
  <c r="AA7" i="5" s="1"/>
  <c r="AC7" i="5" s="1"/>
  <c r="AC11" i="5"/>
  <c r="R12" i="5"/>
  <c r="AC6" i="5"/>
  <c r="AC10" i="5"/>
  <c r="V10" i="5" s="1"/>
  <c r="AM10" i="5" s="1"/>
  <c r="AQ10" i="5" s="1"/>
  <c r="AO11" i="5"/>
  <c r="AS11" i="5" s="1"/>
  <c r="V11" i="5"/>
  <c r="AM11" i="5" s="1"/>
  <c r="AQ11" i="5" s="1"/>
  <c r="AN11" i="5"/>
  <c r="AR11" i="5" s="1"/>
  <c r="AL11" i="5"/>
  <c r="V6" i="5"/>
  <c r="AO6" i="5"/>
  <c r="AS6" i="5" s="1"/>
  <c r="AC8" i="5"/>
  <c r="AO10" i="5"/>
  <c r="AS10" i="5" s="1"/>
  <c r="AO12" i="5"/>
  <c r="AS12" i="5" s="1"/>
  <c r="V12" i="5"/>
  <c r="AL12" i="5" s="1"/>
  <c r="AM12" i="5"/>
  <c r="AQ12" i="5" s="1"/>
  <c r="AN12" i="5"/>
  <c r="AR12" i="5" s="1"/>
  <c r="AL6" i="5"/>
  <c r="AN6" i="5"/>
  <c r="AR6" i="5" s="1"/>
  <c r="AB9" i="5"/>
  <c r="Z9" i="5"/>
  <c r="AC9" i="5" s="1"/>
  <c r="Q9" i="5"/>
  <c r="AA9" i="5" s="1"/>
  <c r="AM6" i="5"/>
  <c r="AQ6" i="5" s="1"/>
  <c r="AL9" i="6" l="1"/>
  <c r="AC12" i="6"/>
  <c r="AO6" i="6"/>
  <c r="AS6" i="6" s="1"/>
  <c r="V6" i="6"/>
  <c r="AC11" i="6"/>
  <c r="AC7" i="6"/>
  <c r="AM6" i="6"/>
  <c r="AQ6" i="6" s="1"/>
  <c r="AO10" i="6"/>
  <c r="AS10" i="6" s="1"/>
  <c r="V10" i="6"/>
  <c r="AL10" i="6" s="1"/>
  <c r="AM10" i="6"/>
  <c r="AQ10" i="6" s="1"/>
  <c r="AN10" i="6"/>
  <c r="AR10" i="6" s="1"/>
  <c r="V7" i="5"/>
  <c r="AM7" i="5" s="1"/>
  <c r="AQ7" i="5" s="1"/>
  <c r="AO7" i="5"/>
  <c r="AS7" i="5" s="1"/>
  <c r="AL10" i="5"/>
  <c r="AN9" i="5"/>
  <c r="AR9" i="5" s="1"/>
  <c r="AO9" i="5"/>
  <c r="AS9" i="5" s="1"/>
  <c r="V9" i="5"/>
  <c r="AN10" i="5"/>
  <c r="AR10" i="5" s="1"/>
  <c r="AL9" i="5"/>
  <c r="AO8" i="5"/>
  <c r="AS8" i="5" s="1"/>
  <c r="V8" i="5"/>
  <c r="AM9" i="5"/>
  <c r="AQ9" i="5" s="1"/>
  <c r="AN6" i="6" l="1"/>
  <c r="AR6" i="6" s="1"/>
  <c r="AO12" i="6"/>
  <c r="AS12" i="6" s="1"/>
  <c r="V12" i="6"/>
  <c r="AM12" i="6" s="1"/>
  <c r="AQ12" i="6" s="1"/>
  <c r="AO7" i="6"/>
  <c r="AS7" i="6" s="1"/>
  <c r="V7" i="6"/>
  <c r="AL7" i="6" s="1"/>
  <c r="AO11" i="6"/>
  <c r="AS11" i="6" s="1"/>
  <c r="V11" i="6"/>
  <c r="AM11" i="6" s="1"/>
  <c r="AQ11" i="6" s="1"/>
  <c r="AN11" i="6"/>
  <c r="AR11" i="6" s="1"/>
  <c r="AL11" i="6"/>
  <c r="AL7" i="5"/>
  <c r="AN7" i="5"/>
  <c r="AR7" i="5" s="1"/>
  <c r="AM8" i="5"/>
  <c r="AQ8" i="5" s="1"/>
  <c r="AL8" i="5"/>
  <c r="AN8" i="5"/>
  <c r="AR8" i="5" s="1"/>
  <c r="AM7" i="6" l="1"/>
  <c r="AQ7" i="6" s="1"/>
  <c r="AN12" i="6"/>
  <c r="AR12" i="6" s="1"/>
  <c r="AN7" i="6"/>
  <c r="AR7" i="6" s="1"/>
  <c r="AL12" i="6"/>
  <c r="AE12" i="1" l="1"/>
  <c r="X12" i="1"/>
  <c r="Y12" i="1" s="1"/>
  <c r="AE11" i="1"/>
  <c r="X11" i="1"/>
  <c r="Y11" i="1" s="1"/>
  <c r="AE10" i="1"/>
  <c r="X10" i="1"/>
  <c r="AE9" i="1"/>
  <c r="X9" i="1"/>
  <c r="Y9" i="1" s="1"/>
  <c r="F9" i="1"/>
  <c r="AE8" i="1"/>
  <c r="X8" i="1"/>
  <c r="Y8" i="1" s="1"/>
  <c r="AE6" i="1"/>
  <c r="AE7" i="1"/>
  <c r="X7" i="1"/>
  <c r="X6" i="1"/>
  <c r="Y6" i="1" s="1"/>
  <c r="G7" i="1"/>
  <c r="G8" i="1"/>
  <c r="G9" i="1"/>
  <c r="G10" i="1"/>
  <c r="G11" i="1"/>
  <c r="G12" i="1"/>
  <c r="G6" i="1"/>
  <c r="F6" i="1"/>
  <c r="Y7" i="1"/>
  <c r="Y10" i="1"/>
  <c r="AG6" i="1"/>
  <c r="AF6" i="1"/>
  <c r="AG7" i="1" l="1"/>
  <c r="AG8" i="1"/>
  <c r="AG9" i="1"/>
  <c r="AG10" i="1"/>
  <c r="AG11" i="1"/>
  <c r="AG12" i="1"/>
  <c r="AF7" i="1"/>
  <c r="AF8" i="1"/>
  <c r="AF9" i="1"/>
  <c r="AF10" i="1"/>
  <c r="AF11" i="1"/>
  <c r="AF12" i="1"/>
  <c r="T6" i="1"/>
  <c r="T7" i="1"/>
  <c r="T8" i="1"/>
  <c r="T9" i="1"/>
  <c r="T10" i="1"/>
  <c r="T11" i="1"/>
  <c r="T12" i="1"/>
  <c r="F8" i="1" l="1"/>
  <c r="F10" i="1"/>
  <c r="F12" i="1"/>
  <c r="F11" i="1"/>
  <c r="F7" i="1"/>
  <c r="AH6" i="1" l="1"/>
  <c r="AH8" i="1"/>
  <c r="AH10" i="1"/>
  <c r="AH9" i="1"/>
  <c r="AH12" i="1"/>
  <c r="AH11" i="1"/>
  <c r="AH7" i="1"/>
  <c r="O7" i="1"/>
  <c r="I7" i="1"/>
  <c r="AJ7" i="1" s="1"/>
  <c r="U7" i="1" s="1"/>
  <c r="O11" i="1"/>
  <c r="I11" i="1"/>
  <c r="O12" i="1"/>
  <c r="I12" i="1"/>
  <c r="O9" i="1"/>
  <c r="I9" i="1"/>
  <c r="AJ9" i="1" s="1"/>
  <c r="U9" i="1" s="1"/>
  <c r="O10" i="1"/>
  <c r="I10" i="1"/>
  <c r="AJ10" i="1" s="1"/>
  <c r="U10" i="1" s="1"/>
  <c r="O8" i="1"/>
  <c r="I8" i="1"/>
  <c r="AJ8" i="1" s="1"/>
  <c r="U8" i="1" s="1"/>
  <c r="I6" i="1"/>
  <c r="AJ6" i="1" s="1"/>
  <c r="U6" i="1" s="1"/>
  <c r="K12" i="1" l="1"/>
  <c r="AJ12" i="1"/>
  <c r="U12" i="1" s="1"/>
  <c r="K11" i="1"/>
  <c r="AJ11" i="1"/>
  <c r="U11" i="1" s="1"/>
  <c r="AI11" i="1"/>
  <c r="S11" i="1" s="1"/>
  <c r="AI12" i="1"/>
  <c r="S12" i="1" s="1"/>
  <c r="L10" i="1"/>
  <c r="M10" i="1" s="1"/>
  <c r="P10" i="1" s="1"/>
  <c r="K10" i="1"/>
  <c r="L8" i="1"/>
  <c r="M8" i="1" s="1"/>
  <c r="P8" i="1" s="1"/>
  <c r="K8" i="1"/>
  <c r="L9" i="1"/>
  <c r="M9" i="1" s="1"/>
  <c r="P9" i="1" s="1"/>
  <c r="K9" i="1"/>
  <c r="L6" i="1"/>
  <c r="M6" i="1" s="1"/>
  <c r="P6" i="1" s="1"/>
  <c r="K6" i="1"/>
  <c r="L7" i="1"/>
  <c r="M7" i="1" s="1"/>
  <c r="P7" i="1" s="1"/>
  <c r="K7" i="1"/>
  <c r="R7" i="1" s="1"/>
  <c r="AI9" i="1"/>
  <c r="S9" i="1" s="1"/>
  <c r="AI7" i="1"/>
  <c r="S7" i="1" s="1"/>
  <c r="AI10" i="1"/>
  <c r="S10" i="1" s="1"/>
  <c r="AI8" i="1"/>
  <c r="S8" i="1" s="1"/>
  <c r="AI6" i="1"/>
  <c r="S6" i="1" s="1"/>
  <c r="L11" i="1"/>
  <c r="M11" i="1" s="1"/>
  <c r="P11" i="1" s="1"/>
  <c r="L12" i="1"/>
  <c r="M12" i="1" s="1"/>
  <c r="P12" i="1" s="1"/>
  <c r="R6" i="1" l="1"/>
  <c r="Z11" i="1"/>
  <c r="Q11" i="1"/>
  <c r="AA11" i="1" s="1"/>
  <c r="AB11" i="1"/>
  <c r="R12" i="1"/>
  <c r="Z8" i="1"/>
  <c r="AB8" i="1"/>
  <c r="Q8" i="1"/>
  <c r="AA8" i="1" s="1"/>
  <c r="Z10" i="1"/>
  <c r="Q10" i="1"/>
  <c r="AA10" i="1" s="1"/>
  <c r="AB10" i="1"/>
  <c r="Z7" i="1"/>
  <c r="AB7" i="1"/>
  <c r="Q7" i="1"/>
  <c r="AA7" i="1" s="1"/>
  <c r="Z9" i="1"/>
  <c r="AB9" i="1"/>
  <c r="Q9" i="1"/>
  <c r="AA9" i="1" s="1"/>
  <c r="Z12" i="1"/>
  <c r="Q12" i="1"/>
  <c r="AA12" i="1" s="1"/>
  <c r="AB12" i="1"/>
  <c r="Z6" i="1"/>
  <c r="AB6" i="1"/>
  <c r="Q6" i="1"/>
  <c r="AA6" i="1" s="1"/>
  <c r="R8" i="1"/>
  <c r="R11" i="1"/>
  <c r="R9" i="1"/>
  <c r="AC12" i="1" l="1"/>
  <c r="AC8" i="1"/>
  <c r="AC6" i="1"/>
  <c r="AC9" i="1"/>
  <c r="AC11" i="1"/>
  <c r="AC7" i="1"/>
  <c r="AL9" i="1" l="1"/>
  <c r="AO10" i="1"/>
  <c r="AS10" i="1" s="1"/>
  <c r="AL10" i="1"/>
  <c r="V10" i="1"/>
  <c r="AR10" i="1" s="1"/>
  <c r="V6" i="1"/>
  <c r="AO11" i="1"/>
  <c r="AS11" i="1" s="1"/>
  <c r="V11" i="1"/>
  <c r="AL11" i="1" s="1"/>
  <c r="AO8" i="1"/>
  <c r="AS8" i="1" s="1"/>
  <c r="V8" i="1"/>
  <c r="AL8" i="1" s="1"/>
  <c r="AO12" i="1"/>
  <c r="AS12" i="1" s="1"/>
  <c r="V12" i="1"/>
  <c r="AL12" i="1" s="1"/>
  <c r="AO6" i="1"/>
  <c r="AS6" i="1" s="1"/>
  <c r="AO7" i="1"/>
  <c r="AS7" i="1" s="1"/>
  <c r="V7" i="1"/>
  <c r="AL7" i="1" s="1"/>
  <c r="AO9" i="1"/>
  <c r="AS9" i="1" s="1"/>
  <c r="V9" i="1"/>
  <c r="AL6" i="1" l="1"/>
  <c r="AM10" i="1"/>
  <c r="AQ10" i="1" s="1"/>
  <c r="AM6" i="1"/>
  <c r="AM9" i="1"/>
  <c r="AQ9" i="1" s="1"/>
  <c r="AN9" i="1"/>
  <c r="AR9" i="1" s="1"/>
  <c r="AM12" i="1"/>
  <c r="AQ12" i="1" s="1"/>
  <c r="AN12" i="1"/>
  <c r="AR12" i="1" s="1"/>
  <c r="AM8" i="1"/>
  <c r="AQ8" i="1" s="1"/>
  <c r="AN8" i="1"/>
  <c r="AR8" i="1" s="1"/>
  <c r="AM11" i="1"/>
  <c r="AQ11" i="1" s="1"/>
  <c r="AN11" i="1"/>
  <c r="AR11" i="1" s="1"/>
  <c r="AN6" i="1"/>
  <c r="AR6" i="1" s="1"/>
  <c r="AM7" i="1"/>
  <c r="AN7" i="1"/>
  <c r="AR7" i="1" s="1"/>
</calcChain>
</file>

<file path=xl/sharedStrings.xml><?xml version="1.0" encoding="utf-8"?>
<sst xmlns="http://schemas.openxmlformats.org/spreadsheetml/2006/main" count="492" uniqueCount="96">
  <si>
    <t>CAS RN</t>
  </si>
  <si>
    <t>Name</t>
  </si>
  <si>
    <t>MW</t>
  </si>
  <si>
    <r>
      <t>K</t>
    </r>
    <r>
      <rPr>
        <vertAlign val="subscript"/>
        <sz val="8"/>
        <rFont val="Times New Roman"/>
        <family val="1"/>
      </rPr>
      <t>OW</t>
    </r>
  </si>
  <si>
    <r>
      <t>log K</t>
    </r>
    <r>
      <rPr>
        <vertAlign val="subscript"/>
        <sz val="8"/>
        <rFont val="Times New Roman"/>
        <family val="1"/>
      </rPr>
      <t>OW</t>
    </r>
  </si>
  <si>
    <r>
      <t>log K</t>
    </r>
    <r>
      <rPr>
        <vertAlign val="subscript"/>
        <sz val="8"/>
        <rFont val="Times New Roman"/>
        <family val="1"/>
      </rPr>
      <t>OC</t>
    </r>
  </si>
  <si>
    <t>Koc</t>
  </si>
  <si>
    <r>
      <t>K</t>
    </r>
    <r>
      <rPr>
        <vertAlign val="subscript"/>
        <sz val="8"/>
        <rFont val="Times New Roman"/>
        <family val="1"/>
      </rPr>
      <t>H</t>
    </r>
    <r>
      <rPr>
        <sz val="8"/>
        <rFont val="Times New Roman"/>
        <family val="1"/>
      </rPr>
      <t>25C</t>
    </r>
  </si>
  <si>
    <r>
      <t>K</t>
    </r>
    <r>
      <rPr>
        <vertAlign val="subscript"/>
        <sz val="8"/>
        <rFont val="Times New Roman"/>
        <family val="1"/>
      </rPr>
      <t>AW</t>
    </r>
  </si>
  <si>
    <r>
      <t>K</t>
    </r>
    <r>
      <rPr>
        <vertAlign val="subscript"/>
        <sz val="8"/>
        <rFont val="Times New Roman"/>
        <family val="1"/>
      </rPr>
      <t>SW</t>
    </r>
  </si>
  <si>
    <r>
      <t>g.mol</t>
    </r>
    <r>
      <rPr>
        <vertAlign val="superscript"/>
        <sz val="8"/>
        <rFont val="Times New Roman"/>
        <family val="1"/>
      </rPr>
      <t>-1</t>
    </r>
  </si>
  <si>
    <r>
      <t>L.L</t>
    </r>
    <r>
      <rPr>
        <vertAlign val="superscript"/>
        <sz val="8"/>
        <rFont val="Times New Roman"/>
        <family val="1"/>
      </rPr>
      <t>-1</t>
    </r>
  </si>
  <si>
    <r>
      <t>L.kg</t>
    </r>
    <r>
      <rPr>
        <vertAlign val="superscript"/>
        <sz val="8"/>
        <rFont val="Times New Roman"/>
        <family val="1"/>
      </rPr>
      <t>-1</t>
    </r>
  </si>
  <si>
    <r>
      <t>Pa.m</t>
    </r>
    <r>
      <rPr>
        <vertAlign val="superscript"/>
        <sz val="8"/>
        <rFont val="Times New Roman"/>
        <family val="1"/>
      </rPr>
      <t>3.</t>
    </r>
    <r>
      <rPr>
        <sz val="8"/>
        <rFont val="Times New Roman"/>
        <family val="1"/>
      </rPr>
      <t>mol</t>
    </r>
    <r>
      <rPr>
        <vertAlign val="superscript"/>
        <sz val="8"/>
        <rFont val="Times New Roman"/>
        <family val="1"/>
      </rPr>
      <t>-1</t>
    </r>
  </si>
  <si>
    <r>
      <t>d</t>
    </r>
    <r>
      <rPr>
        <vertAlign val="superscript"/>
        <sz val="8"/>
        <rFont val="Times New Roman"/>
        <family val="1"/>
      </rPr>
      <t>-1</t>
    </r>
  </si>
  <si>
    <r>
      <t>K</t>
    </r>
    <r>
      <rPr>
        <vertAlign val="subscript"/>
        <sz val="8"/>
        <rFont val="Times New Roman"/>
        <family val="1"/>
      </rPr>
      <t>LW</t>
    </r>
  </si>
  <si>
    <r>
      <t>K</t>
    </r>
    <r>
      <rPr>
        <vertAlign val="subscript"/>
        <sz val="8"/>
        <rFont val="Times New Roman"/>
        <family val="1"/>
      </rPr>
      <t>LA</t>
    </r>
  </si>
  <si>
    <t>TSCF</t>
  </si>
  <si>
    <r>
      <t>D</t>
    </r>
    <r>
      <rPr>
        <vertAlign val="subscript"/>
        <sz val="8"/>
        <rFont val="Times New Roman"/>
        <family val="1"/>
      </rPr>
      <t>W</t>
    </r>
  </si>
  <si>
    <r>
      <t>m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.d</t>
    </r>
    <r>
      <rPr>
        <vertAlign val="superscript"/>
        <sz val="8"/>
        <rFont val="Times New Roman"/>
        <family val="1"/>
      </rPr>
      <t>-1</t>
    </r>
  </si>
  <si>
    <r>
      <t>k</t>
    </r>
    <r>
      <rPr>
        <vertAlign val="subscript"/>
        <sz val="8"/>
        <rFont val="Times New Roman"/>
        <family val="1"/>
      </rPr>
      <t>Cuticle</t>
    </r>
  </si>
  <si>
    <r>
      <t>K</t>
    </r>
    <r>
      <rPr>
        <vertAlign val="subscript"/>
        <sz val="8"/>
        <rFont val="Times New Roman"/>
        <family val="1"/>
      </rPr>
      <t>CW</t>
    </r>
  </si>
  <si>
    <r>
      <t>mg.kg</t>
    </r>
    <r>
      <rPr>
        <vertAlign val="superscript"/>
        <sz val="8"/>
        <rFont val="Times New Roman"/>
        <family val="1"/>
      </rPr>
      <t>-1</t>
    </r>
  </si>
  <si>
    <r>
      <t>k</t>
    </r>
    <r>
      <rPr>
        <vertAlign val="subscript"/>
        <sz val="8"/>
        <rFont val="Times New Roman"/>
        <family val="1"/>
      </rPr>
      <t>Up,Soil</t>
    </r>
    <phoneticPr fontId="6" type="noConversion"/>
  </si>
  <si>
    <r>
      <t>k</t>
    </r>
    <r>
      <rPr>
        <vertAlign val="subscript"/>
        <sz val="8"/>
        <rFont val="Times New Roman"/>
        <family val="1"/>
      </rPr>
      <t>El,Air</t>
    </r>
    <phoneticPr fontId="6" type="noConversion"/>
  </si>
  <si>
    <r>
      <t>k</t>
    </r>
    <r>
      <rPr>
        <vertAlign val="subscript"/>
        <sz val="8"/>
        <rFont val="Times New Roman"/>
        <family val="1"/>
      </rPr>
      <t>Up,Surface</t>
    </r>
    <phoneticPr fontId="6" type="noConversion"/>
  </si>
  <si>
    <r>
      <t>k</t>
    </r>
    <r>
      <rPr>
        <vertAlign val="subscript"/>
        <sz val="8"/>
        <rFont val="Times New Roman"/>
        <family val="1"/>
      </rPr>
      <t>Diss,Surface</t>
    </r>
    <phoneticPr fontId="6" type="noConversion"/>
  </si>
  <si>
    <r>
      <t>k</t>
    </r>
    <r>
      <rPr>
        <vertAlign val="subscript"/>
        <sz val="8"/>
        <rFont val="Times New Roman"/>
        <family val="1"/>
      </rPr>
      <t>Diss,Soil</t>
    </r>
    <phoneticPr fontId="6" type="noConversion"/>
  </si>
  <si>
    <r>
      <t>k</t>
    </r>
    <r>
      <rPr>
        <vertAlign val="subscript"/>
        <sz val="8"/>
        <rFont val="Times New Roman"/>
        <family val="1"/>
      </rPr>
      <t>El,Degra</t>
    </r>
    <phoneticPr fontId="6" type="noConversion"/>
  </si>
  <si>
    <r>
      <t>K</t>
    </r>
    <r>
      <rPr>
        <vertAlign val="subscript"/>
        <sz val="8"/>
        <rFont val="Times New Roman"/>
        <family val="1"/>
      </rPr>
      <t>N-Leaf</t>
    </r>
    <phoneticPr fontId="6" type="noConversion"/>
  </si>
  <si>
    <r>
      <t>K</t>
    </r>
    <r>
      <rPr>
        <vertAlign val="subscript"/>
        <sz val="8"/>
        <rFont val="Times New Roman"/>
        <family val="1"/>
      </rPr>
      <t>P-Leaf</t>
    </r>
    <phoneticPr fontId="6" type="noConversion"/>
  </si>
  <si>
    <t>Nectar-leaf</t>
    <phoneticPr fontId="6" type="noConversion"/>
  </si>
  <si>
    <t>Pollen-leaf</t>
    <phoneticPr fontId="6" type="noConversion"/>
  </si>
  <si>
    <r>
      <t>k</t>
    </r>
    <r>
      <rPr>
        <vertAlign val="subscript"/>
        <sz val="8"/>
        <rFont val="Times New Roman"/>
        <family val="1"/>
      </rPr>
      <t>Diss,Plant</t>
    </r>
    <phoneticPr fontId="6" type="noConversion"/>
  </si>
  <si>
    <r>
      <t>k</t>
    </r>
    <r>
      <rPr>
        <vertAlign val="subscript"/>
        <sz val="8"/>
        <rFont val="Times New Roman"/>
        <family val="1"/>
      </rPr>
      <t>Diss,Air</t>
    </r>
    <phoneticPr fontId="6" type="noConversion"/>
  </si>
  <si>
    <r>
      <t>k</t>
    </r>
    <r>
      <rPr>
        <vertAlign val="subscript"/>
        <sz val="8"/>
        <rFont val="Times New Roman"/>
        <family val="1"/>
      </rPr>
      <t>Diss,Water</t>
    </r>
    <phoneticPr fontId="6" type="noConversion"/>
  </si>
  <si>
    <r>
      <t>k</t>
    </r>
    <r>
      <rPr>
        <vertAlign val="subscript"/>
        <sz val="8"/>
        <rFont val="Times New Roman"/>
        <family val="1"/>
      </rPr>
      <t>Diss,Deg</t>
    </r>
    <phoneticPr fontId="6" type="noConversion"/>
  </si>
  <si>
    <r>
      <t>k</t>
    </r>
    <r>
      <rPr>
        <vertAlign val="superscript"/>
        <sz val="8"/>
        <rFont val="Times New Roman"/>
        <family val="1"/>
      </rPr>
      <t>0</t>
    </r>
    <r>
      <rPr>
        <vertAlign val="subscript"/>
        <sz val="8"/>
        <rFont val="Times New Roman"/>
        <family val="1"/>
      </rPr>
      <t>Diss,Deg</t>
    </r>
    <phoneticPr fontId="6" type="noConversion"/>
  </si>
  <si>
    <r>
      <t>K</t>
    </r>
    <r>
      <rPr>
        <vertAlign val="subscript"/>
        <sz val="8"/>
        <rFont val="Times New Roman"/>
        <family val="1"/>
      </rPr>
      <t>SA</t>
    </r>
    <phoneticPr fontId="6" type="noConversion"/>
  </si>
  <si>
    <t>Aerial appliaction</t>
    <phoneticPr fontId="6" type="noConversion"/>
  </si>
  <si>
    <t>t (time after insecticide application)</t>
    <phoneticPr fontId="6" type="noConversion"/>
  </si>
  <si>
    <t>Acetamiprid</t>
    <phoneticPr fontId="6" type="noConversion"/>
  </si>
  <si>
    <t>135410-20-7</t>
    <phoneticPr fontId="6" type="noConversion"/>
  </si>
  <si>
    <t>DT50 (soil)</t>
    <phoneticPr fontId="6" type="noConversion"/>
  </si>
  <si>
    <t>d</t>
    <phoneticPr fontId="6" type="noConversion"/>
  </si>
  <si>
    <t>Clothianidin</t>
    <phoneticPr fontId="6" type="noConversion"/>
  </si>
  <si>
    <t>210880-92-5</t>
    <phoneticPr fontId="6" type="noConversion"/>
  </si>
  <si>
    <t>Dissipation half-life RL50</t>
    <phoneticPr fontId="6" type="noConversion"/>
  </si>
  <si>
    <t>Dinotefuran</t>
    <phoneticPr fontId="6" type="noConversion"/>
  </si>
  <si>
    <t>165252-70-0</t>
    <phoneticPr fontId="6" type="noConversion"/>
  </si>
  <si>
    <t>Flonicamid</t>
    <phoneticPr fontId="6" type="noConversion"/>
  </si>
  <si>
    <t>158062-67-0</t>
    <phoneticPr fontId="6" type="noConversion"/>
  </si>
  <si>
    <t>Imidacloprid</t>
    <phoneticPr fontId="6" type="noConversion"/>
  </si>
  <si>
    <t>138261-41-3</t>
    <phoneticPr fontId="6" type="noConversion"/>
  </si>
  <si>
    <t>Thiacloprid</t>
    <phoneticPr fontId="6" type="noConversion"/>
  </si>
  <si>
    <t>111988-49-9</t>
    <phoneticPr fontId="6" type="noConversion"/>
  </si>
  <si>
    <t>Thiamethoxam</t>
    <phoneticPr fontId="6" type="noConversion"/>
  </si>
  <si>
    <t>153719-23-4</t>
    <phoneticPr fontId="6" type="noConversion"/>
  </si>
  <si>
    <t>Risk assessment (based on 1 kg per ha)</t>
    <phoneticPr fontId="6" type="noConversion"/>
  </si>
  <si>
    <r>
      <t>K</t>
    </r>
    <r>
      <rPr>
        <vertAlign val="subscript"/>
        <sz val="8"/>
        <rFont val="Times New Roman"/>
        <family val="1"/>
      </rPr>
      <t>ch</t>
    </r>
  </si>
  <si>
    <r>
      <t>RUD</t>
    </r>
    <r>
      <rPr>
        <vertAlign val="subscript"/>
        <sz val="8"/>
        <rFont val="Times New Roman"/>
        <family val="1"/>
      </rPr>
      <t>Leaf</t>
    </r>
    <phoneticPr fontId="6" type="noConversion"/>
  </si>
  <si>
    <t>NNIs - neonicotinoid insecticides</t>
    <phoneticPr fontId="6" type="noConversion"/>
  </si>
  <si>
    <t>Physicochemical properties and toxicity data of NNIs were taken from the Pesticide Properties DataBase.</t>
    <phoneticPr fontId="6" type="noConversion"/>
  </si>
  <si>
    <t>In Sheet "NNIs - default values", default values for soil property and weather inputs were used.</t>
    <phoneticPr fontId="6" type="noConversion"/>
  </si>
  <si>
    <t>LBs - lower bounds</t>
    <phoneticPr fontId="6" type="noConversion"/>
  </si>
  <si>
    <t>Ubs - upper bounds</t>
    <phoneticPr fontId="6" type="noConversion"/>
  </si>
  <si>
    <t>RQs - risk quotients</t>
    <phoneticPr fontId="6" type="noConversion"/>
  </si>
  <si>
    <t>Tempreture</t>
    <phoneticPr fontId="6" type="noConversion"/>
  </si>
  <si>
    <t>Relative humidity</t>
    <phoneticPr fontId="6" type="noConversion"/>
  </si>
  <si>
    <t>Rainfall intensity</t>
    <phoneticPr fontId="6" type="noConversion"/>
  </si>
  <si>
    <r>
      <t xml:space="preserve">Dissipation half-life RL50 </t>
    </r>
    <r>
      <rPr>
        <sz val="8"/>
        <rFont val="DengXian"/>
        <family val="1"/>
        <charset val="134"/>
      </rPr>
      <t>（</t>
    </r>
    <r>
      <rPr>
        <sz val="8"/>
        <rFont val="Times New Roman"/>
        <family val="1"/>
      </rPr>
      <t>used to approxiamte degradation rate constants in plant tissues)</t>
    </r>
    <phoneticPr fontId="6" type="noConversion"/>
  </si>
  <si>
    <r>
      <t>LD</t>
    </r>
    <r>
      <rPr>
        <vertAlign val="subscript"/>
        <sz val="8"/>
        <rFont val="Times New Roman"/>
        <family val="1"/>
      </rPr>
      <t>50</t>
    </r>
    <r>
      <rPr>
        <sz val="8"/>
        <rFont val="Times New Roman"/>
        <family val="1"/>
      </rPr>
      <t xml:space="preserve"> – oral (mg bee</t>
    </r>
    <r>
      <rPr>
        <vertAlign val="superscript"/>
        <sz val="8"/>
        <rFont val="Times New Roman"/>
        <family val="1"/>
      </rPr>
      <t>-1</t>
    </r>
    <r>
      <rPr>
        <sz val="8"/>
        <rFont val="Times New Roman"/>
        <family val="1"/>
      </rPr>
      <t>)</t>
    </r>
    <phoneticPr fontId="6" type="noConversion"/>
  </si>
  <si>
    <r>
      <t>LC</t>
    </r>
    <r>
      <rPr>
        <vertAlign val="subscript"/>
        <sz val="8"/>
        <rFont val="Times New Roman"/>
        <family val="1"/>
      </rPr>
      <t>50</t>
    </r>
    <r>
      <rPr>
        <sz val="8"/>
        <rFont val="Times New Roman"/>
        <family val="1"/>
      </rPr>
      <t xml:space="preserve"> – earthworms (mg kg</t>
    </r>
    <r>
      <rPr>
        <vertAlign val="superscript"/>
        <sz val="8"/>
        <rFont val="Times New Roman"/>
        <family val="1"/>
      </rPr>
      <t>-1</t>
    </r>
    <r>
      <rPr>
        <sz val="8"/>
        <rFont val="Times New Roman"/>
        <family val="1"/>
      </rPr>
      <t>)</t>
    </r>
  </si>
  <si>
    <r>
      <t>D</t>
    </r>
    <r>
      <rPr>
        <vertAlign val="superscript"/>
        <sz val="8"/>
        <rFont val="Times New Roman"/>
        <family val="1"/>
      </rPr>
      <t>0</t>
    </r>
    <r>
      <rPr>
        <vertAlign val="subscript"/>
        <sz val="8"/>
        <rFont val="Times New Roman"/>
        <family val="1"/>
      </rPr>
      <t>Air</t>
    </r>
    <phoneticPr fontId="6" type="noConversion"/>
  </si>
  <si>
    <r>
      <t>RUD</t>
    </r>
    <r>
      <rPr>
        <vertAlign val="subscript"/>
        <sz val="8"/>
        <rFont val="Times New Roman"/>
        <family val="1"/>
      </rPr>
      <t>Nectar</t>
    </r>
    <phoneticPr fontId="6" type="noConversion"/>
  </si>
  <si>
    <r>
      <t>RUD</t>
    </r>
    <r>
      <rPr>
        <vertAlign val="subscript"/>
        <sz val="8"/>
        <rFont val="Times New Roman"/>
        <family val="1"/>
      </rPr>
      <t>Pollen</t>
    </r>
    <phoneticPr fontId="6" type="noConversion"/>
  </si>
  <si>
    <r>
      <t>RUD</t>
    </r>
    <r>
      <rPr>
        <vertAlign val="subscript"/>
        <sz val="8"/>
        <rFont val="Times New Roman"/>
        <family val="1"/>
      </rPr>
      <t>Soil</t>
    </r>
    <phoneticPr fontId="6" type="noConversion"/>
  </si>
  <si>
    <r>
      <t>RQ</t>
    </r>
    <r>
      <rPr>
        <vertAlign val="subscript"/>
        <sz val="8"/>
        <rFont val="Times New Roman"/>
        <family val="1"/>
      </rPr>
      <t>Nectar</t>
    </r>
    <phoneticPr fontId="6" type="noConversion"/>
  </si>
  <si>
    <r>
      <t>RQ</t>
    </r>
    <r>
      <rPr>
        <vertAlign val="subscript"/>
        <sz val="8"/>
        <rFont val="Times New Roman"/>
        <family val="1"/>
      </rPr>
      <t>Pollen</t>
    </r>
    <phoneticPr fontId="6" type="noConversion"/>
  </si>
  <si>
    <r>
      <t>RQ</t>
    </r>
    <r>
      <rPr>
        <vertAlign val="subscript"/>
        <sz val="8"/>
        <rFont val="Times New Roman"/>
        <family val="1"/>
      </rPr>
      <t>Soil</t>
    </r>
    <phoneticPr fontId="6" type="noConversion"/>
  </si>
  <si>
    <t>In Sheet "NNIs - LBs of Ksw", the simulation of RQs was conducted using LBs of Ksw (variability analysis of soil properties).</t>
    <phoneticPr fontId="6" type="noConversion"/>
  </si>
  <si>
    <t>In Sheet "NNIs - UBs of Ksw", the simulation of RQs was conducted using UBs of Ksw (variability analysis of soil properties).</t>
    <phoneticPr fontId="6" type="noConversion"/>
  </si>
  <si>
    <t>In Sheet "NNIs - LBs of RQs (weather)", LBs of simulated RQs were provided (variability analysis of weather conditions).</t>
    <phoneticPr fontId="6" type="noConversion"/>
  </si>
  <si>
    <t>In Sheet "NNIs - UBs of RQs (weather)", LBs of simulated RQs were provided (variability analysis of weather conditions).</t>
    <phoneticPr fontId="6" type="noConversion"/>
  </si>
  <si>
    <t>Variability analysis on soil properties (default values used in this sheet)</t>
    <phoneticPr fontId="6" type="noConversion"/>
  </si>
  <si>
    <t>Variability analysis on soil properties (lower bounds of Ksw)</t>
    <phoneticPr fontId="6" type="noConversion"/>
  </si>
  <si>
    <t>Variability analysis on soil properties (upper bounds of Ksw)</t>
    <phoneticPr fontId="6" type="noConversion"/>
  </si>
  <si>
    <t>Variability analysis 2</t>
    <phoneticPr fontId="6" type="noConversion"/>
  </si>
  <si>
    <t>Variability analysis (default values used)</t>
    <phoneticPr fontId="6" type="noConversion"/>
  </si>
  <si>
    <t>Variability analysis on dissipation half-lives in soil (weather conditions) (default values used in this sheet)</t>
    <phoneticPr fontId="6" type="noConversion"/>
  </si>
  <si>
    <t>Weather-dependent formulas were obtained from Li and Niu (2021): Li, Z. and Niu, S., 2021. Modeling pesticides in global surface soils: Evaluating spatiotemporal patterns for USEtox-based steady-state concentrations. Science of The Total Environment, 791, p.148412.</t>
  </si>
  <si>
    <t>k/day</t>
  </si>
  <si>
    <t>mg/kg</t>
  </si>
  <si>
    <t>Ct in pollen at 63 days?</t>
  </si>
  <si>
    <t>ng/g</t>
  </si>
  <si>
    <t>2.1 ng/g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</si>
</sst>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\-##\-#"/>
    <numFmt numFmtId="165" formatCode="General_)"/>
  </numFmts>
  <fonts count="10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name val="Times New Roman"/>
      <family val="1"/>
    </font>
    <font>
      <vertAlign val="subscript"/>
      <sz val="8"/>
      <name val="Times New Roman"/>
      <family val="1"/>
    </font>
    <font>
      <sz val="10"/>
      <name val="Arial"/>
      <family val="2"/>
    </font>
    <font>
      <vertAlign val="superscript"/>
      <sz val="8"/>
      <name val="Times New Roman"/>
      <family val="1"/>
    </font>
    <font>
      <sz val="9"/>
      <name val="Calibri"/>
      <family val="3"/>
      <charset val="134"/>
      <scheme val="minor"/>
    </font>
    <font>
      <sz val="8"/>
      <name val="DengXian"/>
      <family val="1"/>
      <charset val="134"/>
    </font>
    <font>
      <b/>
      <sz val="8"/>
      <name val="Times New Roman"/>
      <family val="1"/>
    </font>
    <font>
      <sz val="8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4" fillId="0" borderId="0"/>
  </cellStyleXfs>
  <cellXfs count="4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1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/>
    </xf>
    <xf numFmtId="2" fontId="2" fillId="0" borderId="1" xfId="1" applyNumberFormat="1" applyFont="1" applyBorder="1" applyAlignment="1">
      <alignment horizontal="center" vertical="top"/>
    </xf>
    <xf numFmtId="11" fontId="2" fillId="0" borderId="1" xfId="0" applyNumberFormat="1" applyFont="1" applyBorder="1" applyAlignment="1">
      <alignment horizontal="center" vertical="top" wrapText="1"/>
    </xf>
    <xf numFmtId="11" fontId="2" fillId="0" borderId="1" xfId="1" applyNumberFormat="1" applyFont="1" applyBorder="1" applyAlignment="1">
      <alignment horizontal="center" vertical="top" wrapText="1"/>
    </xf>
    <xf numFmtId="11" fontId="2" fillId="0" borderId="1" xfId="1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2" fillId="0" borderId="1" xfId="1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1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top"/>
    </xf>
    <xf numFmtId="1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1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1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top"/>
    </xf>
    <xf numFmtId="1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</cellXfs>
  <cellStyles count="2">
    <cellStyle name="Normal" xfId="0" builtinId="0"/>
    <cellStyle name="Normal_Merged RRMH database 3.xls" xfId="1" xr:uid="{C5DD3E91-6AD2-4ED7-BA12-79D39C60AB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B2FD-9F05-4C6E-90FA-087914BBF6B0}">
  <dimension ref="A1:A11"/>
  <sheetViews>
    <sheetView workbookViewId="0">
      <selection activeCell="A7" sqref="A7"/>
    </sheetView>
  </sheetViews>
  <sheetFormatPr defaultColWidth="9" defaultRowHeight="10.5"/>
  <cols>
    <col min="1" max="16384" width="9" style="1"/>
  </cols>
  <sheetData>
    <row r="1" spans="1:1">
      <c r="A1" s="1" t="s">
        <v>61</v>
      </c>
    </row>
    <row r="2" spans="1:1">
      <c r="A2" s="1" t="s">
        <v>64</v>
      </c>
    </row>
    <row r="3" spans="1:1">
      <c r="A3" s="1" t="s">
        <v>65</v>
      </c>
    </row>
    <row r="4" spans="1:1">
      <c r="A4" s="1" t="s">
        <v>66</v>
      </c>
    </row>
    <row r="5" spans="1:1">
      <c r="A5" s="1" t="s">
        <v>62</v>
      </c>
    </row>
    <row r="6" spans="1:1">
      <c r="A6" s="1" t="s">
        <v>90</v>
      </c>
    </row>
    <row r="7" spans="1:1">
      <c r="A7" s="1" t="s">
        <v>63</v>
      </c>
    </row>
    <row r="8" spans="1:1">
      <c r="A8" s="1" t="s">
        <v>80</v>
      </c>
    </row>
    <row r="9" spans="1:1">
      <c r="A9" s="1" t="s">
        <v>81</v>
      </c>
    </row>
    <row r="10" spans="1:1">
      <c r="A10" s="1" t="s">
        <v>82</v>
      </c>
    </row>
    <row r="11" spans="1:1">
      <c r="A11" s="1" t="s">
        <v>83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20"/>
  <sheetViews>
    <sheetView tabSelected="1" zoomScale="110" zoomScaleNormal="11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H31" sqref="H31"/>
    </sheetView>
  </sheetViews>
  <sheetFormatPr defaultColWidth="9.1796875" defaultRowHeight="10.5"/>
  <cols>
    <col min="1" max="1" width="15.54296875" style="5" customWidth="1"/>
    <col min="2" max="2" width="16.7265625" style="6" customWidth="1"/>
    <col min="3" max="3" width="14.453125" style="6" customWidth="1"/>
    <col min="4" max="4" width="22.453125" style="6" customWidth="1"/>
    <col min="5" max="5" width="9.1796875" style="6"/>
    <col min="6" max="6" width="9.7265625" style="8" bestFit="1" customWidth="1"/>
    <col min="7" max="7" width="9.7265625" style="8" customWidth="1"/>
    <col min="8" max="8" width="9.1796875" style="8"/>
    <col min="9" max="9" width="9.1796875" style="9"/>
    <col min="10" max="11" width="10.7265625" style="9" customWidth="1"/>
    <col min="12" max="13" width="9.1796875" style="8"/>
    <col min="14" max="14" width="10.7265625" style="8" bestFit="1" customWidth="1"/>
    <col min="15" max="17" width="10.7265625" style="8" customWidth="1"/>
    <col min="18" max="31" width="9.1796875" style="8"/>
    <col min="32" max="35" width="9.1796875" style="14"/>
    <col min="36" max="36" width="9.1796875" style="19"/>
    <col min="37" max="16384" width="9.1796875" style="14"/>
  </cols>
  <sheetData>
    <row r="1" spans="1:45" s="2" customFormat="1" ht="45" customHeight="1">
      <c r="F1" s="3"/>
      <c r="G1" s="3"/>
      <c r="I1" s="4"/>
      <c r="J1" s="4"/>
      <c r="K1" s="4"/>
      <c r="P1" s="2" t="s">
        <v>84</v>
      </c>
      <c r="AC1" s="2" t="s">
        <v>89</v>
      </c>
      <c r="AD1" s="2" t="s">
        <v>70</v>
      </c>
      <c r="AF1" s="2" t="s">
        <v>31</v>
      </c>
      <c r="AG1" s="2" t="s">
        <v>32</v>
      </c>
      <c r="AJ1" s="3"/>
      <c r="AK1" s="2" t="s">
        <v>40</v>
      </c>
      <c r="AL1" s="36" t="s">
        <v>39</v>
      </c>
      <c r="AM1" s="37"/>
      <c r="AN1" s="37"/>
      <c r="AO1" s="38"/>
      <c r="AQ1" s="33" t="s">
        <v>58</v>
      </c>
      <c r="AR1" s="33"/>
      <c r="AS1" s="33"/>
    </row>
    <row r="2" spans="1:45" ht="14.25" customHeight="1">
      <c r="A2" s="5" t="s">
        <v>0</v>
      </c>
      <c r="B2" s="6" t="s">
        <v>1</v>
      </c>
      <c r="C2" s="2" t="s">
        <v>71</v>
      </c>
      <c r="D2" s="2" t="s">
        <v>72</v>
      </c>
      <c r="E2" s="7" t="s">
        <v>2</v>
      </c>
      <c r="F2" s="8" t="s">
        <v>18</v>
      </c>
      <c r="G2" s="8" t="s">
        <v>73</v>
      </c>
      <c r="H2" s="8" t="s">
        <v>3</v>
      </c>
      <c r="I2" s="9" t="s">
        <v>4</v>
      </c>
      <c r="J2" s="10" t="s">
        <v>59</v>
      </c>
      <c r="K2" s="10" t="s">
        <v>17</v>
      </c>
      <c r="L2" s="11" t="s">
        <v>5</v>
      </c>
      <c r="M2" s="12" t="s">
        <v>6</v>
      </c>
      <c r="N2" s="13" t="s">
        <v>7</v>
      </c>
      <c r="O2" s="13" t="s">
        <v>8</v>
      </c>
      <c r="P2" s="13" t="s">
        <v>9</v>
      </c>
      <c r="Q2" s="13" t="s">
        <v>38</v>
      </c>
      <c r="R2" s="13" t="s">
        <v>23</v>
      </c>
      <c r="S2" s="13" t="s">
        <v>24</v>
      </c>
      <c r="T2" s="13" t="s">
        <v>20</v>
      </c>
      <c r="U2" s="13" t="s">
        <v>25</v>
      </c>
      <c r="V2" s="13" t="s">
        <v>26</v>
      </c>
      <c r="W2" s="13" t="s">
        <v>43</v>
      </c>
      <c r="X2" s="13" t="s">
        <v>37</v>
      </c>
      <c r="Y2" s="13" t="s">
        <v>36</v>
      </c>
      <c r="Z2" s="13" t="s">
        <v>33</v>
      </c>
      <c r="AA2" s="13" t="s">
        <v>34</v>
      </c>
      <c r="AB2" s="13" t="s">
        <v>35</v>
      </c>
      <c r="AC2" s="13" t="s">
        <v>27</v>
      </c>
      <c r="AD2" s="13"/>
      <c r="AE2" s="13" t="s">
        <v>28</v>
      </c>
      <c r="AF2" s="13" t="s">
        <v>29</v>
      </c>
      <c r="AG2" s="13" t="s">
        <v>30</v>
      </c>
      <c r="AH2" s="13" t="s">
        <v>15</v>
      </c>
      <c r="AI2" s="13" t="s">
        <v>16</v>
      </c>
      <c r="AJ2" s="13" t="s">
        <v>21</v>
      </c>
      <c r="AL2" s="14" t="s">
        <v>60</v>
      </c>
      <c r="AM2" s="14" t="s">
        <v>74</v>
      </c>
      <c r="AN2" s="14" t="s">
        <v>75</v>
      </c>
      <c r="AO2" s="14" t="s">
        <v>76</v>
      </c>
      <c r="AQ2" s="14" t="s">
        <v>77</v>
      </c>
      <c r="AR2" s="14" t="s">
        <v>78</v>
      </c>
      <c r="AS2" s="14" t="s">
        <v>79</v>
      </c>
    </row>
    <row r="3" spans="1:45">
      <c r="A3" s="15"/>
      <c r="B3" s="16"/>
      <c r="C3" s="32"/>
      <c r="D3" s="32"/>
      <c r="E3" s="34" t="s">
        <v>10</v>
      </c>
      <c r="F3" s="32" t="s">
        <v>19</v>
      </c>
      <c r="G3" s="32" t="s">
        <v>19</v>
      </c>
      <c r="H3" s="32" t="s">
        <v>11</v>
      </c>
      <c r="I3" s="35"/>
      <c r="J3" s="35" t="s">
        <v>11</v>
      </c>
      <c r="K3" s="32"/>
      <c r="L3" s="32"/>
      <c r="M3" s="32" t="s">
        <v>12</v>
      </c>
      <c r="N3" s="32" t="s">
        <v>13</v>
      </c>
      <c r="O3" s="32"/>
      <c r="P3" s="32" t="s">
        <v>12</v>
      </c>
      <c r="Q3" s="32"/>
      <c r="R3" s="32" t="s">
        <v>14</v>
      </c>
      <c r="S3" s="32" t="s">
        <v>14</v>
      </c>
      <c r="T3" s="32" t="s">
        <v>14</v>
      </c>
      <c r="U3" s="32" t="s">
        <v>14</v>
      </c>
      <c r="V3" s="32" t="s">
        <v>14</v>
      </c>
      <c r="W3" s="32" t="s">
        <v>44</v>
      </c>
      <c r="X3" s="32" t="s">
        <v>14</v>
      </c>
      <c r="Y3" s="32" t="s">
        <v>14</v>
      </c>
      <c r="Z3" s="32" t="s">
        <v>14</v>
      </c>
      <c r="AA3" s="32" t="s">
        <v>14</v>
      </c>
      <c r="AB3" s="32" t="s">
        <v>14</v>
      </c>
      <c r="AC3" s="32" t="s">
        <v>14</v>
      </c>
      <c r="AD3" s="17"/>
      <c r="AE3" s="32" t="s">
        <v>14</v>
      </c>
      <c r="AF3" s="32" t="s">
        <v>12</v>
      </c>
      <c r="AG3" s="32" t="s">
        <v>12</v>
      </c>
      <c r="AH3" s="32" t="s">
        <v>12</v>
      </c>
      <c r="AI3" s="32" t="s">
        <v>12</v>
      </c>
      <c r="AJ3" s="32" t="s">
        <v>11</v>
      </c>
      <c r="AL3" s="32" t="s">
        <v>22</v>
      </c>
      <c r="AM3" s="32" t="s">
        <v>22</v>
      </c>
      <c r="AN3" s="32" t="s">
        <v>22</v>
      </c>
      <c r="AO3" s="32" t="s">
        <v>22</v>
      </c>
      <c r="AP3" s="32"/>
      <c r="AQ3" s="32"/>
      <c r="AR3" s="32"/>
      <c r="AS3" s="32"/>
    </row>
    <row r="4" spans="1:45">
      <c r="A4" s="15"/>
      <c r="B4" s="16"/>
      <c r="C4" s="32"/>
      <c r="D4" s="32"/>
      <c r="E4" s="34"/>
      <c r="F4" s="32"/>
      <c r="G4" s="32"/>
      <c r="H4" s="32"/>
      <c r="I4" s="35"/>
      <c r="J4" s="35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17"/>
      <c r="AE4" s="32"/>
      <c r="AF4" s="32"/>
      <c r="AG4" s="32"/>
      <c r="AH4" s="32"/>
      <c r="AI4" s="32"/>
      <c r="AJ4" s="32"/>
      <c r="AL4" s="32"/>
      <c r="AM4" s="32"/>
      <c r="AN4" s="32"/>
      <c r="AO4" s="32"/>
      <c r="AP4" s="32"/>
      <c r="AQ4" s="32"/>
      <c r="AR4" s="32"/>
      <c r="AS4" s="32"/>
    </row>
    <row r="5" spans="1:45">
      <c r="A5" s="18"/>
      <c r="B5" s="16"/>
      <c r="C5" s="32"/>
      <c r="D5" s="32"/>
      <c r="E5" s="34"/>
      <c r="F5" s="32"/>
      <c r="G5" s="32"/>
      <c r="H5" s="32"/>
      <c r="I5" s="35"/>
      <c r="J5" s="35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17"/>
      <c r="AE5" s="32"/>
      <c r="AF5" s="32"/>
      <c r="AG5" s="32"/>
      <c r="AH5" s="32"/>
      <c r="AI5" s="32"/>
      <c r="AJ5" s="32"/>
      <c r="AL5" s="32"/>
      <c r="AM5" s="32"/>
      <c r="AN5" s="32"/>
      <c r="AO5" s="32"/>
      <c r="AP5" s="32"/>
      <c r="AQ5" s="32"/>
      <c r="AR5" s="32"/>
      <c r="AS5" s="32"/>
    </row>
    <row r="6" spans="1:45">
      <c r="A6" s="5" t="s">
        <v>42</v>
      </c>
      <c r="B6" s="6" t="s">
        <v>41</v>
      </c>
      <c r="C6" s="8">
        <v>8.09E-3</v>
      </c>
      <c r="D6" s="2">
        <v>9</v>
      </c>
      <c r="E6" s="6">
        <v>222.67</v>
      </c>
      <c r="F6" s="8">
        <f>0.0001728*((32)^0.5)/((E6)^0.5)</f>
        <v>6.550702444732426E-5</v>
      </c>
      <c r="G6" s="8">
        <f>2.22*((18)^0.5)/((E6)^0.5)</f>
        <v>0.63118747514348883</v>
      </c>
      <c r="H6" s="8">
        <v>6.31</v>
      </c>
      <c r="I6" s="9">
        <f t="shared" ref="I6:I12" si="0">LOG10(H6)</f>
        <v>0.80002935924413432</v>
      </c>
      <c r="J6" s="9">
        <v>0.2</v>
      </c>
      <c r="K6" s="9">
        <f t="shared" ref="K6:K12" si="1">0.7*EXP(0-((I6-3.07)^2)/2.78)</f>
        <v>0.10968001039674864</v>
      </c>
      <c r="L6" s="8">
        <f t="shared" ref="L6:L12" si="2">0.81*I6+0.1</f>
        <v>0.7480237809877488</v>
      </c>
      <c r="M6" s="8">
        <f t="shared" ref="M6:M12" si="3">10^L6</f>
        <v>5.5978825339993774</v>
      </c>
      <c r="N6" s="8">
        <v>5.2999999999999998E-8</v>
      </c>
      <c r="O6" s="8">
        <f t="shared" ref="O6:O12" si="4">N6/(8.314*298.15)</f>
        <v>2.1381148789760417E-11</v>
      </c>
      <c r="P6" s="8">
        <f>(0.023*1.6*M6+0.35+0.12*O6)/1.5</f>
        <v>0.37066805150249521</v>
      </c>
      <c r="Q6" s="8">
        <f>P6/O6</f>
        <v>17336208411.776768</v>
      </c>
      <c r="R6" s="8">
        <f>(0.0938*K6/P6)*(2500000*(31.145-0.1*298.15)/((298.15-33.85)^2)+610.78*(1-50/100))*EXP(17.2*(298.15-273.15)/(298.15-35.85))</f>
        <v>50.473618064663583</v>
      </c>
      <c r="S6" s="8">
        <f>86.4/(0.0002*0.4*AI6)</f>
        <v>2.4600404898327982E-5</v>
      </c>
      <c r="T6" s="8">
        <f t="shared" ref="T6:T12" si="5">10^(0-0.011*E6-2.46)</f>
        <v>1.2320547289553744E-5</v>
      </c>
      <c r="U6" s="8">
        <f t="shared" ref="U6:U12" si="6">T6*AJ6</f>
        <v>8.5282268239442446E-5</v>
      </c>
      <c r="V6" s="8">
        <f t="shared" ref="V6:V12" si="7">4*AC6</f>
        <v>8.0086457670760147</v>
      </c>
      <c r="W6" s="8">
        <v>1.6</v>
      </c>
      <c r="X6" s="8">
        <f t="shared" ref="X6:X12" si="8">LN(2)/W6</f>
        <v>0.43321698784996576</v>
      </c>
      <c r="Y6" s="8">
        <f>X6*EXP((60/8.314)*(1/298.15-1/298.15))</f>
        <v>0.43321698784996576</v>
      </c>
      <c r="Z6" s="8">
        <f>(0.0025*3*0.01)*(2500000*(31.145-0.1*298.15)/((298.15-33.85)^2)+610.78*(1-50/100))*EXP(17.2*(298.15-273.15)/(298.15-35.85))*3*0.001/(0.01*0.05*1.5*P6)</f>
        <v>1.4718222718907696</v>
      </c>
      <c r="AA6" s="8">
        <f>G6/(Q6*1.5*0.0001)</f>
        <v>2.4272415288328476E-7</v>
      </c>
      <c r="AB6" s="8">
        <f>0.0027/(0.05*1.5*P6)</f>
        <v>9.7121939304115237E-2</v>
      </c>
      <c r="AC6" s="8">
        <f>SUM(Y6:AB6)</f>
        <v>2.0021614417690037</v>
      </c>
      <c r="AD6" s="8">
        <v>6.2</v>
      </c>
      <c r="AE6" s="8">
        <f t="shared" ref="AE6:AE12" si="9">LN(2)/AD6</f>
        <v>0.11179793234837827</v>
      </c>
      <c r="AF6" s="19">
        <f t="shared" ref="AF6:AF12" si="10">(0.7+J6*0.3+1.22*0*(H6^0.77))/(0.8+J6*0.1+1.22*0.02*(H6^0.77))</f>
        <v>0.82537925053495764</v>
      </c>
      <c r="AG6" s="19">
        <f t="shared" ref="AG6:AG12" si="11">(0.13+J6*0.75+1.22*0.087*(H6^0.77))/(0.8+J6*0.1+1.22*0.02*(H6^0.77))</f>
        <v>0.780234741436308</v>
      </c>
      <c r="AH6" s="19">
        <f t="shared" ref="AH6:AH12" si="12">0.8+(1/0.83)*0.02*(H6^0.95)</f>
        <v>0.93866913119428863</v>
      </c>
      <c r="AI6" s="19">
        <f t="shared" ref="AI6:AI12" si="13">AH6/O6</f>
        <v>43901716433.675629</v>
      </c>
      <c r="AJ6" s="19">
        <f t="shared" ref="AJ6:AJ12" si="14">10^(0.979*I6+0.057)</f>
        <v>6.9219545394506099</v>
      </c>
      <c r="AK6" s="16">
        <v>7</v>
      </c>
      <c r="AL6" s="20">
        <f t="shared" ref="AL6:AL12" si="15">(0.223*100/(1.5*0.05*1000))*(R6/(S6+AE6+0.035-AC6))*(EXP(0-AC6*AK6)-EXP(0-(S6+AE6+0.035)*AK6))+(0.612*100/(3*0.1*(1/0.2)*1000))*(U6/(S6+AE6+0.035-V6))*(EXP(0-V6*AK6)-EXP(0-(S6+AE6+0.035)*AK6))</f>
        <v>2.8942384136967609</v>
      </c>
      <c r="AM6" s="19">
        <f t="shared" ref="AM6:AM12" si="16">(AF6*0.223*100/(1.5*0.05*1000))*(R6/(S6+AE6+0.035-AC6))*(EXP(0-AC6*AK6)-EXP(0-(S6+AE6+0.035)*AK6))+(AF6*0.612*100/(3*0.1*(1/0.2)*1000))*(U6/(S6+AE6+0.035-V6))*(EXP(0-V6*AK6)-EXP(0-(S6+AE6+0.035)*AK6))</f>
        <v>2.3888443327665172</v>
      </c>
      <c r="AN6" s="19">
        <f t="shared" ref="AN6:AN12" si="17">(AG6*0.223*100/(1.5*0.05*1000))*(R6/(S6+AE6+0.035-AC6))*(EXP(0-AC6*AK6)-EXP(0-(S6+AE6+0.035)*AK6))+(AG6*0.612*100/(3*0.1*(1/0.2)*1000))*(U6/(S6+AE6+0.035-V6))*(EXP(0-V6*AK6)-EXP(0-(S6+AE6+0.035)*AK6))</f>
        <v>2.2581853603657227</v>
      </c>
      <c r="AO6" s="19">
        <f t="shared" ref="AO6:AO12" si="18">(0.223*100/(1.5*0.05*1000))*EXP(0-AC6*AK6)</f>
        <v>2.4352858053449033E-7</v>
      </c>
      <c r="AP6" s="19"/>
      <c r="AQ6" s="19">
        <f>AM6*0.000292/(C6/10)</f>
        <v>0.86222811516418163</v>
      </c>
      <c r="AR6" s="19">
        <f t="shared" ref="AR6:AR12" si="19">AN6*0.0000095/(C6/10)</f>
        <v>2.651762784113024E-2</v>
      </c>
      <c r="AS6" s="19">
        <f t="shared" ref="AS6:AS12" si="20">AO6/(D6/10)</f>
        <v>2.7058731170498926E-7</v>
      </c>
    </row>
    <row r="7" spans="1:45" s="29" customFormat="1">
      <c r="A7" s="21" t="s">
        <v>46</v>
      </c>
      <c r="B7" s="22" t="s">
        <v>45</v>
      </c>
      <c r="C7" s="23">
        <v>4.3999999999999999E-5</v>
      </c>
      <c r="D7" s="24">
        <v>13.21</v>
      </c>
      <c r="E7" s="22">
        <v>249.7</v>
      </c>
      <c r="F7" s="23">
        <f t="shared" ref="F7:F12" si="21">0.0001728*((32)^0.5)/((E7)^0.5)</f>
        <v>6.1859934544114761E-5</v>
      </c>
      <c r="G7" s="23">
        <f t="shared" ref="G7:G12" si="22">2.22*((18)^0.5)/((E7)^0.5)</f>
        <v>0.59604624430527242</v>
      </c>
      <c r="H7" s="23">
        <v>8.0399999999999991</v>
      </c>
      <c r="I7" s="25">
        <f t="shared" si="0"/>
        <v>0.90525604874845123</v>
      </c>
      <c r="J7" s="25">
        <v>0.2</v>
      </c>
      <c r="K7" s="25">
        <f t="shared" si="1"/>
        <v>0.12972631511648189</v>
      </c>
      <c r="L7" s="23">
        <f t="shared" si="2"/>
        <v>0.83325739948624555</v>
      </c>
      <c r="M7" s="23">
        <f t="shared" si="3"/>
        <v>6.811729595421931</v>
      </c>
      <c r="N7" s="23">
        <v>2.9E-11</v>
      </c>
      <c r="O7" s="23">
        <f t="shared" si="4"/>
        <v>1.169911914911419E-14</v>
      </c>
      <c r="P7" s="23">
        <f t="shared" ref="P7:P12" si="23">(0.023*1.6*M7+0.35+0.12*O7)/1.5</f>
        <v>0.40044776607435234</v>
      </c>
      <c r="Q7" s="23">
        <f t="shared" ref="Q7:Q12" si="24">P7/O7</f>
        <v>34228881761980.57</v>
      </c>
      <c r="R7" s="23">
        <f t="shared" ref="R7:R12" si="25">(0.0938*K7/P7)*(2500000*(31.145-0.1*298.15)/((298.15-33.85)^2)+610.78*(1-50/100))*EXP(17.2*(298.15-273.15)/(298.15-35.85))</f>
        <v>55.25916472869411</v>
      </c>
      <c r="S7" s="23">
        <f t="shared" ref="S7:S12" si="26">86.4/(0.0002*0.4*AI7)</f>
        <v>1.296487287738064E-8</v>
      </c>
      <c r="T7" s="23">
        <f t="shared" si="5"/>
        <v>6.2129806352934899E-6</v>
      </c>
      <c r="U7" s="23">
        <f t="shared" si="6"/>
        <v>5.4518722621634414E-5</v>
      </c>
      <c r="V7" s="23">
        <f t="shared" si="7"/>
        <v>5.8141594924114894</v>
      </c>
      <c r="W7" s="23">
        <v>545</v>
      </c>
      <c r="X7" s="23">
        <f t="shared" si="8"/>
        <v>1.2718296891008171E-3</v>
      </c>
      <c r="Y7" s="23">
        <f t="shared" ref="Y7:Y12" si="27">X7*EXP((60/8.314)*(1/298.15-1/298.15))</f>
        <v>1.2718296891008171E-3</v>
      </c>
      <c r="Z7" s="23">
        <f t="shared" ref="Z7:Z12" si="28">(0.0025*3*0.01)*(2500000*(31.145-0.1*298.15)/((298.15-33.85)^2)+610.78*(1-50/100))*EXP(17.2*(298.15-273.15)/(298.15-35.85))*3*0.001/(0.01*0.05*1.5*P7)</f>
        <v>1.3623686780123827</v>
      </c>
      <c r="AA7" s="23">
        <f t="shared" ref="AA7:AA12" si="29">G7/(Q7*1.5*0.0001)</f>
        <v>1.1609031391482685E-10</v>
      </c>
      <c r="AB7" s="23">
        <f t="shared" ref="AB7:AB12" si="30">0.0027/(0.05*1.5*P7)</f>
        <v>8.9899365285298571E-2</v>
      </c>
      <c r="AC7" s="23">
        <f t="shared" ref="AC7:AC12" si="31">SUM(Y7:AB7)</f>
        <v>1.4535398731028724</v>
      </c>
      <c r="AD7" s="23">
        <v>16.600000000000001</v>
      </c>
      <c r="AE7" s="23">
        <f t="shared" si="9"/>
        <v>4.1755854250599113E-2</v>
      </c>
      <c r="AF7" s="26">
        <f t="shared" si="10"/>
        <v>0.80725592490246267</v>
      </c>
      <c r="AG7" s="26">
        <f t="shared" si="11"/>
        <v>0.85861812479684874</v>
      </c>
      <c r="AH7" s="26">
        <f t="shared" si="12"/>
        <v>0.97456016734936535</v>
      </c>
      <c r="AI7" s="26">
        <f t="shared" si="13"/>
        <v>83302012307751.828</v>
      </c>
      <c r="AJ7" s="26">
        <f t="shared" si="14"/>
        <v>8.7749706335691879</v>
      </c>
      <c r="AK7" s="27">
        <v>7</v>
      </c>
      <c r="AL7" s="28">
        <f t="shared" si="15"/>
        <v>6.9728646897829218</v>
      </c>
      <c r="AM7" s="26">
        <f t="shared" si="16"/>
        <v>5.6288863343704358</v>
      </c>
      <c r="AN7" s="26">
        <f t="shared" si="17"/>
        <v>5.9870280044035731</v>
      </c>
      <c r="AO7" s="26">
        <f t="shared" si="18"/>
        <v>1.1334260157121721E-5</v>
      </c>
      <c r="AP7" s="26"/>
      <c r="AQ7" s="26">
        <f>AM7*0.000292/(C7/10)</f>
        <v>373.55336582640166</v>
      </c>
      <c r="AR7" s="26">
        <f t="shared" si="19"/>
        <v>12.926537736780441</v>
      </c>
      <c r="AS7" s="26">
        <f t="shared" si="20"/>
        <v>8.5800606791231802E-6</v>
      </c>
    </row>
    <row r="8" spans="1:45">
      <c r="A8" s="5" t="s">
        <v>49</v>
      </c>
      <c r="B8" s="6" t="s">
        <v>48</v>
      </c>
      <c r="C8" s="8">
        <v>2.3E-5</v>
      </c>
      <c r="D8" s="2">
        <v>4.9000000000000004</v>
      </c>
      <c r="E8" s="6">
        <v>202.21</v>
      </c>
      <c r="F8" s="8">
        <f t="shared" si="21"/>
        <v>6.8741248032381578E-5</v>
      </c>
      <c r="G8" s="8">
        <f t="shared" si="22"/>
        <v>0.66235056697867667</v>
      </c>
      <c r="H8" s="8">
        <v>0.28199999999999997</v>
      </c>
      <c r="I8" s="9">
        <f t="shared" si="0"/>
        <v>-0.54975089168063895</v>
      </c>
      <c r="J8" s="9">
        <v>0.1</v>
      </c>
      <c r="K8" s="9">
        <f t="shared" si="1"/>
        <v>6.2834306929133643E-3</v>
      </c>
      <c r="L8" s="8">
        <f t="shared" si="2"/>
        <v>-0.34529822226131757</v>
      </c>
      <c r="M8" s="8">
        <f t="shared" si="3"/>
        <v>0.45154576947905839</v>
      </c>
      <c r="N8" s="8">
        <v>8.7000000000000001E-9</v>
      </c>
      <c r="O8" s="8">
        <f t="shared" si="4"/>
        <v>3.5097357447342574E-12</v>
      </c>
      <c r="P8" s="8">
        <f t="shared" si="23"/>
        <v>0.24441125621150031</v>
      </c>
      <c r="Q8" s="8">
        <f t="shared" si="24"/>
        <v>69638079327.823044</v>
      </c>
      <c r="R8" s="8">
        <f t="shared" si="25"/>
        <v>4.3852841080832263</v>
      </c>
      <c r="S8" s="8">
        <f t="shared" si="26"/>
        <v>4.6956524935153604E-6</v>
      </c>
      <c r="T8" s="8">
        <f t="shared" si="5"/>
        <v>2.0686642062977948E-5</v>
      </c>
      <c r="U8" s="8">
        <f t="shared" si="6"/>
        <v>6.830993578024058E-6</v>
      </c>
      <c r="V8" s="8">
        <f t="shared" si="7"/>
        <v>9.5514998792050694</v>
      </c>
      <c r="W8" s="8">
        <v>82</v>
      </c>
      <c r="X8" s="8">
        <f t="shared" si="8"/>
        <v>8.4530143970725034E-3</v>
      </c>
      <c r="Y8" s="8">
        <f t="shared" si="27"/>
        <v>8.4530143970725034E-3</v>
      </c>
      <c r="Z8" s="8">
        <f t="shared" si="28"/>
        <v>2.232129166782856</v>
      </c>
      <c r="AA8" s="8">
        <f t="shared" si="29"/>
        <v>6.340884885319179E-8</v>
      </c>
      <c r="AB8" s="8">
        <f t="shared" si="30"/>
        <v>0.14729272521248998</v>
      </c>
      <c r="AC8" s="8">
        <f t="shared" si="31"/>
        <v>2.3878749698012673</v>
      </c>
      <c r="AD8" s="8">
        <v>6.8</v>
      </c>
      <c r="AE8" s="8">
        <f t="shared" si="9"/>
        <v>0.10193340890587431</v>
      </c>
      <c r="AF8" s="19">
        <f t="shared" si="10"/>
        <v>0.89110650857521279</v>
      </c>
      <c r="AG8" s="19">
        <f t="shared" si="11"/>
        <v>0.29912746752487146</v>
      </c>
      <c r="AH8" s="19">
        <f t="shared" si="12"/>
        <v>0.80723916634539128</v>
      </c>
      <c r="AI8" s="19">
        <f t="shared" si="13"/>
        <v>229999984345.40607</v>
      </c>
      <c r="AJ8" s="19">
        <f t="shared" si="14"/>
        <v>0.33021277968787466</v>
      </c>
      <c r="AK8" s="16">
        <v>7</v>
      </c>
      <c r="AL8" s="20">
        <f t="shared" si="15"/>
        <v>0.22211492321649678</v>
      </c>
      <c r="AM8" s="19">
        <f t="shared" si="16"/>
        <v>0.19792805372990391</v>
      </c>
      <c r="AN8" s="19">
        <f t="shared" si="17"/>
        <v>6.6440674481231948E-2</v>
      </c>
      <c r="AO8" s="19">
        <f t="shared" si="18"/>
        <v>1.6366549925858143E-8</v>
      </c>
      <c r="AP8" s="19"/>
      <c r="AQ8" s="19">
        <f t="shared" ref="AQ8:AQ12" si="32">AM8*0.000292/(C8/10)</f>
        <v>25.12825725614432</v>
      </c>
      <c r="AR8" s="19">
        <f t="shared" si="19"/>
        <v>0.27442887285726242</v>
      </c>
      <c r="AS8" s="19">
        <f t="shared" si="20"/>
        <v>3.3401122297669673E-8</v>
      </c>
    </row>
    <row r="9" spans="1:45">
      <c r="A9" s="5" t="s">
        <v>51</v>
      </c>
      <c r="B9" s="6" t="s">
        <v>50</v>
      </c>
      <c r="C9" s="8">
        <v>0.1</v>
      </c>
      <c r="D9" s="2">
        <v>1000</v>
      </c>
      <c r="E9" s="6">
        <v>229.16</v>
      </c>
      <c r="F9" s="8">
        <f>0.0001728*((32)^0.5)/((E9)^0.5)</f>
        <v>6.4572755671446795E-5</v>
      </c>
      <c r="G9" s="8">
        <f t="shared" si="22"/>
        <v>0.622185406209253</v>
      </c>
      <c r="H9" s="8">
        <v>0.57499999999999996</v>
      </c>
      <c r="I9" s="9">
        <f t="shared" si="0"/>
        <v>-0.24033215531036956</v>
      </c>
      <c r="J9" s="9">
        <v>0.1</v>
      </c>
      <c r="K9" s="9">
        <f t="shared" si="1"/>
        <v>1.3588803343909051E-2</v>
      </c>
      <c r="L9" s="8">
        <f t="shared" si="2"/>
        <v>-9.4669045801399343E-2</v>
      </c>
      <c r="M9" s="8">
        <f t="shared" si="3"/>
        <v>0.80413868280240575</v>
      </c>
      <c r="N9" s="8">
        <v>4.1999999999999999E-8</v>
      </c>
      <c r="O9" s="8">
        <f t="shared" si="4"/>
        <v>1.6943551871130896E-11</v>
      </c>
      <c r="P9" s="8">
        <f t="shared" si="23"/>
        <v>0.25306153568610784</v>
      </c>
      <c r="Q9" s="8">
        <f t="shared" si="24"/>
        <v>14935565907.953707</v>
      </c>
      <c r="R9" s="8">
        <f t="shared" si="25"/>
        <v>9.1596142402056024</v>
      </c>
      <c r="S9" s="8">
        <f t="shared" si="26"/>
        <v>2.2473647683530496E-5</v>
      </c>
      <c r="T9" s="8">
        <f t="shared" si="5"/>
        <v>1.0452977125021435E-5</v>
      </c>
      <c r="U9" s="8">
        <f t="shared" si="6"/>
        <v>6.933536720531863E-6</v>
      </c>
      <c r="V9" s="8">
        <f t="shared" si="7"/>
        <v>10.086733649553015</v>
      </c>
      <c r="W9" s="8">
        <v>3.1</v>
      </c>
      <c r="X9" s="8">
        <f t="shared" si="8"/>
        <v>0.22359586469675655</v>
      </c>
      <c r="Y9" s="8">
        <f t="shared" si="27"/>
        <v>0.22359586469675655</v>
      </c>
      <c r="Z9" s="8">
        <f t="shared" si="28"/>
        <v>2.1558293803939654</v>
      </c>
      <c r="AA9" s="8">
        <f t="shared" si="29"/>
        <v>2.7771982217645895E-7</v>
      </c>
      <c r="AB9" s="8">
        <f t="shared" si="30"/>
        <v>0.1422578895777098</v>
      </c>
      <c r="AC9" s="8">
        <f t="shared" si="31"/>
        <v>2.5216834123882537</v>
      </c>
      <c r="AD9" s="8">
        <v>4</v>
      </c>
      <c r="AE9" s="8">
        <f t="shared" si="9"/>
        <v>0.17328679513998632</v>
      </c>
      <c r="AF9" s="19">
        <f t="shared" si="10"/>
        <v>0.88384749860435052</v>
      </c>
      <c r="AG9" s="19">
        <f t="shared" si="11"/>
        <v>0.33212613134446911</v>
      </c>
      <c r="AH9" s="19">
        <f t="shared" si="12"/>
        <v>0.814244144008343</v>
      </c>
      <c r="AI9" s="19">
        <f t="shared" si="13"/>
        <v>48056284195.976929</v>
      </c>
      <c r="AJ9" s="19">
        <f t="shared" si="14"/>
        <v>0.6633073657011036</v>
      </c>
      <c r="AK9" s="16">
        <v>7</v>
      </c>
      <c r="AL9" s="20">
        <f t="shared" si="15"/>
        <v>0.27390623266322406</v>
      </c>
      <c r="AM9" s="19">
        <f t="shared" si="16"/>
        <v>0.24209133859153184</v>
      </c>
      <c r="AN9" s="19">
        <f t="shared" si="17"/>
        <v>9.097141740557467E-2</v>
      </c>
      <c r="AO9" s="19">
        <f t="shared" si="18"/>
        <v>6.4146248431077047E-9</v>
      </c>
      <c r="AP9" s="19"/>
      <c r="AQ9" s="19">
        <f t="shared" si="32"/>
        <v>7.0690670868727296E-3</v>
      </c>
      <c r="AR9" s="19">
        <f t="shared" si="19"/>
        <v>8.6422846535295943E-5</v>
      </c>
      <c r="AS9" s="19">
        <f t="shared" si="20"/>
        <v>6.4146248431077045E-11</v>
      </c>
    </row>
    <row r="10" spans="1:45" s="47" customFormat="1">
      <c r="A10" s="39" t="s">
        <v>53</v>
      </c>
      <c r="B10" s="40" t="s">
        <v>52</v>
      </c>
      <c r="C10" s="41">
        <v>8.1000000000000004E-5</v>
      </c>
      <c r="D10" s="42">
        <v>10.7</v>
      </c>
      <c r="E10" s="40">
        <v>255.66</v>
      </c>
      <c r="F10" s="41">
        <f t="shared" si="21"/>
        <v>6.1134636602640924E-5</v>
      </c>
      <c r="G10" s="41">
        <f t="shared" si="22"/>
        <v>0.58905769643169636</v>
      </c>
      <c r="H10" s="41">
        <v>3.72</v>
      </c>
      <c r="I10" s="43">
        <f t="shared" si="0"/>
        <v>0.57054293988189753</v>
      </c>
      <c r="J10" s="43">
        <v>0.2</v>
      </c>
      <c r="K10" s="43">
        <f t="shared" si="1"/>
        <v>7.3984476985727632E-2</v>
      </c>
      <c r="L10" s="41">
        <f t="shared" si="2"/>
        <v>0.56213978130433706</v>
      </c>
      <c r="M10" s="41">
        <f t="shared" si="3"/>
        <v>3.6487136492323029</v>
      </c>
      <c r="N10" s="41">
        <v>1.7000000000000001E-10</v>
      </c>
      <c r="O10" s="41">
        <f t="shared" si="4"/>
        <v>6.8581043287910771E-14</v>
      </c>
      <c r="P10" s="41">
        <f t="shared" si="23"/>
        <v>0.32284844152783793</v>
      </c>
      <c r="Q10" s="41">
        <f t="shared" si="24"/>
        <v>4707546372143.751</v>
      </c>
      <c r="R10" s="41">
        <f>(0.0938*K10/P10)*(2500000*(31.145-0.1*298.15)/((298.15-33.85)^2)+610.78*(1-50/100))*EXP(17.2*(298.15-273.15)/(298.15-35.85))</f>
        <v>39.08985171139615</v>
      </c>
      <c r="S10" s="41">
        <f t="shared" si="26"/>
        <v>8.3792505484451725E-8</v>
      </c>
      <c r="T10" s="41">
        <f t="shared" si="5"/>
        <v>5.342444263934628E-6</v>
      </c>
      <c r="U10" s="41">
        <f t="shared" si="6"/>
        <v>2.2044565239792361E-5</v>
      </c>
      <c r="V10" s="41">
        <f t="shared" si="7"/>
        <v>7.219847455522018</v>
      </c>
      <c r="W10" s="41">
        <v>191</v>
      </c>
      <c r="X10" s="41">
        <f t="shared" si="8"/>
        <v>3.6290428301567817E-3</v>
      </c>
      <c r="Y10" s="41">
        <f t="shared" si="27"/>
        <v>3.6290428301567817E-3</v>
      </c>
      <c r="Z10" s="41">
        <f t="shared" si="28"/>
        <v>1.6898253901984099</v>
      </c>
      <c r="AA10" s="41">
        <f t="shared" si="29"/>
        <v>8.3420342554295808E-10</v>
      </c>
      <c r="AB10" s="41">
        <f t="shared" si="30"/>
        <v>0.11150743001773437</v>
      </c>
      <c r="AC10" s="41">
        <f>SUM(Y10:AB10)</f>
        <v>1.8049618638805045</v>
      </c>
      <c r="AD10" s="41">
        <v>4.9000000000000004</v>
      </c>
      <c r="AE10" s="41">
        <f t="shared" si="9"/>
        <v>0.14145860827753984</v>
      </c>
      <c r="AF10" s="44">
        <f t="shared" si="10"/>
        <v>0.85672634033967043</v>
      </c>
      <c r="AG10" s="44">
        <f t="shared" si="11"/>
        <v>0.64465857803092519</v>
      </c>
      <c r="AH10" s="44">
        <f t="shared" si="12"/>
        <v>0.88393975478734632</v>
      </c>
      <c r="AI10" s="44">
        <f t="shared" si="13"/>
        <v>12888980867154.061</v>
      </c>
      <c r="AJ10" s="44">
        <f t="shared" si="14"/>
        <v>4.1263070143022658</v>
      </c>
      <c r="AK10" s="45">
        <v>63</v>
      </c>
      <c r="AL10" s="46">
        <f t="shared" si="15"/>
        <v>1.0605026005846523E-4</v>
      </c>
      <c r="AM10" s="44">
        <f t="shared" si="16"/>
        <v>9.085605119195924E-5</v>
      </c>
      <c r="AN10" s="44">
        <f>(AG10*0.223*100/(1.5*0.05*1000))*(R10/(S10+AE10+0.035-AC10))*(EXP(0-AC10*AK10)-EXP(0-(S10+AE10+0.035)*AK10))+(AG10*0.612*100/(3*0.1*(1/0.2)*1000))*(U10/(S10+AE10+0.035-V10))*(EXP(0-V10*AK10)-EXP(0-(S10+AE10+0.035)*AK10))</f>
        <v>6.8366209849100013E-5</v>
      </c>
      <c r="AO10" s="44">
        <f t="shared" si="18"/>
        <v>1.22599871594497E-50</v>
      </c>
      <c r="AP10" s="44"/>
      <c r="AQ10" s="44">
        <f t="shared" si="32"/>
        <v>3.2753045614879132E-3</v>
      </c>
      <c r="AR10" s="44">
        <f t="shared" si="19"/>
        <v>8.018259179832718E-5</v>
      </c>
      <c r="AS10" s="44">
        <f t="shared" si="20"/>
        <v>1.1457931924719347E-50</v>
      </c>
    </row>
    <row r="11" spans="1:45">
      <c r="A11" s="5" t="s">
        <v>55</v>
      </c>
      <c r="B11" s="6" t="s">
        <v>54</v>
      </c>
      <c r="C11" s="8">
        <v>3.882E-2</v>
      </c>
      <c r="D11" s="2">
        <v>105</v>
      </c>
      <c r="E11" s="6">
        <v>252.72</v>
      </c>
      <c r="F11" s="8">
        <f t="shared" si="21"/>
        <v>6.1489211061153466E-5</v>
      </c>
      <c r="G11" s="8">
        <f t="shared" si="22"/>
        <v>0.59247416907882244</v>
      </c>
      <c r="H11" s="8">
        <v>18.2</v>
      </c>
      <c r="I11" s="9">
        <f t="shared" si="0"/>
        <v>1.2600713879850747</v>
      </c>
      <c r="J11" s="9">
        <v>0.5</v>
      </c>
      <c r="K11" s="9">
        <f t="shared" si="1"/>
        <v>0.21544810193559122</v>
      </c>
      <c r="L11" s="8">
        <f t="shared" si="2"/>
        <v>1.1206578242679106</v>
      </c>
      <c r="M11" s="8">
        <f t="shared" si="3"/>
        <v>13.20255010236108</v>
      </c>
      <c r="N11" s="8">
        <v>4.8E-10</v>
      </c>
      <c r="O11" s="8">
        <f t="shared" si="4"/>
        <v>1.9364059281292454E-13</v>
      </c>
      <c r="P11" s="8">
        <f t="shared" si="23"/>
        <v>0.5572358958446072</v>
      </c>
      <c r="Q11" s="8">
        <f t="shared" si="24"/>
        <v>2877681212135.8809</v>
      </c>
      <c r="R11" s="8">
        <f t="shared" si="25"/>
        <v>65.951654759129511</v>
      </c>
      <c r="S11" s="8">
        <f t="shared" si="26"/>
        <v>1.7733072866778617E-7</v>
      </c>
      <c r="T11" s="8">
        <f t="shared" si="5"/>
        <v>5.7554594705444321E-6</v>
      </c>
      <c r="U11" s="8">
        <f t="shared" si="6"/>
        <v>1.1238022281678128E-4</v>
      </c>
      <c r="V11" s="8">
        <f t="shared" si="7"/>
        <v>7.3252564530762072</v>
      </c>
      <c r="W11" s="8">
        <v>0.88</v>
      </c>
      <c r="X11" s="8">
        <f t="shared" si="8"/>
        <v>0.7876672506363015</v>
      </c>
      <c r="Y11" s="8">
        <f t="shared" si="27"/>
        <v>0.7876672506363015</v>
      </c>
      <c r="Z11" s="8">
        <f t="shared" si="28"/>
        <v>0.97904226513049941</v>
      </c>
      <c r="AA11" s="8">
        <f t="shared" si="29"/>
        <v>1.3725730901676783E-9</v>
      </c>
      <c r="AB11" s="8">
        <f t="shared" si="30"/>
        <v>6.4604596129677699E-2</v>
      </c>
      <c r="AC11" s="8">
        <f t="shared" si="31"/>
        <v>1.8313141132690518</v>
      </c>
      <c r="AD11" s="8">
        <v>3.8</v>
      </c>
      <c r="AE11" s="8">
        <f t="shared" si="9"/>
        <v>0.18240715277893299</v>
      </c>
      <c r="AF11" s="19">
        <f t="shared" si="10"/>
        <v>0.78860857572623133</v>
      </c>
      <c r="AG11" s="19">
        <f t="shared" si="11"/>
        <v>1.3880789670517715</v>
      </c>
      <c r="AH11" s="19">
        <f t="shared" si="12"/>
        <v>1.1793322105485111</v>
      </c>
      <c r="AI11" s="19">
        <f t="shared" si="13"/>
        <v>6090315018235.1465</v>
      </c>
      <c r="AJ11" s="19">
        <f t="shared" si="14"/>
        <v>19.52584730931148</v>
      </c>
      <c r="AK11" s="16">
        <v>7</v>
      </c>
      <c r="AL11" s="20">
        <f t="shared" si="15"/>
        <v>2.652490628300129</v>
      </c>
      <c r="AM11" s="19">
        <f t="shared" si="16"/>
        <v>2.0917768565109416</v>
      </c>
      <c r="AN11" s="19">
        <f t="shared" si="17"/>
        <v>3.6818664514453476</v>
      </c>
      <c r="AO11" s="19">
        <f t="shared" si="18"/>
        <v>8.0526032400048589E-7</v>
      </c>
      <c r="AP11" s="19"/>
      <c r="AQ11" s="19">
        <f t="shared" si="32"/>
        <v>0.15734127823317748</v>
      </c>
      <c r="AR11" s="19">
        <f t="shared" si="19"/>
        <v>9.0102347472258634E-3</v>
      </c>
      <c r="AS11" s="19">
        <f t="shared" si="20"/>
        <v>7.6691459428617709E-8</v>
      </c>
    </row>
    <row r="12" spans="1:45" s="47" customFormat="1">
      <c r="A12" s="39" t="s">
        <v>57</v>
      </c>
      <c r="B12" s="40" t="s">
        <v>56</v>
      </c>
      <c r="C12" s="41">
        <v>2.4000000000000001E-5</v>
      </c>
      <c r="D12" s="42">
        <v>1000</v>
      </c>
      <c r="E12" s="40">
        <v>291.70999999999998</v>
      </c>
      <c r="F12" s="41">
        <f t="shared" si="21"/>
        <v>5.7232546351409518E-5</v>
      </c>
      <c r="G12" s="41">
        <f t="shared" si="22"/>
        <v>0.55145943099014372</v>
      </c>
      <c r="H12" s="41">
        <v>0.74099999999999999</v>
      </c>
      <c r="I12" s="43">
        <f t="shared" si="0"/>
        <v>-0.13018179202067184</v>
      </c>
      <c r="J12" s="43">
        <v>0.1</v>
      </c>
      <c r="K12" s="43">
        <f t="shared" si="1"/>
        <v>1.7587854379392937E-2</v>
      </c>
      <c r="L12" s="41">
        <f t="shared" si="2"/>
        <v>-5.4472515367441909E-3</v>
      </c>
      <c r="M12" s="41">
        <f t="shared" si="3"/>
        <v>0.98753557238599765</v>
      </c>
      <c r="N12" s="41">
        <v>4.7000000000000003E-10</v>
      </c>
      <c r="O12" s="41">
        <f t="shared" si="4"/>
        <v>1.8960641379598862E-13</v>
      </c>
      <c r="P12" s="41">
        <f t="shared" si="23"/>
        <v>0.25756087270921829</v>
      </c>
      <c r="Q12" s="41">
        <f t="shared" si="24"/>
        <v>1358397469541.019</v>
      </c>
      <c r="R12" s="41">
        <f t="shared" si="25"/>
        <v>11.648099784437367</v>
      </c>
      <c r="S12" s="41">
        <f t="shared" si="26"/>
        <v>2.5029783286733387E-7</v>
      </c>
      <c r="T12" s="41">
        <f t="shared" si="5"/>
        <v>2.143828301934283E-6</v>
      </c>
      <c r="U12" s="41">
        <f t="shared" si="6"/>
        <v>1.8228126154294134E-6</v>
      </c>
      <c r="V12" s="41">
        <f t="shared" si="7"/>
        <v>9.0872195000241991</v>
      </c>
      <c r="W12" s="41">
        <v>50</v>
      </c>
      <c r="X12" s="41">
        <f t="shared" si="8"/>
        <v>1.3862943611198907E-2</v>
      </c>
      <c r="Y12" s="41">
        <f t="shared" si="27"/>
        <v>1.3862943611198907E-2</v>
      </c>
      <c r="Z12" s="41">
        <f t="shared" si="28"/>
        <v>2.1181691455738005</v>
      </c>
      <c r="AA12" s="41">
        <f t="shared" si="29"/>
        <v>2.7064215658787658E-9</v>
      </c>
      <c r="AB12" s="41">
        <f t="shared" si="30"/>
        <v>0.13977278311462846</v>
      </c>
      <c r="AC12" s="41">
        <f t="shared" si="31"/>
        <v>2.2718048750060498</v>
      </c>
      <c r="AD12" s="41">
        <v>4.4000000000000004</v>
      </c>
      <c r="AE12" s="41">
        <f t="shared" si="9"/>
        <v>0.15753345012726028</v>
      </c>
      <c r="AF12" s="44">
        <f t="shared" si="10"/>
        <v>0.8801852080188094</v>
      </c>
      <c r="AG12" s="44">
        <f t="shared" si="11"/>
        <v>0.3487745029994257</v>
      </c>
      <c r="AH12" s="44">
        <f t="shared" si="12"/>
        <v>0.81812504948137188</v>
      </c>
      <c r="AI12" s="44">
        <f t="shared" si="13"/>
        <v>4314859572006.105</v>
      </c>
      <c r="AJ12" s="44">
        <f t="shared" si="14"/>
        <v>0.85026054268654294</v>
      </c>
      <c r="AK12" s="45">
        <v>7</v>
      </c>
      <c r="AL12" s="46">
        <f t="shared" si="15"/>
        <v>0.43278587520510248</v>
      </c>
      <c r="AM12" s="44">
        <f t="shared" si="16"/>
        <v>0.3809317255950056</v>
      </c>
      <c r="AN12" s="44">
        <f t="shared" si="17"/>
        <v>0.15094467852983107</v>
      </c>
      <c r="AO12" s="44">
        <f t="shared" si="18"/>
        <v>3.6882245254346287E-8</v>
      </c>
      <c r="AP12" s="44"/>
      <c r="AQ12" s="44">
        <f t="shared" si="32"/>
        <v>46.346693280725681</v>
      </c>
      <c r="AR12" s="44">
        <f t="shared" si="19"/>
        <v>0.59748935251391466</v>
      </c>
      <c r="AS12" s="44">
        <f t="shared" si="20"/>
        <v>3.6882245254346285E-10</v>
      </c>
    </row>
    <row r="13" spans="1:45">
      <c r="C13" s="8"/>
    </row>
    <row r="14" spans="1:45">
      <c r="C14" s="8"/>
    </row>
    <row r="15" spans="1:45">
      <c r="C15" s="8"/>
    </row>
    <row r="16" spans="1:45">
      <c r="C16" s="8"/>
      <c r="AM16" s="14" t="s">
        <v>93</v>
      </c>
    </row>
    <row r="17" spans="3:41">
      <c r="C17" s="8"/>
      <c r="R17" s="8" t="s">
        <v>91</v>
      </c>
      <c r="AM17" s="19">
        <f>AN10*0.099</f>
        <v>6.7682547750609017E-6</v>
      </c>
      <c r="AN17" s="14" t="s">
        <v>92</v>
      </c>
    </row>
    <row r="18" spans="3:41">
      <c r="C18" s="8"/>
      <c r="AM18" s="30">
        <f>AM17*1000</f>
        <v>6.7682547750609013E-3</v>
      </c>
      <c r="AN18" s="31" t="s">
        <v>94</v>
      </c>
      <c r="AO18" s="14" t="s">
        <v>95</v>
      </c>
    </row>
    <row r="19" spans="3:41">
      <c r="C19" s="8"/>
    </row>
    <row r="20" spans="3:41">
      <c r="C20" s="8"/>
    </row>
  </sheetData>
  <sortState xmlns:xlrd2="http://schemas.microsoft.com/office/spreadsheetml/2017/richdata2" ref="A6:AP12">
    <sortCondition descending="1" ref="D6:D12"/>
  </sortState>
  <mergeCells count="43">
    <mergeCell ref="AL1:AO1"/>
    <mergeCell ref="AL3:AL5"/>
    <mergeCell ref="W3:W5"/>
    <mergeCell ref="AO3:AO5"/>
    <mergeCell ref="AP3:AP5"/>
    <mergeCell ref="Y3:Y5"/>
    <mergeCell ref="Z3:Z5"/>
    <mergeCell ref="AA3:AA5"/>
    <mergeCell ref="AF3:AF5"/>
    <mergeCell ref="AH3:AH5"/>
    <mergeCell ref="AI3:AI5"/>
    <mergeCell ref="AM3:AM5"/>
    <mergeCell ref="AN3:AN5"/>
    <mergeCell ref="AE3:AE5"/>
    <mergeCell ref="AC3:AC5"/>
    <mergeCell ref="E3:E5"/>
    <mergeCell ref="H3:H5"/>
    <mergeCell ref="I3:I5"/>
    <mergeCell ref="J3:J5"/>
    <mergeCell ref="L3:L5"/>
    <mergeCell ref="F3:F5"/>
    <mergeCell ref="K3:K5"/>
    <mergeCell ref="O3:O5"/>
    <mergeCell ref="P3:P5"/>
    <mergeCell ref="T3:T5"/>
    <mergeCell ref="U3:U5"/>
    <mergeCell ref="V3:V5"/>
    <mergeCell ref="C3:C5"/>
    <mergeCell ref="D3:D5"/>
    <mergeCell ref="AQ1:AS1"/>
    <mergeCell ref="AQ3:AQ5"/>
    <mergeCell ref="AR3:AR5"/>
    <mergeCell ref="AS3:AS5"/>
    <mergeCell ref="AB3:AB5"/>
    <mergeCell ref="X3:X5"/>
    <mergeCell ref="G3:G5"/>
    <mergeCell ref="Q3:Q5"/>
    <mergeCell ref="M3:M5"/>
    <mergeCell ref="R3:R5"/>
    <mergeCell ref="S3:S5"/>
    <mergeCell ref="N3:N5"/>
    <mergeCell ref="AG3:AG5"/>
    <mergeCell ref="AJ3:AJ5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9CB6-BD59-47AB-B101-9935AC177310}">
  <dimension ref="A1:AS20"/>
  <sheetViews>
    <sheetView topLeftCell="E1" zoomScale="110" zoomScaleNormal="110" workbookViewId="0">
      <selection activeCell="K21" sqref="K21"/>
    </sheetView>
  </sheetViews>
  <sheetFormatPr defaultColWidth="9.1796875" defaultRowHeight="10.5"/>
  <cols>
    <col min="1" max="1" width="15.54296875" style="5" customWidth="1"/>
    <col min="2" max="2" width="16.7265625" style="6" customWidth="1"/>
    <col min="3" max="4" width="14.453125" style="6" customWidth="1"/>
    <col min="5" max="5" width="9.1796875" style="6"/>
    <col min="6" max="6" width="9.7265625" style="8" bestFit="1" customWidth="1"/>
    <col min="7" max="7" width="9.7265625" style="8" customWidth="1"/>
    <col min="8" max="8" width="9.1796875" style="8"/>
    <col min="9" max="9" width="9.1796875" style="9"/>
    <col min="10" max="11" width="10.7265625" style="9" customWidth="1"/>
    <col min="12" max="13" width="9.1796875" style="8"/>
    <col min="14" max="14" width="10.7265625" style="8" bestFit="1" customWidth="1"/>
    <col min="15" max="17" width="10.7265625" style="8" customWidth="1"/>
    <col min="18" max="31" width="9.1796875" style="8"/>
    <col min="32" max="35" width="9.1796875" style="14"/>
    <col min="36" max="36" width="9.1796875" style="19"/>
    <col min="37" max="16384" width="9.1796875" style="14"/>
  </cols>
  <sheetData>
    <row r="1" spans="1:45" s="2" customFormat="1" ht="42">
      <c r="F1" s="3"/>
      <c r="G1" s="3"/>
      <c r="I1" s="4"/>
      <c r="J1" s="4"/>
      <c r="K1" s="4"/>
      <c r="P1" s="2" t="s">
        <v>85</v>
      </c>
      <c r="AC1" s="2" t="s">
        <v>87</v>
      </c>
      <c r="AD1" s="2" t="s">
        <v>47</v>
      </c>
      <c r="AF1" s="2" t="s">
        <v>31</v>
      </c>
      <c r="AG1" s="2" t="s">
        <v>32</v>
      </c>
      <c r="AJ1" s="3"/>
      <c r="AK1" s="2" t="s">
        <v>40</v>
      </c>
      <c r="AL1" s="36" t="s">
        <v>39</v>
      </c>
      <c r="AM1" s="37"/>
      <c r="AN1" s="37"/>
      <c r="AO1" s="38"/>
      <c r="AQ1" s="33" t="s">
        <v>58</v>
      </c>
      <c r="AR1" s="33"/>
      <c r="AS1" s="33"/>
    </row>
    <row r="2" spans="1:45" ht="25">
      <c r="A2" s="5" t="s">
        <v>0</v>
      </c>
      <c r="B2" s="6" t="s">
        <v>1</v>
      </c>
      <c r="C2" s="2" t="s">
        <v>71</v>
      </c>
      <c r="D2" s="2" t="s">
        <v>72</v>
      </c>
      <c r="E2" s="7" t="s">
        <v>2</v>
      </c>
      <c r="F2" s="8" t="s">
        <v>18</v>
      </c>
      <c r="G2" s="8" t="s">
        <v>73</v>
      </c>
      <c r="H2" s="8" t="s">
        <v>3</v>
      </c>
      <c r="I2" s="9" t="s">
        <v>4</v>
      </c>
      <c r="J2" s="10" t="s">
        <v>59</v>
      </c>
      <c r="K2" s="10" t="s">
        <v>17</v>
      </c>
      <c r="L2" s="11" t="s">
        <v>5</v>
      </c>
      <c r="M2" s="12" t="s">
        <v>6</v>
      </c>
      <c r="N2" s="13" t="s">
        <v>7</v>
      </c>
      <c r="O2" s="13" t="s">
        <v>8</v>
      </c>
      <c r="P2" s="13" t="s">
        <v>9</v>
      </c>
      <c r="Q2" s="13" t="s">
        <v>38</v>
      </c>
      <c r="R2" s="13" t="s">
        <v>23</v>
      </c>
      <c r="S2" s="13" t="s">
        <v>24</v>
      </c>
      <c r="T2" s="13" t="s">
        <v>20</v>
      </c>
      <c r="U2" s="13" t="s">
        <v>25</v>
      </c>
      <c r="V2" s="13" t="s">
        <v>26</v>
      </c>
      <c r="W2" s="13" t="s">
        <v>43</v>
      </c>
      <c r="X2" s="13" t="s">
        <v>37</v>
      </c>
      <c r="Y2" s="13" t="s">
        <v>36</v>
      </c>
      <c r="Z2" s="13" t="s">
        <v>33</v>
      </c>
      <c r="AA2" s="13" t="s">
        <v>34</v>
      </c>
      <c r="AB2" s="13" t="s">
        <v>35</v>
      </c>
      <c r="AC2" s="13" t="s">
        <v>27</v>
      </c>
      <c r="AD2" s="13"/>
      <c r="AE2" s="13" t="s">
        <v>28</v>
      </c>
      <c r="AF2" s="13" t="s">
        <v>29</v>
      </c>
      <c r="AG2" s="13" t="s">
        <v>30</v>
      </c>
      <c r="AH2" s="13" t="s">
        <v>15</v>
      </c>
      <c r="AI2" s="13" t="s">
        <v>16</v>
      </c>
      <c r="AJ2" s="13" t="s">
        <v>21</v>
      </c>
      <c r="AL2" s="14" t="s">
        <v>60</v>
      </c>
      <c r="AM2" s="14" t="s">
        <v>74</v>
      </c>
      <c r="AN2" s="14" t="s">
        <v>75</v>
      </c>
      <c r="AO2" s="14" t="s">
        <v>76</v>
      </c>
      <c r="AQ2" s="14" t="s">
        <v>77</v>
      </c>
      <c r="AR2" s="14" t="s">
        <v>78</v>
      </c>
      <c r="AS2" s="14" t="s">
        <v>79</v>
      </c>
    </row>
    <row r="3" spans="1:45">
      <c r="A3" s="15"/>
      <c r="B3" s="16"/>
      <c r="C3" s="32"/>
      <c r="D3" s="32"/>
      <c r="E3" s="34" t="s">
        <v>10</v>
      </c>
      <c r="F3" s="32" t="s">
        <v>19</v>
      </c>
      <c r="G3" s="32" t="s">
        <v>19</v>
      </c>
      <c r="H3" s="32" t="s">
        <v>11</v>
      </c>
      <c r="I3" s="35"/>
      <c r="J3" s="35" t="s">
        <v>11</v>
      </c>
      <c r="K3" s="32"/>
      <c r="L3" s="32"/>
      <c r="M3" s="32" t="s">
        <v>12</v>
      </c>
      <c r="N3" s="32" t="s">
        <v>13</v>
      </c>
      <c r="O3" s="32"/>
      <c r="P3" s="32" t="s">
        <v>12</v>
      </c>
      <c r="Q3" s="32"/>
      <c r="R3" s="32" t="s">
        <v>14</v>
      </c>
      <c r="S3" s="32" t="s">
        <v>14</v>
      </c>
      <c r="T3" s="32" t="s">
        <v>14</v>
      </c>
      <c r="U3" s="32" t="s">
        <v>14</v>
      </c>
      <c r="V3" s="32" t="s">
        <v>14</v>
      </c>
      <c r="W3" s="32" t="s">
        <v>44</v>
      </c>
      <c r="X3" s="32" t="s">
        <v>14</v>
      </c>
      <c r="Y3" s="32" t="s">
        <v>14</v>
      </c>
      <c r="Z3" s="32" t="s">
        <v>14</v>
      </c>
      <c r="AA3" s="32" t="s">
        <v>14</v>
      </c>
      <c r="AB3" s="32" t="s">
        <v>14</v>
      </c>
      <c r="AC3" s="32" t="s">
        <v>14</v>
      </c>
      <c r="AD3" s="17"/>
      <c r="AE3" s="32" t="s">
        <v>14</v>
      </c>
      <c r="AF3" s="32" t="s">
        <v>12</v>
      </c>
      <c r="AG3" s="32" t="s">
        <v>12</v>
      </c>
      <c r="AH3" s="32" t="s">
        <v>12</v>
      </c>
      <c r="AI3" s="32" t="s">
        <v>12</v>
      </c>
      <c r="AJ3" s="32" t="s">
        <v>11</v>
      </c>
      <c r="AL3" s="32" t="s">
        <v>22</v>
      </c>
      <c r="AM3" s="32" t="s">
        <v>22</v>
      </c>
      <c r="AN3" s="32" t="s">
        <v>22</v>
      </c>
      <c r="AO3" s="32" t="s">
        <v>22</v>
      </c>
      <c r="AP3" s="32"/>
      <c r="AQ3" s="32"/>
      <c r="AR3" s="32"/>
      <c r="AS3" s="32"/>
    </row>
    <row r="4" spans="1:45">
      <c r="A4" s="15"/>
      <c r="B4" s="16"/>
      <c r="C4" s="32"/>
      <c r="D4" s="32"/>
      <c r="E4" s="34"/>
      <c r="F4" s="32"/>
      <c r="G4" s="32"/>
      <c r="H4" s="32"/>
      <c r="I4" s="35"/>
      <c r="J4" s="35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17"/>
      <c r="AE4" s="32"/>
      <c r="AF4" s="32"/>
      <c r="AG4" s="32"/>
      <c r="AH4" s="32"/>
      <c r="AI4" s="32"/>
      <c r="AJ4" s="32"/>
      <c r="AL4" s="32"/>
      <c r="AM4" s="32"/>
      <c r="AN4" s="32"/>
      <c r="AO4" s="32"/>
      <c r="AP4" s="32"/>
      <c r="AQ4" s="32"/>
      <c r="AR4" s="32"/>
      <c r="AS4" s="32"/>
    </row>
    <row r="5" spans="1:45">
      <c r="A5" s="18"/>
      <c r="B5" s="16"/>
      <c r="C5" s="32"/>
      <c r="D5" s="32"/>
      <c r="E5" s="34"/>
      <c r="F5" s="32"/>
      <c r="G5" s="32"/>
      <c r="H5" s="32"/>
      <c r="I5" s="35"/>
      <c r="J5" s="35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17"/>
      <c r="AE5" s="32"/>
      <c r="AF5" s="32"/>
      <c r="AG5" s="32"/>
      <c r="AH5" s="32"/>
      <c r="AI5" s="32"/>
      <c r="AJ5" s="32"/>
      <c r="AL5" s="32"/>
      <c r="AM5" s="32"/>
      <c r="AN5" s="32"/>
      <c r="AO5" s="32"/>
      <c r="AP5" s="32"/>
      <c r="AQ5" s="32"/>
      <c r="AR5" s="32"/>
      <c r="AS5" s="32"/>
    </row>
    <row r="6" spans="1:45">
      <c r="A6" s="5" t="s">
        <v>42</v>
      </c>
      <c r="B6" s="6" t="s">
        <v>41</v>
      </c>
      <c r="C6" s="8">
        <v>8.09E-3</v>
      </c>
      <c r="D6" s="2">
        <v>9</v>
      </c>
      <c r="E6" s="6">
        <v>222.67</v>
      </c>
      <c r="F6" s="8">
        <f>0.0001728*((32)^0.5)/((E6)^0.5)</f>
        <v>6.550702444732426E-5</v>
      </c>
      <c r="G6" s="8">
        <f>2.22*((18)^0.5)/((E6)^0.5)</f>
        <v>0.63118747514348883</v>
      </c>
      <c r="H6" s="8">
        <v>6.31</v>
      </c>
      <c r="I6" s="9">
        <f t="shared" ref="I6:I12" si="0">LOG10(H6)</f>
        <v>0.80002935924413432</v>
      </c>
      <c r="J6" s="9">
        <v>0.2</v>
      </c>
      <c r="K6" s="9">
        <f t="shared" ref="K6:K12" si="1">0.7*EXP(0-((I6-3.07)^2)/2.78)</f>
        <v>0.10968001039674864</v>
      </c>
      <c r="L6" s="8">
        <f t="shared" ref="L6:L12" si="2">0.81*I6+0.1</f>
        <v>0.7480237809877488</v>
      </c>
      <c r="M6" s="8">
        <f t="shared" ref="M6:M12" si="3">10^L6</f>
        <v>5.5978825339993774</v>
      </c>
      <c r="N6" s="8">
        <v>5.2999999999999998E-8</v>
      </c>
      <c r="O6" s="8">
        <f t="shared" ref="O6:O12" si="4">N6/(8.314*298.15)</f>
        <v>2.1381148789760417E-11</v>
      </c>
      <c r="P6" s="8">
        <f>(0.007*1.6*M6+0.2+0.2*O6)/1.6</f>
        <v>0.16418517774066832</v>
      </c>
      <c r="Q6" s="8">
        <f>P6/O6</f>
        <v>7678968953.2162914</v>
      </c>
      <c r="R6" s="8">
        <f>(0.0938*K6/P6)*(2500000*(31.145-0.1*298.15)/((298.15-33.85)^2)+610.78*(1-50/100))*EXP(17.2*(298.15-273.15)/(298.15-35.85))</f>
        <v>113.95034507841466</v>
      </c>
      <c r="S6" s="8">
        <f>86.4/(0.0002*0.4*AI6)</f>
        <v>2.4600404898327982E-5</v>
      </c>
      <c r="T6" s="8">
        <f t="shared" ref="T6:T12" si="5">10^(0-0.011*E6-2.46)</f>
        <v>1.2320547289553744E-5</v>
      </c>
      <c r="U6" s="8">
        <f t="shared" ref="U6:U12" si="6">T6*AJ6</f>
        <v>8.5282268239442446E-5</v>
      </c>
      <c r="V6" s="8">
        <f t="shared" ref="V6:V12" si="7">4*AC6</f>
        <v>15.901201333317942</v>
      </c>
      <c r="W6" s="8">
        <v>1.6</v>
      </c>
      <c r="X6" s="8">
        <f t="shared" ref="X6:X12" si="8">LN(2)/W6</f>
        <v>0.43321698784996576</v>
      </c>
      <c r="Y6" s="8">
        <f>X6*EXP((60/8.314)*(1/298.15-1/298.15))</f>
        <v>0.43321698784996576</v>
      </c>
      <c r="Z6" s="8">
        <f>(0.0025*3*0.01)*(2500000*(31.145-0.1*298.15)/((298.15-33.85)^2)+610.78*(1-50/100))*EXP(17.2*(298.15-273.15)/(298.15-35.85))*3*0.001/(0.01*0.05*1.5*P6)</f>
        <v>3.3228181811968391</v>
      </c>
      <c r="AA6" s="8">
        <f>G6/(Q6*1.5*0.0001)</f>
        <v>5.4797936110864603E-7</v>
      </c>
      <c r="AB6" s="8">
        <f>0.0027/(0.05*1.5*P6)</f>
        <v>0.21926461630331978</v>
      </c>
      <c r="AC6" s="8">
        <f>SUM(Y6:AB6)</f>
        <v>3.9753003333294856</v>
      </c>
      <c r="AD6" s="8">
        <v>6.2</v>
      </c>
      <c r="AE6" s="8">
        <f t="shared" ref="AE6:AE12" si="9">LN(2)/AD6</f>
        <v>0.11179793234837827</v>
      </c>
      <c r="AF6" s="19">
        <f t="shared" ref="AF6:AF12" si="10">(0.7+J6*0.3+1.22*0*(H6^0.77))/(0.8+J6*0.1+1.22*0.02*(H6^0.77))</f>
        <v>0.82537925053495764</v>
      </c>
      <c r="AG6" s="19">
        <f t="shared" ref="AG6:AG12" si="11">(0.13+J6*0.75+1.22*0.087*(H6^0.77))/(0.8+J6*0.1+1.22*0.02*(H6^0.77))</f>
        <v>0.780234741436308</v>
      </c>
      <c r="AH6" s="19">
        <f t="shared" ref="AH6:AH12" si="12">0.8+(1/0.83)*0.02*(H6^0.95)</f>
        <v>0.93866913119428863</v>
      </c>
      <c r="AI6" s="19">
        <f t="shared" ref="AI6:AI12" si="13">AH6/O6</f>
        <v>43901716433.675629</v>
      </c>
      <c r="AJ6" s="19">
        <f t="shared" ref="AJ6:AJ12" si="14">10^(0.979*I6+0.057)</f>
        <v>6.9219545394506099</v>
      </c>
      <c r="AK6" s="16">
        <v>7</v>
      </c>
      <c r="AL6" s="20">
        <f t="shared" ref="AL6:AL12" si="15">(0.223*100/(1.5*0.05*1000))*(R6/(S6+AE6+0.035-AC6))*(EXP(0-AC6*AK6)-EXP(0-(S6+AE6+0.035)*AK6))+(0.612*100/(3*0.1*(1/0.2)*1000))*(U6/(S6+AE6+0.035-V6))*(EXP(0-V6*AK6)-EXP(0-(S6+AE6+0.035)*AK6))</f>
        <v>3.1665300330225645</v>
      </c>
      <c r="AM6" s="19">
        <f t="shared" ref="AM6:AM12" si="16">(AF6*0.223*100/(1.5*0.05*1000))*(R6/(S6+AE6+0.035-AC6))*(EXP(0-AC6*AK6)-EXP(0-(S6+AE6+0.035)*AK6))+(AF6*0.612*100/(3*0.1*(1/0.2)*1000))*(U6/(S6+AE6+0.035-V6))*(EXP(0-V6*AK6)-EXP(0-(S6+AE6+0.035)*AK6))</f>
        <v>2.6135881854525991</v>
      </c>
      <c r="AN6" s="19">
        <f t="shared" ref="AN6:AN12" si="17">(AG6*0.223*100/(1.5*0.05*1000))*(R6/(S6+AE6+0.035-AC6))*(EXP(0-AC6*AK6)-EXP(0-(S6+AE6+0.035)*AK6))+(AG6*0.612*100/(3*0.1*(1/0.2)*1000))*(U6/(S6+AE6+0.035-V6))*(EXP(0-V6*AK6)-EXP(0-(S6+AE6+0.035)*AK6))</f>
        <v>2.4706367415656647</v>
      </c>
      <c r="AO6" s="19">
        <f t="shared" ref="AO6:AO12" si="18">(0.223*100/(1.5*0.05*1000))*EXP(0-AC6*AK6)</f>
        <v>2.4439178811139063E-13</v>
      </c>
      <c r="AP6" s="19"/>
      <c r="AQ6" s="19">
        <f t="shared" ref="AQ6:AQ12" si="19">AM6*0.000292/(C6/10)</f>
        <v>0.94334703356261917</v>
      </c>
      <c r="AR6" s="19">
        <f t="shared" ref="AR6:AR12" si="20">AN6*0.0000095/(C6/10)</f>
        <v>2.9012421563502862E-2</v>
      </c>
      <c r="AS6" s="19">
        <f t="shared" ref="AS6:AS12" si="21">AO6/(D6/10)</f>
        <v>2.7154643123487846E-13</v>
      </c>
    </row>
    <row r="7" spans="1:45">
      <c r="A7" s="5" t="s">
        <v>46</v>
      </c>
      <c r="B7" s="6" t="s">
        <v>45</v>
      </c>
      <c r="C7" s="8">
        <v>4.3999999999999999E-5</v>
      </c>
      <c r="D7" s="2">
        <v>13.21</v>
      </c>
      <c r="E7" s="6">
        <v>249.7</v>
      </c>
      <c r="F7" s="8">
        <f t="shared" ref="F7:F12" si="22">0.0001728*((32)^0.5)/((E7)^0.5)</f>
        <v>6.1859934544114761E-5</v>
      </c>
      <c r="G7" s="8">
        <f t="shared" ref="G7:G12" si="23">2.22*((18)^0.5)/((E7)^0.5)</f>
        <v>0.59604624430527242</v>
      </c>
      <c r="H7" s="8">
        <v>8.0399999999999991</v>
      </c>
      <c r="I7" s="9">
        <f t="shared" si="0"/>
        <v>0.90525604874845123</v>
      </c>
      <c r="J7" s="9">
        <v>0.2</v>
      </c>
      <c r="K7" s="9">
        <f t="shared" si="1"/>
        <v>0.12972631511648189</v>
      </c>
      <c r="L7" s="8">
        <f t="shared" si="2"/>
        <v>0.83325739948624555</v>
      </c>
      <c r="M7" s="8">
        <f t="shared" si="3"/>
        <v>6.811729595421931</v>
      </c>
      <c r="N7" s="8">
        <v>2.9E-11</v>
      </c>
      <c r="O7" s="8">
        <f t="shared" si="4"/>
        <v>1.169911914911419E-14</v>
      </c>
      <c r="P7" s="8">
        <f t="shared" ref="P7:P12" si="24">(0.007*1.6*M7+0.2+0.2*O7)/1.6</f>
        <v>0.17268210716795496</v>
      </c>
      <c r="Q7" s="8">
        <f t="shared" ref="Q7:Q12" si="25">P7/O7</f>
        <v>14760265706074.951</v>
      </c>
      <c r="R7" s="8">
        <f t="shared" ref="R7:R12" si="26">(0.0938*K7/P7)*(2500000*(31.145-0.1*298.15)/((298.15-33.85)^2)+610.78*(1-50/100))*EXP(17.2*(298.15-273.15)/(298.15-35.85))</f>
        <v>128.14535005191681</v>
      </c>
      <c r="S7" s="8">
        <f t="shared" ref="S7:S12" si="27">86.4/(0.0002*0.4*AI7)</f>
        <v>1.296487287738064E-8</v>
      </c>
      <c r="T7" s="8">
        <f t="shared" si="5"/>
        <v>6.2129806352934899E-6</v>
      </c>
      <c r="U7" s="8">
        <f t="shared" si="6"/>
        <v>5.4518722621634414E-5</v>
      </c>
      <c r="V7" s="8">
        <f t="shared" si="7"/>
        <v>13.47625704824269</v>
      </c>
      <c r="W7" s="8">
        <v>545</v>
      </c>
      <c r="X7" s="8">
        <f t="shared" si="8"/>
        <v>1.2718296891008171E-3</v>
      </c>
      <c r="Y7" s="8">
        <f t="shared" ref="Y7:Y12" si="28">X7*EXP((60/8.314)*(1/298.15-1/298.15))</f>
        <v>1.2718296891008171E-3</v>
      </c>
      <c r="Z7" s="8">
        <f t="shared" ref="Z7:Z12" si="29">(0.0025*3*0.01)*(2500000*(31.145-0.1*298.15)/((298.15-33.85)^2)+610.78*(1-50/100))*EXP(17.2*(298.15-273.15)/(298.15-35.85))*3*0.001/(0.01*0.05*1.5*P7)</f>
        <v>3.1593168662755797</v>
      </c>
      <c r="AA7" s="8">
        <f t="shared" ref="AA7:AA12" si="30">G7/(Q7*1.5*0.0001)</f>
        <v>2.6921206622089236E-10</v>
      </c>
      <c r="AB7" s="8">
        <f t="shared" ref="AB7:AB12" si="31">0.0027/(0.05*1.5*P7)</f>
        <v>0.20847556582677954</v>
      </c>
      <c r="AC7" s="8">
        <f t="shared" ref="AC7:AC12" si="32">SUM(Y7:AB7)</f>
        <v>3.3690642620606726</v>
      </c>
      <c r="AD7" s="8">
        <v>16.600000000000001</v>
      </c>
      <c r="AE7" s="8">
        <f t="shared" si="9"/>
        <v>4.1755854250599113E-2</v>
      </c>
      <c r="AF7" s="19">
        <f t="shared" si="10"/>
        <v>0.80725592490246267</v>
      </c>
      <c r="AG7" s="19">
        <f t="shared" si="11"/>
        <v>0.85861812479684874</v>
      </c>
      <c r="AH7" s="19">
        <f t="shared" si="12"/>
        <v>0.97456016734936535</v>
      </c>
      <c r="AI7" s="19">
        <f t="shared" si="13"/>
        <v>83302012307751.828</v>
      </c>
      <c r="AJ7" s="19">
        <f t="shared" si="14"/>
        <v>8.7749706335691879</v>
      </c>
      <c r="AK7" s="16">
        <v>7</v>
      </c>
      <c r="AL7" s="20">
        <f t="shared" si="15"/>
        <v>6.7624396309938932</v>
      </c>
      <c r="AM7" s="19">
        <f t="shared" si="16"/>
        <v>5.4590194589150434</v>
      </c>
      <c r="AN7" s="19">
        <f t="shared" si="17"/>
        <v>5.8063532350158704</v>
      </c>
      <c r="AO7" s="19">
        <f t="shared" si="18"/>
        <v>1.7024778581066235E-11</v>
      </c>
      <c r="AP7" s="19"/>
      <c r="AQ7" s="19">
        <f t="shared" si="19"/>
        <v>362.28038227345286</v>
      </c>
      <c r="AR7" s="19">
        <f t="shared" si="20"/>
        <v>12.536444484693357</v>
      </c>
      <c r="AS7" s="19">
        <f t="shared" si="21"/>
        <v>1.2887796049255286E-11</v>
      </c>
    </row>
    <row r="8" spans="1:45">
      <c r="A8" s="5" t="s">
        <v>49</v>
      </c>
      <c r="B8" s="6" t="s">
        <v>48</v>
      </c>
      <c r="C8" s="8">
        <v>2.3E-5</v>
      </c>
      <c r="D8" s="2">
        <v>4.9000000000000004</v>
      </c>
      <c r="E8" s="6">
        <v>202.21</v>
      </c>
      <c r="F8" s="8">
        <f t="shared" si="22"/>
        <v>6.8741248032381578E-5</v>
      </c>
      <c r="G8" s="8">
        <f t="shared" si="23"/>
        <v>0.66235056697867667</v>
      </c>
      <c r="H8" s="8">
        <v>0.28199999999999997</v>
      </c>
      <c r="I8" s="9">
        <f t="shared" si="0"/>
        <v>-0.54975089168063895</v>
      </c>
      <c r="J8" s="9">
        <v>0.1</v>
      </c>
      <c r="K8" s="9">
        <f t="shared" si="1"/>
        <v>6.2834306929133643E-3</v>
      </c>
      <c r="L8" s="8">
        <f t="shared" si="2"/>
        <v>-0.34529822226131757</v>
      </c>
      <c r="M8" s="8">
        <f t="shared" si="3"/>
        <v>0.45154576947905839</v>
      </c>
      <c r="N8" s="8">
        <v>8.7000000000000001E-9</v>
      </c>
      <c r="O8" s="8">
        <f t="shared" si="4"/>
        <v>3.5097357447342574E-12</v>
      </c>
      <c r="P8" s="8">
        <f t="shared" si="24"/>
        <v>0.12816082038679211</v>
      </c>
      <c r="Q8" s="8">
        <f t="shared" si="25"/>
        <v>36515803384.649376</v>
      </c>
      <c r="R8" s="8">
        <f t="shared" si="26"/>
        <v>8.3630300934887583</v>
      </c>
      <c r="S8" s="8">
        <f t="shared" si="27"/>
        <v>4.6956524935153604E-6</v>
      </c>
      <c r="T8" s="8">
        <f t="shared" si="5"/>
        <v>2.0686642062977948E-5</v>
      </c>
      <c r="U8" s="8">
        <f t="shared" si="6"/>
        <v>6.830993578024058E-6</v>
      </c>
      <c r="V8" s="8">
        <f t="shared" si="7"/>
        <v>18.184679301490458</v>
      </c>
      <c r="W8" s="8">
        <v>82</v>
      </c>
      <c r="X8" s="8">
        <f t="shared" si="8"/>
        <v>8.4530143970725034E-3</v>
      </c>
      <c r="Y8" s="8">
        <f t="shared" si="28"/>
        <v>8.4530143970725034E-3</v>
      </c>
      <c r="Z8" s="8">
        <f t="shared" si="29"/>
        <v>4.2568196117442367</v>
      </c>
      <c r="AA8" s="8">
        <f t="shared" si="30"/>
        <v>1.2092491571418593E-7</v>
      </c>
      <c r="AB8" s="8">
        <f t="shared" si="31"/>
        <v>0.28089707830639055</v>
      </c>
      <c r="AC8" s="8">
        <f t="shared" si="32"/>
        <v>4.5461698253726146</v>
      </c>
      <c r="AD8" s="8">
        <v>6.8</v>
      </c>
      <c r="AE8" s="8">
        <f t="shared" si="9"/>
        <v>0.10193340890587431</v>
      </c>
      <c r="AF8" s="19">
        <f t="shared" si="10"/>
        <v>0.89110650857521279</v>
      </c>
      <c r="AG8" s="19">
        <f t="shared" si="11"/>
        <v>0.29912746752487146</v>
      </c>
      <c r="AH8" s="19">
        <f t="shared" si="12"/>
        <v>0.80723916634539128</v>
      </c>
      <c r="AI8" s="19">
        <f t="shared" si="13"/>
        <v>229999984345.40607</v>
      </c>
      <c r="AJ8" s="19">
        <f t="shared" si="14"/>
        <v>0.33021277968787466</v>
      </c>
      <c r="AK8" s="16">
        <v>7</v>
      </c>
      <c r="AL8" s="20">
        <f t="shared" si="15"/>
        <v>0.21624401970205678</v>
      </c>
      <c r="AM8" s="19">
        <f t="shared" si="16"/>
        <v>0.19269645339696934</v>
      </c>
      <c r="AN8" s="19">
        <f t="shared" si="17"/>
        <v>6.4684525980874652E-2</v>
      </c>
      <c r="AO8" s="19">
        <f t="shared" si="18"/>
        <v>4.4937438873579206E-15</v>
      </c>
      <c r="AP8" s="19"/>
      <c r="AQ8" s="19">
        <f t="shared" si="19"/>
        <v>24.464071474745673</v>
      </c>
      <c r="AR8" s="19">
        <f t="shared" si="20"/>
        <v>0.26717521600796051</v>
      </c>
      <c r="AS8" s="19">
        <f t="shared" si="21"/>
        <v>9.1709058925671834E-15</v>
      </c>
    </row>
    <row r="9" spans="1:45">
      <c r="A9" s="5" t="s">
        <v>51</v>
      </c>
      <c r="B9" s="6" t="s">
        <v>50</v>
      </c>
      <c r="C9" s="8">
        <v>0.1</v>
      </c>
      <c r="D9" s="2">
        <v>1000</v>
      </c>
      <c r="E9" s="6">
        <v>229.16</v>
      </c>
      <c r="F9" s="8">
        <f>0.0001728*((32)^0.5)/((E9)^0.5)</f>
        <v>6.4572755671446795E-5</v>
      </c>
      <c r="G9" s="8">
        <f t="shared" si="23"/>
        <v>0.622185406209253</v>
      </c>
      <c r="H9" s="8">
        <v>0.57499999999999996</v>
      </c>
      <c r="I9" s="9">
        <f t="shared" si="0"/>
        <v>-0.24033215531036956</v>
      </c>
      <c r="J9" s="9">
        <v>0.1</v>
      </c>
      <c r="K9" s="9">
        <f t="shared" si="1"/>
        <v>1.3588803343909051E-2</v>
      </c>
      <c r="L9" s="8">
        <f t="shared" si="2"/>
        <v>-9.4669045801399343E-2</v>
      </c>
      <c r="M9" s="8">
        <f t="shared" si="3"/>
        <v>0.80413868280240575</v>
      </c>
      <c r="N9" s="8">
        <v>4.1999999999999999E-8</v>
      </c>
      <c r="O9" s="8">
        <f t="shared" si="4"/>
        <v>1.6943551871130896E-11</v>
      </c>
      <c r="P9" s="8">
        <f t="shared" si="24"/>
        <v>0.13062897078173477</v>
      </c>
      <c r="Q9" s="8">
        <f t="shared" si="25"/>
        <v>7709656852.0739536</v>
      </c>
      <c r="R9" s="8">
        <f t="shared" si="26"/>
        <v>17.744502096642712</v>
      </c>
      <c r="S9" s="8">
        <f t="shared" si="27"/>
        <v>2.2473647683530496E-5</v>
      </c>
      <c r="T9" s="8">
        <f t="shared" si="5"/>
        <v>1.0452977125021435E-5</v>
      </c>
      <c r="U9" s="8">
        <f t="shared" si="6"/>
        <v>6.933536720531863E-6</v>
      </c>
      <c r="V9" s="8">
        <f t="shared" si="7"/>
        <v>18.702303416501287</v>
      </c>
      <c r="W9" s="8">
        <v>3.1</v>
      </c>
      <c r="X9" s="8">
        <f t="shared" si="8"/>
        <v>0.22359586469675655</v>
      </c>
      <c r="Y9" s="8">
        <f t="shared" si="28"/>
        <v>0.22359586469675655</v>
      </c>
      <c r="Z9" s="8">
        <f t="shared" si="29"/>
        <v>4.1763897427568955</v>
      </c>
      <c r="AA9" s="8">
        <f t="shared" si="30"/>
        <v>5.3801392041798457E-7</v>
      </c>
      <c r="AB9" s="8">
        <f t="shared" si="31"/>
        <v>0.27558970865774979</v>
      </c>
      <c r="AC9" s="8">
        <f t="shared" si="32"/>
        <v>4.6755758541253218</v>
      </c>
      <c r="AD9" s="8">
        <v>4</v>
      </c>
      <c r="AE9" s="8">
        <f t="shared" si="9"/>
        <v>0.17328679513998632</v>
      </c>
      <c r="AF9" s="19">
        <f t="shared" si="10"/>
        <v>0.88384749860435052</v>
      </c>
      <c r="AG9" s="19">
        <f t="shared" si="11"/>
        <v>0.33212613134446911</v>
      </c>
      <c r="AH9" s="19">
        <f t="shared" si="12"/>
        <v>0.814244144008343</v>
      </c>
      <c r="AI9" s="19">
        <f t="shared" si="13"/>
        <v>48056284195.976929</v>
      </c>
      <c r="AJ9" s="19">
        <f t="shared" si="14"/>
        <v>0.6633073657011036</v>
      </c>
      <c r="AK9" s="16">
        <v>7</v>
      </c>
      <c r="AL9" s="20">
        <f t="shared" si="15"/>
        <v>0.2747847277243301</v>
      </c>
      <c r="AM9" s="19">
        <f t="shared" si="16"/>
        <v>0.24286779425382668</v>
      </c>
      <c r="AN9" s="19">
        <f t="shared" si="17"/>
        <v>9.126318857162502E-2</v>
      </c>
      <c r="AO9" s="19">
        <f t="shared" si="18"/>
        <v>1.8163772237973932E-15</v>
      </c>
      <c r="AP9" s="19"/>
      <c r="AQ9" s="19">
        <f t="shared" si="19"/>
        <v>7.0917395922117394E-3</v>
      </c>
      <c r="AR9" s="19">
        <f t="shared" si="20"/>
        <v>8.6700029143043766E-5</v>
      </c>
      <c r="AS9" s="19">
        <f t="shared" si="21"/>
        <v>1.8163772237973931E-17</v>
      </c>
    </row>
    <row r="10" spans="1:45">
      <c r="A10" s="5" t="s">
        <v>53</v>
      </c>
      <c r="B10" s="6" t="s">
        <v>52</v>
      </c>
      <c r="C10" s="8">
        <v>8.1000000000000004E-5</v>
      </c>
      <c r="D10" s="2">
        <v>10.7</v>
      </c>
      <c r="E10" s="6">
        <v>255.66</v>
      </c>
      <c r="F10" s="8">
        <f t="shared" si="22"/>
        <v>6.1134636602640924E-5</v>
      </c>
      <c r="G10" s="8">
        <f t="shared" si="23"/>
        <v>0.58905769643169636</v>
      </c>
      <c r="H10" s="8">
        <v>3.72</v>
      </c>
      <c r="I10" s="9">
        <f t="shared" si="0"/>
        <v>0.57054293988189753</v>
      </c>
      <c r="J10" s="9">
        <v>0.2</v>
      </c>
      <c r="K10" s="9">
        <f t="shared" si="1"/>
        <v>7.3984476985727632E-2</v>
      </c>
      <c r="L10" s="8">
        <f t="shared" si="2"/>
        <v>0.56213978130433706</v>
      </c>
      <c r="M10" s="8">
        <f t="shared" si="3"/>
        <v>3.6487136492323029</v>
      </c>
      <c r="N10" s="8">
        <v>1.7000000000000001E-10</v>
      </c>
      <c r="O10" s="8">
        <f t="shared" si="4"/>
        <v>6.8581043287910771E-14</v>
      </c>
      <c r="P10" s="8">
        <f t="shared" si="24"/>
        <v>0.15054099554463468</v>
      </c>
      <c r="Q10" s="8">
        <f t="shared" si="25"/>
        <v>2195081735817.9724</v>
      </c>
      <c r="R10" s="8">
        <f t="shared" si="26"/>
        <v>83.831634425698596</v>
      </c>
      <c r="S10" s="8">
        <f t="shared" si="27"/>
        <v>8.3792505484451725E-8</v>
      </c>
      <c r="T10" s="8">
        <f t="shared" si="5"/>
        <v>5.342444263934628E-6</v>
      </c>
      <c r="U10" s="8">
        <f t="shared" si="6"/>
        <v>2.2044565239792361E-5</v>
      </c>
      <c r="V10" s="8">
        <f t="shared" si="7"/>
        <v>15.466984566260116</v>
      </c>
      <c r="W10" s="8">
        <v>191</v>
      </c>
      <c r="X10" s="8">
        <f t="shared" si="8"/>
        <v>3.6290428301567817E-3</v>
      </c>
      <c r="Y10" s="8">
        <f t="shared" si="28"/>
        <v>3.6290428301567817E-3</v>
      </c>
      <c r="Z10" s="8">
        <f t="shared" si="29"/>
        <v>3.6239795791570413</v>
      </c>
      <c r="AA10" s="8">
        <f t="shared" si="30"/>
        <v>1.7890228165382055E-9</v>
      </c>
      <c r="AB10" s="8">
        <f t="shared" si="31"/>
        <v>0.23913751778880837</v>
      </c>
      <c r="AC10" s="8">
        <f t="shared" si="32"/>
        <v>3.866746141565029</v>
      </c>
      <c r="AD10" s="8">
        <v>4.9000000000000004</v>
      </c>
      <c r="AE10" s="8">
        <f t="shared" si="9"/>
        <v>0.14145860827753984</v>
      </c>
      <c r="AF10" s="19">
        <f t="shared" si="10"/>
        <v>0.85672634033967043</v>
      </c>
      <c r="AG10" s="19">
        <f t="shared" si="11"/>
        <v>0.64465857803092519</v>
      </c>
      <c r="AH10" s="19">
        <f t="shared" si="12"/>
        <v>0.88393975478734632</v>
      </c>
      <c r="AI10" s="19">
        <f t="shared" si="13"/>
        <v>12888980867154.061</v>
      </c>
      <c r="AJ10" s="19">
        <f t="shared" si="14"/>
        <v>4.1263070143022658</v>
      </c>
      <c r="AK10" s="16">
        <v>7</v>
      </c>
      <c r="AL10" s="20">
        <f t="shared" si="15"/>
        <v>1.9640208184429422</v>
      </c>
      <c r="AM10" s="19">
        <f t="shared" si="16"/>
        <v>1.6826283681355461</v>
      </c>
      <c r="AN10" s="19">
        <f t="shared" si="17"/>
        <v>1.2661228680405612</v>
      </c>
      <c r="AO10" s="19">
        <f t="shared" si="18"/>
        <v>5.2251409987692337E-13</v>
      </c>
      <c r="AP10" s="19"/>
      <c r="AQ10" s="19">
        <f t="shared" si="19"/>
        <v>60.657714011799932</v>
      </c>
      <c r="AR10" s="19">
        <f t="shared" si="20"/>
        <v>1.4849589193068311</v>
      </c>
      <c r="AS10" s="19">
        <f t="shared" si="21"/>
        <v>4.883309344644144E-13</v>
      </c>
    </row>
    <row r="11" spans="1:45">
      <c r="A11" s="5" t="s">
        <v>55</v>
      </c>
      <c r="B11" s="6" t="s">
        <v>54</v>
      </c>
      <c r="C11" s="8">
        <v>3.882E-2</v>
      </c>
      <c r="D11" s="2">
        <v>105</v>
      </c>
      <c r="E11" s="6">
        <v>252.72</v>
      </c>
      <c r="F11" s="8">
        <f t="shared" si="22"/>
        <v>6.1489211061153466E-5</v>
      </c>
      <c r="G11" s="8">
        <f t="shared" si="23"/>
        <v>0.59247416907882244</v>
      </c>
      <c r="H11" s="8">
        <v>18.2</v>
      </c>
      <c r="I11" s="9">
        <f t="shared" si="0"/>
        <v>1.2600713879850747</v>
      </c>
      <c r="J11" s="9">
        <v>0.5</v>
      </c>
      <c r="K11" s="9">
        <f t="shared" si="1"/>
        <v>0.21544810193559122</v>
      </c>
      <c r="L11" s="8">
        <f t="shared" si="2"/>
        <v>1.1206578242679106</v>
      </c>
      <c r="M11" s="8">
        <f t="shared" si="3"/>
        <v>13.20255010236108</v>
      </c>
      <c r="N11" s="8">
        <v>4.8E-10</v>
      </c>
      <c r="O11" s="8">
        <f t="shared" si="4"/>
        <v>1.9364059281292454E-13</v>
      </c>
      <c r="P11" s="8">
        <f t="shared" si="24"/>
        <v>0.21741785071655181</v>
      </c>
      <c r="Q11" s="8">
        <f t="shared" si="25"/>
        <v>1122790668827.3694</v>
      </c>
      <c r="R11" s="8">
        <f t="shared" si="26"/>
        <v>169.03225425611291</v>
      </c>
      <c r="S11" s="8">
        <f t="shared" si="27"/>
        <v>1.7733072866778617E-7</v>
      </c>
      <c r="T11" s="8">
        <f t="shared" si="5"/>
        <v>5.7554594705444321E-6</v>
      </c>
      <c r="U11" s="8">
        <f t="shared" si="6"/>
        <v>1.1238022281678128E-4</v>
      </c>
      <c r="V11" s="8">
        <f t="shared" si="7"/>
        <v>13.850020367263683</v>
      </c>
      <c r="W11" s="8">
        <v>0.88</v>
      </c>
      <c r="X11" s="8">
        <f t="shared" si="8"/>
        <v>0.7876672506363015</v>
      </c>
      <c r="Y11" s="8">
        <f t="shared" si="28"/>
        <v>0.7876672506363015</v>
      </c>
      <c r="Z11" s="8">
        <f t="shared" si="29"/>
        <v>2.5092580571545247</v>
      </c>
      <c r="AA11" s="8">
        <f t="shared" si="30"/>
        <v>3.5178666010681881E-9</v>
      </c>
      <c r="AB11" s="8">
        <f t="shared" si="31"/>
        <v>0.16557978050722838</v>
      </c>
      <c r="AC11" s="8">
        <f t="shared" si="32"/>
        <v>3.4625050918159208</v>
      </c>
      <c r="AD11" s="8">
        <v>3.8</v>
      </c>
      <c r="AE11" s="8">
        <f t="shared" si="9"/>
        <v>0.18240715277893299</v>
      </c>
      <c r="AF11" s="19">
        <f t="shared" si="10"/>
        <v>0.78860857572623133</v>
      </c>
      <c r="AG11" s="19">
        <f t="shared" si="11"/>
        <v>1.3880789670517715</v>
      </c>
      <c r="AH11" s="19">
        <f t="shared" si="12"/>
        <v>1.1793322105485111</v>
      </c>
      <c r="AI11" s="19">
        <f t="shared" si="13"/>
        <v>6090315018235.1465</v>
      </c>
      <c r="AJ11" s="19">
        <f t="shared" si="14"/>
        <v>19.52584730931148</v>
      </c>
      <c r="AK11" s="16">
        <v>7</v>
      </c>
      <c r="AL11" s="20">
        <f t="shared" si="15"/>
        <v>3.3810670314891329</v>
      </c>
      <c r="AM11" s="19">
        <f t="shared" si="16"/>
        <v>2.666338456137562</v>
      </c>
      <c r="AN11" s="19">
        <f t="shared" si="17"/>
        <v>4.6931880326022348</v>
      </c>
      <c r="AO11" s="19">
        <f t="shared" si="18"/>
        <v>8.8514743480685803E-12</v>
      </c>
      <c r="AP11" s="19"/>
      <c r="AQ11" s="19">
        <f t="shared" si="19"/>
        <v>0.20055920381045031</v>
      </c>
      <c r="AR11" s="19">
        <f t="shared" si="20"/>
        <v>1.1485133000958587E-2</v>
      </c>
      <c r="AS11" s="19">
        <f t="shared" si="21"/>
        <v>8.4299755695891241E-13</v>
      </c>
    </row>
    <row r="12" spans="1:45">
      <c r="A12" s="5" t="s">
        <v>57</v>
      </c>
      <c r="B12" s="6" t="s">
        <v>56</v>
      </c>
      <c r="C12" s="8">
        <v>2.4000000000000001E-5</v>
      </c>
      <c r="D12" s="2">
        <v>1000</v>
      </c>
      <c r="E12" s="6">
        <v>291.70999999999998</v>
      </c>
      <c r="F12" s="8">
        <f t="shared" si="22"/>
        <v>5.7232546351409518E-5</v>
      </c>
      <c r="G12" s="8">
        <f t="shared" si="23"/>
        <v>0.55145943099014372</v>
      </c>
      <c r="H12" s="8">
        <v>0.74099999999999999</v>
      </c>
      <c r="I12" s="9">
        <f t="shared" si="0"/>
        <v>-0.13018179202067184</v>
      </c>
      <c r="J12" s="9">
        <v>0.1</v>
      </c>
      <c r="K12" s="9">
        <f t="shared" si="1"/>
        <v>1.7587854379392937E-2</v>
      </c>
      <c r="L12" s="8">
        <f t="shared" si="2"/>
        <v>-5.4472515367441909E-3</v>
      </c>
      <c r="M12" s="8">
        <f t="shared" si="3"/>
        <v>0.98753557238599765</v>
      </c>
      <c r="N12" s="8">
        <v>4.7000000000000003E-10</v>
      </c>
      <c r="O12" s="8">
        <f t="shared" si="4"/>
        <v>1.8960641379598862E-13</v>
      </c>
      <c r="P12" s="8">
        <f t="shared" si="24"/>
        <v>0.13191274900672567</v>
      </c>
      <c r="Q12" s="8">
        <f t="shared" si="25"/>
        <v>695718812279.52673</v>
      </c>
      <c r="R12" s="8">
        <f t="shared" si="26"/>
        <v>22.743023464174666</v>
      </c>
      <c r="S12" s="8">
        <f t="shared" si="27"/>
        <v>2.5029783286733387E-7</v>
      </c>
      <c r="T12" s="8">
        <f t="shared" si="5"/>
        <v>2.143828301934283E-6</v>
      </c>
      <c r="U12" s="8">
        <f t="shared" si="6"/>
        <v>1.8228126154294134E-6</v>
      </c>
      <c r="V12" s="8">
        <f t="shared" si="7"/>
        <v>17.690062492689911</v>
      </c>
      <c r="W12" s="8">
        <v>50</v>
      </c>
      <c r="X12" s="8">
        <f t="shared" si="8"/>
        <v>1.3862943611198907E-2</v>
      </c>
      <c r="Y12" s="8">
        <f t="shared" si="28"/>
        <v>1.3862943611198907E-2</v>
      </c>
      <c r="Z12" s="8">
        <f t="shared" si="29"/>
        <v>4.1357450116660948</v>
      </c>
      <c r="AA12" s="8">
        <f t="shared" si="30"/>
        <v>5.284313348600169E-9</v>
      </c>
      <c r="AB12" s="8">
        <f t="shared" si="31"/>
        <v>0.27290766261087096</v>
      </c>
      <c r="AC12" s="8">
        <f t="shared" si="32"/>
        <v>4.4225156231724778</v>
      </c>
      <c r="AD12" s="8">
        <v>4.4000000000000004</v>
      </c>
      <c r="AE12" s="8">
        <f t="shared" si="9"/>
        <v>0.15753345012726028</v>
      </c>
      <c r="AF12" s="19">
        <f t="shared" si="10"/>
        <v>0.8801852080188094</v>
      </c>
      <c r="AG12" s="19">
        <f t="shared" si="11"/>
        <v>0.3487745029994257</v>
      </c>
      <c r="AH12" s="19">
        <f t="shared" si="12"/>
        <v>0.81812504948137188</v>
      </c>
      <c r="AI12" s="19">
        <f t="shared" si="13"/>
        <v>4314859572006.105</v>
      </c>
      <c r="AJ12" s="19">
        <f t="shared" si="14"/>
        <v>0.85026054268654294</v>
      </c>
      <c r="AK12" s="16">
        <v>7</v>
      </c>
      <c r="AL12" s="20">
        <f t="shared" si="15"/>
        <v>0.41537372683798202</v>
      </c>
      <c r="AM12" s="19">
        <f t="shared" si="16"/>
        <v>0.36560581016243737</v>
      </c>
      <c r="AN12" s="19">
        <f t="shared" si="17"/>
        <v>0.14487176513693639</v>
      </c>
      <c r="AO12" s="19">
        <f t="shared" si="18"/>
        <v>1.0678854782004617E-14</v>
      </c>
      <c r="AP12" s="19"/>
      <c r="AQ12" s="19">
        <f t="shared" si="19"/>
        <v>44.482040236429881</v>
      </c>
      <c r="AR12" s="19">
        <f t="shared" si="20"/>
        <v>0.5734507370003733</v>
      </c>
      <c r="AS12" s="19">
        <f t="shared" si="21"/>
        <v>1.0678854782004617E-16</v>
      </c>
    </row>
    <row r="13" spans="1:45">
      <c r="C13" s="8"/>
    </row>
    <row r="14" spans="1:45">
      <c r="C14" s="8"/>
    </row>
    <row r="15" spans="1:45">
      <c r="C15" s="8"/>
    </row>
    <row r="16" spans="1:45">
      <c r="C16" s="8"/>
    </row>
    <row r="17" spans="3:3">
      <c r="C17" s="8"/>
    </row>
    <row r="18" spans="3:3">
      <c r="C18" s="8"/>
    </row>
    <row r="19" spans="3:3">
      <c r="C19" s="8"/>
    </row>
    <row r="20" spans="3:3">
      <c r="C20" s="8"/>
    </row>
  </sheetData>
  <mergeCells count="43">
    <mergeCell ref="AL1:AO1"/>
    <mergeCell ref="AQ1:AS1"/>
    <mergeCell ref="C3:C5"/>
    <mergeCell ref="D3:D5"/>
    <mergeCell ref="E3:E5"/>
    <mergeCell ref="F3:F5"/>
    <mergeCell ref="G3:G5"/>
    <mergeCell ref="S3:S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E3:AE5"/>
    <mergeCell ref="AS3:AS5"/>
    <mergeCell ref="AL3:AL5"/>
    <mergeCell ref="AM3:AM5"/>
    <mergeCell ref="AG3:AG5"/>
    <mergeCell ref="AH3:AH5"/>
    <mergeCell ref="AI3:AI5"/>
    <mergeCell ref="AJ3:AJ5"/>
    <mergeCell ref="AN3:AN5"/>
    <mergeCell ref="AO3:AO5"/>
    <mergeCell ref="AP3:AP5"/>
    <mergeCell ref="AQ3:AQ5"/>
    <mergeCell ref="AR3:AR5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0EFC-859C-47ED-8B9A-CD56CA429E29}">
  <dimension ref="A1:AS20"/>
  <sheetViews>
    <sheetView topLeftCell="S1" zoomScale="120" zoomScaleNormal="120" workbookViewId="0">
      <selection activeCell="AG6" sqref="AG6"/>
    </sheetView>
  </sheetViews>
  <sheetFormatPr defaultColWidth="9.1796875" defaultRowHeight="10.5"/>
  <cols>
    <col min="1" max="1" width="15.54296875" style="5" customWidth="1"/>
    <col min="2" max="2" width="16.7265625" style="6" customWidth="1"/>
    <col min="3" max="4" width="14.453125" style="6" customWidth="1"/>
    <col min="5" max="5" width="9.1796875" style="6"/>
    <col min="6" max="6" width="9.7265625" style="8" bestFit="1" customWidth="1"/>
    <col min="7" max="7" width="9.7265625" style="8" customWidth="1"/>
    <col min="8" max="8" width="9.1796875" style="8"/>
    <col min="9" max="9" width="9.1796875" style="9"/>
    <col min="10" max="11" width="10.7265625" style="9" customWidth="1"/>
    <col min="12" max="13" width="9.1796875" style="8"/>
    <col min="14" max="14" width="10.7265625" style="8" bestFit="1" customWidth="1"/>
    <col min="15" max="17" width="10.7265625" style="8" customWidth="1"/>
    <col min="18" max="31" width="9.1796875" style="8"/>
    <col min="32" max="35" width="9.1796875" style="14"/>
    <col min="36" max="36" width="9.1796875" style="19"/>
    <col min="37" max="16384" width="9.1796875" style="14"/>
  </cols>
  <sheetData>
    <row r="1" spans="1:45" s="2" customFormat="1" ht="42">
      <c r="F1" s="3"/>
      <c r="G1" s="3"/>
      <c r="I1" s="4"/>
      <c r="J1" s="4"/>
      <c r="K1" s="4"/>
      <c r="P1" s="2" t="s">
        <v>86</v>
      </c>
      <c r="AC1" s="2" t="s">
        <v>87</v>
      </c>
      <c r="AD1" s="2" t="s">
        <v>47</v>
      </c>
      <c r="AF1" s="2" t="s">
        <v>31</v>
      </c>
      <c r="AG1" s="2" t="s">
        <v>32</v>
      </c>
      <c r="AJ1" s="3"/>
      <c r="AK1" s="2" t="s">
        <v>40</v>
      </c>
      <c r="AL1" s="36" t="s">
        <v>39</v>
      </c>
      <c r="AM1" s="37"/>
      <c r="AN1" s="37"/>
      <c r="AO1" s="38"/>
      <c r="AQ1" s="33" t="s">
        <v>58</v>
      </c>
      <c r="AR1" s="33"/>
      <c r="AS1" s="33"/>
    </row>
    <row r="2" spans="1:45" ht="25">
      <c r="A2" s="5" t="s">
        <v>0</v>
      </c>
      <c r="B2" s="6" t="s">
        <v>1</v>
      </c>
      <c r="C2" s="2" t="s">
        <v>71</v>
      </c>
      <c r="D2" s="2" t="s">
        <v>72</v>
      </c>
      <c r="E2" s="7" t="s">
        <v>2</v>
      </c>
      <c r="F2" s="8" t="s">
        <v>18</v>
      </c>
      <c r="G2" s="8" t="s">
        <v>73</v>
      </c>
      <c r="H2" s="8" t="s">
        <v>3</v>
      </c>
      <c r="I2" s="9" t="s">
        <v>4</v>
      </c>
      <c r="J2" s="10" t="s">
        <v>59</v>
      </c>
      <c r="K2" s="10" t="s">
        <v>17</v>
      </c>
      <c r="L2" s="11" t="s">
        <v>5</v>
      </c>
      <c r="M2" s="12" t="s">
        <v>6</v>
      </c>
      <c r="N2" s="13" t="s">
        <v>7</v>
      </c>
      <c r="O2" s="13" t="s">
        <v>8</v>
      </c>
      <c r="P2" s="13" t="s">
        <v>9</v>
      </c>
      <c r="Q2" s="13" t="s">
        <v>38</v>
      </c>
      <c r="R2" s="13" t="s">
        <v>23</v>
      </c>
      <c r="S2" s="13" t="s">
        <v>24</v>
      </c>
      <c r="T2" s="13" t="s">
        <v>20</v>
      </c>
      <c r="U2" s="13" t="s">
        <v>25</v>
      </c>
      <c r="V2" s="13" t="s">
        <v>26</v>
      </c>
      <c r="W2" s="13" t="s">
        <v>43</v>
      </c>
      <c r="X2" s="13" t="s">
        <v>37</v>
      </c>
      <c r="Y2" s="13" t="s">
        <v>36</v>
      </c>
      <c r="Z2" s="13" t="s">
        <v>33</v>
      </c>
      <c r="AA2" s="13" t="s">
        <v>34</v>
      </c>
      <c r="AB2" s="13" t="s">
        <v>35</v>
      </c>
      <c r="AC2" s="13" t="s">
        <v>27</v>
      </c>
      <c r="AD2" s="13"/>
      <c r="AE2" s="13" t="s">
        <v>28</v>
      </c>
      <c r="AF2" s="13" t="s">
        <v>29</v>
      </c>
      <c r="AG2" s="13" t="s">
        <v>30</v>
      </c>
      <c r="AH2" s="13" t="s">
        <v>15</v>
      </c>
      <c r="AI2" s="13" t="s">
        <v>16</v>
      </c>
      <c r="AJ2" s="13" t="s">
        <v>21</v>
      </c>
      <c r="AL2" s="14" t="s">
        <v>60</v>
      </c>
      <c r="AM2" s="14" t="s">
        <v>74</v>
      </c>
      <c r="AN2" s="14" t="s">
        <v>75</v>
      </c>
      <c r="AO2" s="14" t="s">
        <v>76</v>
      </c>
      <c r="AQ2" s="14" t="s">
        <v>77</v>
      </c>
      <c r="AR2" s="14" t="s">
        <v>78</v>
      </c>
      <c r="AS2" s="14" t="s">
        <v>79</v>
      </c>
    </row>
    <row r="3" spans="1:45">
      <c r="A3" s="15"/>
      <c r="B3" s="16"/>
      <c r="C3" s="32"/>
      <c r="D3" s="32"/>
      <c r="E3" s="34" t="s">
        <v>10</v>
      </c>
      <c r="F3" s="32" t="s">
        <v>19</v>
      </c>
      <c r="G3" s="32" t="s">
        <v>19</v>
      </c>
      <c r="H3" s="32" t="s">
        <v>11</v>
      </c>
      <c r="I3" s="35"/>
      <c r="J3" s="35" t="s">
        <v>11</v>
      </c>
      <c r="K3" s="32"/>
      <c r="L3" s="32"/>
      <c r="M3" s="32" t="s">
        <v>12</v>
      </c>
      <c r="N3" s="32" t="s">
        <v>13</v>
      </c>
      <c r="O3" s="32"/>
      <c r="P3" s="32" t="s">
        <v>12</v>
      </c>
      <c r="Q3" s="32"/>
      <c r="R3" s="32" t="s">
        <v>14</v>
      </c>
      <c r="S3" s="32" t="s">
        <v>14</v>
      </c>
      <c r="T3" s="32" t="s">
        <v>14</v>
      </c>
      <c r="U3" s="32" t="s">
        <v>14</v>
      </c>
      <c r="V3" s="32" t="s">
        <v>14</v>
      </c>
      <c r="W3" s="32" t="s">
        <v>44</v>
      </c>
      <c r="X3" s="32" t="s">
        <v>14</v>
      </c>
      <c r="Y3" s="32" t="s">
        <v>14</v>
      </c>
      <c r="Z3" s="32" t="s">
        <v>14</v>
      </c>
      <c r="AA3" s="32" t="s">
        <v>14</v>
      </c>
      <c r="AB3" s="32" t="s">
        <v>14</v>
      </c>
      <c r="AC3" s="32" t="s">
        <v>14</v>
      </c>
      <c r="AD3" s="17"/>
      <c r="AE3" s="32" t="s">
        <v>14</v>
      </c>
      <c r="AF3" s="32" t="s">
        <v>12</v>
      </c>
      <c r="AG3" s="32" t="s">
        <v>12</v>
      </c>
      <c r="AH3" s="32" t="s">
        <v>12</v>
      </c>
      <c r="AI3" s="32" t="s">
        <v>12</v>
      </c>
      <c r="AJ3" s="32" t="s">
        <v>11</v>
      </c>
      <c r="AL3" s="32" t="s">
        <v>22</v>
      </c>
      <c r="AM3" s="32" t="s">
        <v>22</v>
      </c>
      <c r="AN3" s="32" t="s">
        <v>22</v>
      </c>
      <c r="AO3" s="32" t="s">
        <v>22</v>
      </c>
      <c r="AP3" s="32"/>
      <c r="AQ3" s="32"/>
      <c r="AR3" s="32"/>
      <c r="AS3" s="32"/>
    </row>
    <row r="4" spans="1:45">
      <c r="A4" s="15"/>
      <c r="B4" s="16"/>
      <c r="C4" s="32"/>
      <c r="D4" s="32"/>
      <c r="E4" s="34"/>
      <c r="F4" s="32"/>
      <c r="G4" s="32"/>
      <c r="H4" s="32"/>
      <c r="I4" s="35"/>
      <c r="J4" s="35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17"/>
      <c r="AE4" s="32"/>
      <c r="AF4" s="32"/>
      <c r="AG4" s="32"/>
      <c r="AH4" s="32"/>
      <c r="AI4" s="32"/>
      <c r="AJ4" s="32"/>
      <c r="AL4" s="32"/>
      <c r="AM4" s="32"/>
      <c r="AN4" s="32"/>
      <c r="AO4" s="32"/>
      <c r="AP4" s="32"/>
      <c r="AQ4" s="32"/>
      <c r="AR4" s="32"/>
      <c r="AS4" s="32"/>
    </row>
    <row r="5" spans="1:45">
      <c r="A5" s="18"/>
      <c r="B5" s="16"/>
      <c r="C5" s="32"/>
      <c r="D5" s="32"/>
      <c r="E5" s="34"/>
      <c r="F5" s="32"/>
      <c r="G5" s="32"/>
      <c r="H5" s="32"/>
      <c r="I5" s="35"/>
      <c r="J5" s="35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17"/>
      <c r="AE5" s="32"/>
      <c r="AF5" s="32"/>
      <c r="AG5" s="32"/>
      <c r="AH5" s="32"/>
      <c r="AI5" s="32"/>
      <c r="AJ5" s="32"/>
      <c r="AL5" s="32"/>
      <c r="AM5" s="32"/>
      <c r="AN5" s="32"/>
      <c r="AO5" s="32"/>
      <c r="AP5" s="32"/>
      <c r="AQ5" s="32"/>
      <c r="AR5" s="32"/>
      <c r="AS5" s="32"/>
    </row>
    <row r="6" spans="1:45">
      <c r="A6" s="5" t="s">
        <v>42</v>
      </c>
      <c r="B6" s="6" t="s">
        <v>41</v>
      </c>
      <c r="C6" s="8">
        <v>8.09E-3</v>
      </c>
      <c r="D6" s="2">
        <v>9</v>
      </c>
      <c r="E6" s="6">
        <v>222.67</v>
      </c>
      <c r="F6" s="8">
        <f>0.0001728*((32)^0.5)/((E6)^0.5)</f>
        <v>6.550702444732426E-5</v>
      </c>
      <c r="G6" s="8">
        <f>2.22*((18)^0.5)/((E6)^0.5)</f>
        <v>0.63118747514348883</v>
      </c>
      <c r="H6" s="8">
        <v>6.31</v>
      </c>
      <c r="I6" s="9">
        <f t="shared" ref="I6:I12" si="0">LOG10(H6)</f>
        <v>0.80002935924413432</v>
      </c>
      <c r="J6" s="9">
        <v>0.2</v>
      </c>
      <c r="K6" s="9">
        <f t="shared" ref="K6:K12" si="1">0.7*EXP(0-((I6-3.07)^2)/2.78)</f>
        <v>0.10968001039674864</v>
      </c>
      <c r="L6" s="8">
        <f t="shared" ref="L6:L12" si="2">0.81*I6+0.1</f>
        <v>0.7480237809877488</v>
      </c>
      <c r="M6" s="8">
        <f t="shared" ref="M6:M12" si="3">10^L6</f>
        <v>5.5978825339993774</v>
      </c>
      <c r="N6" s="8">
        <v>5.2999999999999998E-8</v>
      </c>
      <c r="O6" s="8">
        <f t="shared" ref="O6:O12" si="4">N6/(8.314*298.15)</f>
        <v>2.1381148789760417E-11</v>
      </c>
      <c r="P6" s="8">
        <f>(0.063*1.6*M6+0.4+0.3*O6)/1.1</f>
        <v>0.87660596312141048</v>
      </c>
      <c r="Q6" s="8">
        <f>P6/O6</f>
        <v>40999011406.778259</v>
      </c>
      <c r="R6" s="8">
        <f>(0.0938*K6/P6)*(2500000*(31.145-0.1*298.15)/((298.15-33.85)^2)+610.78*(1-50/100))*EXP(17.2*(298.15-273.15)/(298.15-35.85))</f>
        <v>21.342494173426921</v>
      </c>
      <c r="S6" s="8">
        <f>86.4/(0.0002*0.4*AI6)</f>
        <v>2.4600404898327982E-5</v>
      </c>
      <c r="T6" s="8">
        <f t="shared" ref="T6:T12" si="5">10^(0-0.011*E6-2.46)</f>
        <v>1.2320547289553744E-5</v>
      </c>
      <c r="U6" s="8">
        <f t="shared" ref="U6:U12" si="6">T6*AJ6</f>
        <v>8.5282268239442446E-5</v>
      </c>
      <c r="V6" s="8">
        <f t="shared" ref="V6:V12" si="7">4*AC6</f>
        <v>4.3865463798650817</v>
      </c>
      <c r="W6" s="8">
        <v>1.6</v>
      </c>
      <c r="X6" s="8">
        <f t="shared" ref="X6:X12" si="8">LN(2)/W6</f>
        <v>0.43321698784996576</v>
      </c>
      <c r="Y6" s="8">
        <f>X6*EXP((60/8.314)*(1/298.15-1/298.15))</f>
        <v>0.43321698784996576</v>
      </c>
      <c r="Z6" s="8">
        <f>(0.0025*3*0.01)*(2500000*(31.145-0.1*298.15)/((298.15-33.85)^2)+610.78*(1-50/100))*EXP(17.2*(298.15-273.15)/(298.15-35.85))*3*0.001/(0.01*0.05*1.5*P6)</f>
        <v>0.62235202203862627</v>
      </c>
      <c r="AA6" s="8">
        <f>G6/(Q6*1.5*0.0001)</f>
        <v>1.0263458450758909E-7</v>
      </c>
      <c r="AB6" s="8">
        <f>0.0027/(0.05*1.5*P6)</f>
        <v>4.1067482443093953E-2</v>
      </c>
      <c r="AC6" s="8">
        <f>SUM(Y6:AB6)</f>
        <v>1.0966365949662704</v>
      </c>
      <c r="AD6" s="8">
        <v>6.2</v>
      </c>
      <c r="AE6" s="8">
        <f t="shared" ref="AE6:AE12" si="9">LN(2)/AD6</f>
        <v>0.11179793234837827</v>
      </c>
      <c r="AF6" s="19">
        <f t="shared" ref="AF6:AF12" si="10">(0.7+J6*0.3+1.22*0*(H6^0.77))/(0.8+J6*0.1+1.22*0.02*(H6^0.77))</f>
        <v>0.82537925053495764</v>
      </c>
      <c r="AG6" s="19">
        <f t="shared" ref="AG6:AG12" si="11">(0.13+J6*0.75+1.22*0.087*(H6^0.77))/(0.8+J6*0.1+1.22*0.02*(H6^0.77))</f>
        <v>0.780234741436308</v>
      </c>
      <c r="AH6" s="19">
        <f t="shared" ref="AH6:AH12" si="12">0.8+(1/0.83)*0.02*(H6^0.95)</f>
        <v>0.93866913119428863</v>
      </c>
      <c r="AI6" s="19">
        <f t="shared" ref="AI6:AI12" si="13">AH6/O6</f>
        <v>43901716433.675629</v>
      </c>
      <c r="AJ6" s="19">
        <f t="shared" ref="AJ6:AJ12" si="14">10^(0.979*I6+0.057)</f>
        <v>6.9219545394506099</v>
      </c>
      <c r="AK6" s="16">
        <v>7</v>
      </c>
      <c r="AL6" s="20">
        <f>(0.223*100/(1.5*0.05*1000))*(R6/(S6+AE6+0.035-AC6))*(EXP(0-AC6*AK6)-EXP(0-(S6+AE6+0.035)*AK6))+(0.612*100/(3*0.1*(1/0.2)*1000))*(U6/(S6+AE6+0.035-V6))*(EXP(0-V6*AK6)-EXP(0-(S6+AE6+0.035)*AK6))</f>
        <v>2.3874684185983477</v>
      </c>
      <c r="AM6" s="19">
        <f t="shared" ref="AM6:AM12" si="15">(AF6*0.223*100/(1.5*0.05*1000))*(R6/(S6+AE6+0.035-AC6))*(EXP(0-AC6*AK6)-EXP(0-(S6+AE6+0.035)*AK6))+(AF6*0.612*100/(3*0.1*(1/0.2)*1000))*(U6/(S6+AE6+0.035-V6))*(EXP(0-V6*AK6)-EXP(0-(S6+AE6+0.035)*AK6))</f>
        <v>1.970566894018585</v>
      </c>
      <c r="AN6" s="19">
        <f t="shared" ref="AN6:AN12" si="16">(AG6*0.223*100/(1.5*0.05*1000))*(R6/(S6+AE6+0.035-AC6))*(EXP(0-AC6*AK6)-EXP(0-(S6+AE6+0.035)*AK6))+(AG6*0.612*100/(3*0.1*(1/0.2)*1000))*(U6/(S6+AE6+0.035-V6))*(EXP(0-V6*AK6)-EXP(0-(S6+AE6+0.035)*AK6))</f>
        <v>1.862785804272433</v>
      </c>
      <c r="AO6" s="19">
        <f t="shared" ref="AO6:AO12" si="17">(0.223*100/(1.5*0.05*1000))*EXP(0-AC6*7)</f>
        <v>1.3784818323999941E-4</v>
      </c>
      <c r="AP6" s="19"/>
      <c r="AQ6" s="19">
        <f t="shared" ref="AQ6:AQ12" si="18">AM6*0.000292/(C6/10)</f>
        <v>0.711255294256399</v>
      </c>
      <c r="AR6" s="19">
        <f t="shared" ref="AR6:AR12" si="19">AN6*0.0000095/(C6/10)</f>
        <v>2.187449337526343E-2</v>
      </c>
      <c r="AS6" s="19">
        <f t="shared" ref="AS6:AS12" si="20">AO6/(D6/10)</f>
        <v>1.5316464804444378E-4</v>
      </c>
    </row>
    <row r="7" spans="1:45">
      <c r="A7" s="5" t="s">
        <v>46</v>
      </c>
      <c r="B7" s="6" t="s">
        <v>45</v>
      </c>
      <c r="C7" s="8">
        <v>4.3999999999999999E-5</v>
      </c>
      <c r="D7" s="2">
        <v>13.21</v>
      </c>
      <c r="E7" s="6">
        <v>249.7</v>
      </c>
      <c r="F7" s="8">
        <f t="shared" ref="F7:F12" si="21">0.0001728*((32)^0.5)/((E7)^0.5)</f>
        <v>6.1859934544114761E-5</v>
      </c>
      <c r="G7" s="8">
        <f t="shared" ref="G7:G12" si="22">2.22*((18)^0.5)/((E7)^0.5)</f>
        <v>0.59604624430527242</v>
      </c>
      <c r="H7" s="8">
        <v>8.0399999999999991</v>
      </c>
      <c r="I7" s="9">
        <f t="shared" si="0"/>
        <v>0.90525604874845123</v>
      </c>
      <c r="J7" s="9">
        <v>0.2</v>
      </c>
      <c r="K7" s="9">
        <f t="shared" si="1"/>
        <v>0.12972631511648189</v>
      </c>
      <c r="L7" s="8">
        <f t="shared" si="2"/>
        <v>0.83325739948624555</v>
      </c>
      <c r="M7" s="8">
        <f t="shared" si="3"/>
        <v>6.811729595421931</v>
      </c>
      <c r="N7" s="8">
        <v>2.9E-11</v>
      </c>
      <c r="O7" s="8">
        <f t="shared" si="4"/>
        <v>1.169911914911419E-14</v>
      </c>
      <c r="P7" s="8">
        <f t="shared" ref="P7:P12" si="23">(0.063*1.6*M7+0.4+0.3*O7)/1.1</f>
        <v>0.98783849383503108</v>
      </c>
      <c r="Q7" s="8">
        <f t="shared" ref="Q7:Q12" si="24">P7/O7</f>
        <v>84436997456327.828</v>
      </c>
      <c r="R7" s="8">
        <f t="shared" ref="R7:R12" si="25">(0.0938*K7/P7)*(2500000*(31.145-0.1*298.15)/((298.15-33.85)^2)+610.78*(1-50/100))*EXP(17.2*(298.15-273.15)/(298.15-35.85))</f>
        <v>22.40083698786863</v>
      </c>
      <c r="S7" s="8">
        <f t="shared" ref="S7:S12" si="26">86.4/(0.0002*0.4*AI7)</f>
        <v>1.296487287738064E-8</v>
      </c>
      <c r="T7" s="8">
        <f t="shared" si="5"/>
        <v>6.2129806352934899E-6</v>
      </c>
      <c r="U7" s="8">
        <f t="shared" si="6"/>
        <v>5.4518722621634414E-5</v>
      </c>
      <c r="V7" s="8">
        <f t="shared" si="7"/>
        <v>2.3599560441832357</v>
      </c>
      <c r="W7" s="8">
        <v>545</v>
      </c>
      <c r="X7" s="8">
        <f t="shared" si="8"/>
        <v>1.2718296891008171E-3</v>
      </c>
      <c r="Y7" s="8">
        <f t="shared" ref="Y7:Y12" si="27">X7*EXP((60/8.314)*(1/298.15-1/298.15))</f>
        <v>1.2718296891008171E-3</v>
      </c>
      <c r="Z7" s="8">
        <f t="shared" ref="Z7:Z12" si="28">(0.0025*3*0.01)*(2500000*(31.145-0.1*298.15)/((298.15-33.85)^2)+610.78*(1-50/100))*EXP(17.2*(298.15-273.15)/(298.15-35.85))*3*0.001/(0.01*0.05*1.5*P7)</f>
        <v>0.5522739770564512</v>
      </c>
      <c r="AA7" s="8">
        <f t="shared" ref="AA7:AA12" si="29">G7/(Q7*1.5*0.0001)</f>
        <v>4.7060432611392269E-11</v>
      </c>
      <c r="AB7" s="8">
        <f t="shared" ref="AB7:AB12" si="30">0.0027/(0.05*1.5*P7)</f>
        <v>3.6443204253196471E-2</v>
      </c>
      <c r="AC7" s="8">
        <f t="shared" ref="AC7:AC12" si="31">SUM(Y7:AB7)</f>
        <v>0.58998901104580892</v>
      </c>
      <c r="AD7" s="8">
        <v>16.600000000000001</v>
      </c>
      <c r="AE7" s="8">
        <f t="shared" si="9"/>
        <v>4.1755854250599113E-2</v>
      </c>
      <c r="AF7" s="19">
        <f t="shared" si="10"/>
        <v>0.80725592490246267</v>
      </c>
      <c r="AG7" s="19">
        <f t="shared" si="11"/>
        <v>0.85861812479684874</v>
      </c>
      <c r="AH7" s="19">
        <f t="shared" si="12"/>
        <v>0.97456016734936535</v>
      </c>
      <c r="AI7" s="19">
        <f t="shared" si="13"/>
        <v>83302012307751.828</v>
      </c>
      <c r="AJ7" s="19">
        <f t="shared" si="14"/>
        <v>8.7749706335691879</v>
      </c>
      <c r="AK7" s="16">
        <v>7</v>
      </c>
      <c r="AL7" s="20">
        <f t="shared" ref="AL7:AL12" si="32">(0.223*100/(1.5*0.05*1000))*(R7/(S7+AE7+0.035-AC7))*(EXP(0-AC7*AK7)-EXP(0-(S7+AE7+0.035)*AK7))+(0.612*100/(3*0.1*(1/0.2)*1000))*(U7/(S7+AE7+0.035-V7))*(EXP(0-V7*AK7)-EXP(0-(S7+AE7+0.035)*AK7))</f>
        <v>7.3744346450108029</v>
      </c>
      <c r="AM7" s="19">
        <f t="shared" si="15"/>
        <v>5.953056059990959</v>
      </c>
      <c r="AN7" s="19">
        <f t="shared" si="16"/>
        <v>6.3318232463360902</v>
      </c>
      <c r="AO7" s="19">
        <f t="shared" si="17"/>
        <v>4.7823438264685001E-3</v>
      </c>
      <c r="AP7" s="19"/>
      <c r="AQ7" s="19">
        <f t="shared" si="18"/>
        <v>395.06644761758179</v>
      </c>
      <c r="AR7" s="19">
        <f t="shared" si="19"/>
        <v>13.670982009134741</v>
      </c>
      <c r="AS7" s="19">
        <f t="shared" si="20"/>
        <v>3.6202451373720662E-3</v>
      </c>
    </row>
    <row r="8" spans="1:45">
      <c r="A8" s="5" t="s">
        <v>49</v>
      </c>
      <c r="B8" s="6" t="s">
        <v>48</v>
      </c>
      <c r="C8" s="8">
        <v>2.3E-5</v>
      </c>
      <c r="D8" s="2">
        <v>4.9000000000000004</v>
      </c>
      <c r="E8" s="6">
        <v>202.21</v>
      </c>
      <c r="F8" s="8">
        <f t="shared" si="21"/>
        <v>6.8741248032381578E-5</v>
      </c>
      <c r="G8" s="8">
        <f t="shared" si="22"/>
        <v>0.66235056697867667</v>
      </c>
      <c r="H8" s="8">
        <v>0.28199999999999997</v>
      </c>
      <c r="I8" s="9">
        <f t="shared" si="0"/>
        <v>-0.54975089168063895</v>
      </c>
      <c r="J8" s="9">
        <v>0.1</v>
      </c>
      <c r="K8" s="9">
        <f t="shared" si="1"/>
        <v>6.2834306929133643E-3</v>
      </c>
      <c r="L8" s="8">
        <f t="shared" si="2"/>
        <v>-0.34529822226131757</v>
      </c>
      <c r="M8" s="8">
        <f t="shared" si="3"/>
        <v>0.45154576947905839</v>
      </c>
      <c r="N8" s="8">
        <v>8.7000000000000001E-9</v>
      </c>
      <c r="O8" s="8">
        <f t="shared" si="4"/>
        <v>3.5097357447342574E-12</v>
      </c>
      <c r="P8" s="8">
        <f t="shared" si="23"/>
        <v>0.40501437596776546</v>
      </c>
      <c r="Q8" s="8">
        <f t="shared" si="24"/>
        <v>115397398956.72159</v>
      </c>
      <c r="R8" s="8">
        <f t="shared" si="25"/>
        <v>2.6463574166716839</v>
      </c>
      <c r="S8" s="8">
        <f t="shared" si="26"/>
        <v>4.6956524935153604E-6</v>
      </c>
      <c r="T8" s="8">
        <f t="shared" si="5"/>
        <v>2.0686642062977948E-5</v>
      </c>
      <c r="U8" s="8">
        <f t="shared" si="6"/>
        <v>6.830993578024058E-6</v>
      </c>
      <c r="V8" s="8">
        <f t="shared" si="7"/>
        <v>5.7773860508615469</v>
      </c>
      <c r="W8" s="8">
        <v>82</v>
      </c>
      <c r="X8" s="8">
        <f t="shared" si="8"/>
        <v>8.4530143970725034E-3</v>
      </c>
      <c r="Y8" s="8">
        <f t="shared" si="27"/>
        <v>8.4530143970725034E-3</v>
      </c>
      <c r="Z8" s="8">
        <f t="shared" si="28"/>
        <v>1.3470077262717892</v>
      </c>
      <c r="AA8" s="8">
        <f t="shared" si="29"/>
        <v>3.8264904464445987E-8</v>
      </c>
      <c r="AB8" s="8">
        <f t="shared" si="30"/>
        <v>8.8885733781620596E-2</v>
      </c>
      <c r="AC8" s="8">
        <f t="shared" si="31"/>
        <v>1.4443465127153867</v>
      </c>
      <c r="AD8" s="8">
        <v>6.8</v>
      </c>
      <c r="AE8" s="8">
        <f t="shared" si="9"/>
        <v>0.10193340890587431</v>
      </c>
      <c r="AF8" s="19">
        <f t="shared" si="10"/>
        <v>0.89110650857521279</v>
      </c>
      <c r="AG8" s="19">
        <f t="shared" si="11"/>
        <v>0.29912746752487146</v>
      </c>
      <c r="AH8" s="19">
        <f t="shared" si="12"/>
        <v>0.80723916634539128</v>
      </c>
      <c r="AI8" s="19">
        <f t="shared" si="13"/>
        <v>229999984345.40607</v>
      </c>
      <c r="AJ8" s="19">
        <f t="shared" si="14"/>
        <v>0.33021277968787466</v>
      </c>
      <c r="AK8" s="16">
        <v>7</v>
      </c>
      <c r="AL8" s="20">
        <f t="shared" si="32"/>
        <v>0.23074620739371621</v>
      </c>
      <c r="AM8" s="19">
        <f t="shared" si="15"/>
        <v>0.20561944723758638</v>
      </c>
      <c r="AN8" s="19">
        <f t="shared" si="16"/>
        <v>6.9022528658651092E-2</v>
      </c>
      <c r="AO8" s="19">
        <f t="shared" si="17"/>
        <v>1.2087641099503381E-5</v>
      </c>
      <c r="AP8" s="19"/>
      <c r="AQ8" s="19">
        <f t="shared" si="18"/>
        <v>26.104729823206618</v>
      </c>
      <c r="AR8" s="19">
        <f t="shared" si="19"/>
        <v>0.28509305315529804</v>
      </c>
      <c r="AS8" s="19">
        <f t="shared" si="20"/>
        <v>2.4668655305108938E-5</v>
      </c>
    </row>
    <row r="9" spans="1:45">
      <c r="A9" s="5" t="s">
        <v>51</v>
      </c>
      <c r="B9" s="6" t="s">
        <v>50</v>
      </c>
      <c r="C9" s="8">
        <v>0.1</v>
      </c>
      <c r="D9" s="2">
        <v>1000</v>
      </c>
      <c r="E9" s="6">
        <v>229.16</v>
      </c>
      <c r="F9" s="8">
        <f>0.0001728*((32)^0.5)/((E9)^0.5)</f>
        <v>6.4572755671446795E-5</v>
      </c>
      <c r="G9" s="8">
        <f t="shared" si="22"/>
        <v>0.622185406209253</v>
      </c>
      <c r="H9" s="8">
        <v>0.57499999999999996</v>
      </c>
      <c r="I9" s="9">
        <f t="shared" si="0"/>
        <v>-0.24033215531036956</v>
      </c>
      <c r="J9" s="9">
        <v>0.1</v>
      </c>
      <c r="K9" s="9">
        <f t="shared" si="1"/>
        <v>1.3588803343909051E-2</v>
      </c>
      <c r="L9" s="8">
        <f t="shared" si="2"/>
        <v>-9.4669045801399343E-2</v>
      </c>
      <c r="M9" s="8">
        <f t="shared" si="3"/>
        <v>0.80413868280240575</v>
      </c>
      <c r="N9" s="8">
        <v>4.1999999999999999E-8</v>
      </c>
      <c r="O9" s="8">
        <f t="shared" si="4"/>
        <v>1.6943551871130896E-11</v>
      </c>
      <c r="P9" s="8">
        <f t="shared" si="23"/>
        <v>0.43732470839233228</v>
      </c>
      <c r="Q9" s="8">
        <f t="shared" si="24"/>
        <v>25810686668.21056</v>
      </c>
      <c r="R9" s="8">
        <f t="shared" si="25"/>
        <v>5.3002860378958943</v>
      </c>
      <c r="S9" s="8">
        <f t="shared" si="26"/>
        <v>2.2473647683530496E-5</v>
      </c>
      <c r="T9" s="8">
        <f t="shared" si="5"/>
        <v>1.0452977125021435E-5</v>
      </c>
      <c r="U9" s="8">
        <f t="shared" si="6"/>
        <v>6.933536720531863E-6</v>
      </c>
      <c r="V9" s="8">
        <f t="shared" si="7"/>
        <v>6.2136124234418721</v>
      </c>
      <c r="W9" s="8">
        <v>3.1</v>
      </c>
      <c r="X9" s="8">
        <f t="shared" si="8"/>
        <v>0.22359586469675655</v>
      </c>
      <c r="Y9" s="8">
        <f t="shared" si="27"/>
        <v>0.22359586469675655</v>
      </c>
      <c r="Z9" s="8">
        <f t="shared" si="28"/>
        <v>1.2474883838264572</v>
      </c>
      <c r="AA9" s="8">
        <f t="shared" si="29"/>
        <v>1.6070485692154807E-7</v>
      </c>
      <c r="AB9" s="8">
        <f t="shared" si="30"/>
        <v>8.2318696632397256E-2</v>
      </c>
      <c r="AC9" s="8">
        <f t="shared" si="31"/>
        <v>1.553403105860468</v>
      </c>
      <c r="AD9" s="8">
        <v>4</v>
      </c>
      <c r="AE9" s="8">
        <f t="shared" si="9"/>
        <v>0.17328679513998632</v>
      </c>
      <c r="AF9" s="19">
        <f t="shared" si="10"/>
        <v>0.88384749860435052</v>
      </c>
      <c r="AG9" s="19">
        <f t="shared" si="11"/>
        <v>0.33212613134446911</v>
      </c>
      <c r="AH9" s="19">
        <f t="shared" si="12"/>
        <v>0.814244144008343</v>
      </c>
      <c r="AI9" s="19">
        <f t="shared" si="13"/>
        <v>48056284195.976929</v>
      </c>
      <c r="AJ9" s="19">
        <f t="shared" si="14"/>
        <v>0.6633073657011036</v>
      </c>
      <c r="AK9" s="16">
        <v>7</v>
      </c>
      <c r="AL9" s="20">
        <f t="shared" si="32"/>
        <v>0.27257248286354441</v>
      </c>
      <c r="AM9" s="19">
        <f t="shared" si="15"/>
        <v>0.24091250716732091</v>
      </c>
      <c r="AN9" s="19">
        <f t="shared" si="16"/>
        <v>9.0528444244425604E-2</v>
      </c>
      <c r="AO9" s="19">
        <f t="shared" si="17"/>
        <v>5.6338180946916676E-6</v>
      </c>
      <c r="AP9" s="19"/>
      <c r="AQ9" s="19">
        <f t="shared" si="18"/>
        <v>7.0346452092857701E-3</v>
      </c>
      <c r="AR9" s="19">
        <f t="shared" si="19"/>
        <v>8.6002022032204329E-5</v>
      </c>
      <c r="AS9" s="19">
        <f t="shared" si="20"/>
        <v>5.6338180946916676E-8</v>
      </c>
    </row>
    <row r="10" spans="1:45">
      <c r="A10" s="5" t="s">
        <v>53</v>
      </c>
      <c r="B10" s="6" t="s">
        <v>52</v>
      </c>
      <c r="C10" s="8">
        <v>8.1000000000000004E-5</v>
      </c>
      <c r="D10" s="2">
        <v>10.7</v>
      </c>
      <c r="E10" s="6">
        <v>255.66</v>
      </c>
      <c r="F10" s="8">
        <f t="shared" si="21"/>
        <v>6.1134636602640924E-5</v>
      </c>
      <c r="G10" s="8">
        <f t="shared" si="22"/>
        <v>0.58905769643169636</v>
      </c>
      <c r="H10" s="8">
        <v>3.72</v>
      </c>
      <c r="I10" s="9">
        <f t="shared" si="0"/>
        <v>0.57054293988189753</v>
      </c>
      <c r="J10" s="9">
        <v>0.2</v>
      </c>
      <c r="K10" s="9">
        <f t="shared" si="1"/>
        <v>7.3984476985727632E-2</v>
      </c>
      <c r="L10" s="8">
        <f t="shared" si="2"/>
        <v>0.56213978130433706</v>
      </c>
      <c r="M10" s="8">
        <f t="shared" si="3"/>
        <v>3.6487136492323029</v>
      </c>
      <c r="N10" s="8">
        <v>1.7000000000000001E-10</v>
      </c>
      <c r="O10" s="8">
        <f t="shared" si="4"/>
        <v>6.8581043287910771E-14</v>
      </c>
      <c r="P10" s="8">
        <f t="shared" si="23"/>
        <v>0.69799121440239686</v>
      </c>
      <c r="Q10" s="8">
        <f t="shared" si="24"/>
        <v>10177611493487.391</v>
      </c>
      <c r="R10" s="8">
        <f t="shared" si="25"/>
        <v>18.080596781413011</v>
      </c>
      <c r="S10" s="8">
        <f t="shared" si="26"/>
        <v>8.3792505484451725E-8</v>
      </c>
      <c r="T10" s="8">
        <f t="shared" si="5"/>
        <v>5.342444263934628E-6</v>
      </c>
      <c r="U10" s="8">
        <f t="shared" si="6"/>
        <v>2.2044565239792361E-5</v>
      </c>
      <c r="V10" s="8">
        <f t="shared" si="7"/>
        <v>3.3472658217411642</v>
      </c>
      <c r="W10" s="8">
        <v>191</v>
      </c>
      <c r="X10" s="8">
        <f t="shared" si="8"/>
        <v>3.6290428301567817E-3</v>
      </c>
      <c r="Y10" s="8">
        <f t="shared" si="27"/>
        <v>3.6290428301567817E-3</v>
      </c>
      <c r="Z10" s="8">
        <f t="shared" si="28"/>
        <v>0.78161083180226043</v>
      </c>
      <c r="AA10" s="8">
        <f t="shared" si="29"/>
        <v>3.8585195672457582E-10</v>
      </c>
      <c r="AB10" s="8">
        <f t="shared" si="30"/>
        <v>5.15765804170219E-2</v>
      </c>
      <c r="AC10" s="8">
        <f t="shared" si="31"/>
        <v>0.83681645543529104</v>
      </c>
      <c r="AD10" s="8">
        <v>4.9000000000000004</v>
      </c>
      <c r="AE10" s="8">
        <f t="shared" si="9"/>
        <v>0.14145860827753984</v>
      </c>
      <c r="AF10" s="19">
        <f t="shared" si="10"/>
        <v>0.85672634033967043</v>
      </c>
      <c r="AG10" s="19">
        <f t="shared" si="11"/>
        <v>0.64465857803092519</v>
      </c>
      <c r="AH10" s="19">
        <f t="shared" si="12"/>
        <v>0.88393975478734632</v>
      </c>
      <c r="AI10" s="19">
        <f t="shared" si="13"/>
        <v>12888980867154.061</v>
      </c>
      <c r="AJ10" s="19">
        <f t="shared" si="14"/>
        <v>4.1263070143022658</v>
      </c>
      <c r="AK10" s="16">
        <v>7</v>
      </c>
      <c r="AL10" s="20">
        <f t="shared" si="32"/>
        <v>2.3439179709259754</v>
      </c>
      <c r="AM10" s="19">
        <f t="shared" si="15"/>
        <v>2.0080962652877967</v>
      </c>
      <c r="AN10" s="19">
        <f t="shared" si="16"/>
        <v>1.5110268261582702</v>
      </c>
      <c r="AO10" s="19">
        <f t="shared" si="17"/>
        <v>8.4970899738286273E-4</v>
      </c>
      <c r="AP10" s="19"/>
      <c r="AQ10" s="19">
        <f t="shared" si="18"/>
        <v>72.390630798029207</v>
      </c>
      <c r="AR10" s="19">
        <f t="shared" si="19"/>
        <v>1.7721919566053788</v>
      </c>
      <c r="AS10" s="19">
        <f t="shared" si="20"/>
        <v>7.9412055830174104E-4</v>
      </c>
    </row>
    <row r="11" spans="1:45">
      <c r="A11" s="5" t="s">
        <v>55</v>
      </c>
      <c r="B11" s="6" t="s">
        <v>54</v>
      </c>
      <c r="C11" s="8">
        <v>3.882E-2</v>
      </c>
      <c r="D11" s="2">
        <v>105</v>
      </c>
      <c r="E11" s="6">
        <v>252.72</v>
      </c>
      <c r="F11" s="8">
        <f t="shared" si="21"/>
        <v>6.1489211061153466E-5</v>
      </c>
      <c r="G11" s="8">
        <f t="shared" si="22"/>
        <v>0.59247416907882244</v>
      </c>
      <c r="H11" s="8">
        <v>18.2</v>
      </c>
      <c r="I11" s="9">
        <f t="shared" si="0"/>
        <v>1.2600713879850747</v>
      </c>
      <c r="J11" s="9">
        <v>0.5</v>
      </c>
      <c r="K11" s="9">
        <f t="shared" si="1"/>
        <v>0.21544810193559122</v>
      </c>
      <c r="L11" s="8">
        <f t="shared" si="2"/>
        <v>1.1206578242679106</v>
      </c>
      <c r="M11" s="8">
        <f t="shared" si="3"/>
        <v>13.20255010236108</v>
      </c>
      <c r="N11" s="8">
        <v>4.8E-10</v>
      </c>
      <c r="O11" s="8">
        <f t="shared" si="4"/>
        <v>1.9364059281292454E-13</v>
      </c>
      <c r="P11" s="8">
        <f t="shared" si="23"/>
        <v>1.5734700457436863</v>
      </c>
      <c r="Q11" s="8">
        <f t="shared" si="24"/>
        <v>8125724172223.5889</v>
      </c>
      <c r="R11" s="8">
        <f t="shared" si="25"/>
        <v>23.356421383139793</v>
      </c>
      <c r="S11" s="8">
        <f t="shared" si="26"/>
        <v>1.7733072866778617E-7</v>
      </c>
      <c r="T11" s="8">
        <f t="shared" si="5"/>
        <v>5.7554594705444321E-6</v>
      </c>
      <c r="U11" s="8">
        <f t="shared" si="6"/>
        <v>1.1238022281678128E-4</v>
      </c>
      <c r="V11" s="8">
        <f t="shared" si="7"/>
        <v>4.6290765413927764</v>
      </c>
      <c r="W11" s="8">
        <v>0.88</v>
      </c>
      <c r="X11" s="8">
        <f t="shared" si="8"/>
        <v>0.7876672506363015</v>
      </c>
      <c r="Y11" s="8">
        <f t="shared" si="27"/>
        <v>0.7876672506363015</v>
      </c>
      <c r="Z11" s="8">
        <f t="shared" si="28"/>
        <v>0.34672251636152018</v>
      </c>
      <c r="AA11" s="8">
        <f t="shared" si="29"/>
        <v>4.8608932695016072E-10</v>
      </c>
      <c r="AB11" s="8">
        <f t="shared" si="30"/>
        <v>2.2879367864282997E-2</v>
      </c>
      <c r="AC11" s="8">
        <f t="shared" si="31"/>
        <v>1.1572691353481941</v>
      </c>
      <c r="AD11" s="8">
        <v>3.8</v>
      </c>
      <c r="AE11" s="8">
        <f t="shared" si="9"/>
        <v>0.18240715277893299</v>
      </c>
      <c r="AF11" s="19">
        <f t="shared" si="10"/>
        <v>0.78860857572623133</v>
      </c>
      <c r="AG11" s="19">
        <f t="shared" si="11"/>
        <v>1.3880789670517715</v>
      </c>
      <c r="AH11" s="19">
        <f t="shared" si="12"/>
        <v>1.1793322105485111</v>
      </c>
      <c r="AI11" s="19">
        <f t="shared" si="13"/>
        <v>6090315018235.1465</v>
      </c>
      <c r="AJ11" s="19">
        <f t="shared" si="14"/>
        <v>19.52584730931148</v>
      </c>
      <c r="AK11" s="16">
        <v>7</v>
      </c>
      <c r="AL11" s="20">
        <f t="shared" si="32"/>
        <v>1.6108332938686114</v>
      </c>
      <c r="AM11" s="19">
        <f t="shared" si="15"/>
        <v>1.2703169496101194</v>
      </c>
      <c r="AN11" s="19">
        <f t="shared" si="16"/>
        <v>2.235963814645745</v>
      </c>
      <c r="AO11" s="19">
        <f t="shared" si="17"/>
        <v>9.0172560679047112E-5</v>
      </c>
      <c r="AP11" s="19"/>
      <c r="AQ11" s="19">
        <f t="shared" si="18"/>
        <v>9.5551918929972904E-2</v>
      </c>
      <c r="AR11" s="19">
        <f t="shared" si="19"/>
        <v>5.4718331373350276E-3</v>
      </c>
      <c r="AS11" s="19">
        <f t="shared" si="20"/>
        <v>8.5878629218140106E-6</v>
      </c>
    </row>
    <row r="12" spans="1:45">
      <c r="A12" s="5" t="s">
        <v>57</v>
      </c>
      <c r="B12" s="6" t="s">
        <v>56</v>
      </c>
      <c r="C12" s="8">
        <v>2.4000000000000001E-5</v>
      </c>
      <c r="D12" s="2">
        <v>1000</v>
      </c>
      <c r="E12" s="6">
        <v>291.70999999999998</v>
      </c>
      <c r="F12" s="8">
        <f t="shared" si="21"/>
        <v>5.7232546351409518E-5</v>
      </c>
      <c r="G12" s="8">
        <f t="shared" si="22"/>
        <v>0.55145943099014372</v>
      </c>
      <c r="H12" s="8">
        <v>0.74099999999999999</v>
      </c>
      <c r="I12" s="9">
        <f t="shared" si="0"/>
        <v>-0.13018179202067184</v>
      </c>
      <c r="J12" s="9">
        <v>0.1</v>
      </c>
      <c r="K12" s="9">
        <f t="shared" si="1"/>
        <v>1.7587854379392937E-2</v>
      </c>
      <c r="L12" s="8">
        <f t="shared" si="2"/>
        <v>-5.4472515367441909E-3</v>
      </c>
      <c r="M12" s="8">
        <f t="shared" si="3"/>
        <v>0.98753557238599765</v>
      </c>
      <c r="N12" s="8">
        <v>4.7000000000000003E-10</v>
      </c>
      <c r="O12" s="8">
        <f t="shared" si="4"/>
        <v>1.8960641379598862E-13</v>
      </c>
      <c r="P12" s="8">
        <f t="shared" si="23"/>
        <v>0.45413053245142315</v>
      </c>
      <c r="Q12" s="8">
        <f t="shared" si="24"/>
        <v>2395122207944.1646</v>
      </c>
      <c r="R12" s="8">
        <f t="shared" si="25"/>
        <v>6.6062388047089868</v>
      </c>
      <c r="S12" s="8">
        <f t="shared" si="26"/>
        <v>2.5029783286733387E-7</v>
      </c>
      <c r="T12" s="8">
        <f t="shared" si="5"/>
        <v>2.143828301934283E-6</v>
      </c>
      <c r="U12" s="8">
        <f t="shared" si="6"/>
        <v>1.8228126154294134E-6</v>
      </c>
      <c r="V12" s="8">
        <f t="shared" si="7"/>
        <v>5.1778335816094829</v>
      </c>
      <c r="W12" s="8">
        <v>50</v>
      </c>
      <c r="X12" s="8">
        <f t="shared" si="8"/>
        <v>1.3862943611198907E-2</v>
      </c>
      <c r="Y12" s="8">
        <f t="shared" si="27"/>
        <v>1.3862943611198907E-2</v>
      </c>
      <c r="Z12" s="8">
        <f t="shared" si="28"/>
        <v>1.2013230881763797</v>
      </c>
      <c r="AA12" s="8">
        <f t="shared" si="29"/>
        <v>1.534951408494753E-9</v>
      </c>
      <c r="AB12" s="8">
        <f t="shared" si="30"/>
        <v>7.927236207984055E-2</v>
      </c>
      <c r="AC12" s="8">
        <f t="shared" si="31"/>
        <v>1.2944583954023707</v>
      </c>
      <c r="AD12" s="8">
        <v>4.4000000000000004</v>
      </c>
      <c r="AE12" s="8">
        <f t="shared" si="9"/>
        <v>0.15753345012726028</v>
      </c>
      <c r="AF12" s="19">
        <f t="shared" si="10"/>
        <v>0.8801852080188094</v>
      </c>
      <c r="AG12" s="19">
        <f t="shared" si="11"/>
        <v>0.3487745029994257</v>
      </c>
      <c r="AH12" s="19">
        <f t="shared" si="12"/>
        <v>0.81812504948137188</v>
      </c>
      <c r="AI12" s="19">
        <f t="shared" si="13"/>
        <v>4314859572006.105</v>
      </c>
      <c r="AJ12" s="19">
        <f t="shared" si="14"/>
        <v>0.85026054268654294</v>
      </c>
      <c r="AK12" s="16">
        <v>7</v>
      </c>
      <c r="AL12" s="20">
        <f t="shared" si="32"/>
        <v>0.46295376279002304</v>
      </c>
      <c r="AM12" s="19">
        <f t="shared" si="15"/>
        <v>0.40748505400442703</v>
      </c>
      <c r="AN12" s="19">
        <f t="shared" si="16"/>
        <v>0.16146646852880431</v>
      </c>
      <c r="AO12" s="19">
        <f t="shared" si="17"/>
        <v>3.4515218926647241E-5</v>
      </c>
      <c r="AP12" s="19"/>
      <c r="AQ12" s="19">
        <f t="shared" si="18"/>
        <v>49.577348237205292</v>
      </c>
      <c r="AR12" s="19">
        <f t="shared" si="19"/>
        <v>0.63913810459318376</v>
      </c>
      <c r="AS12" s="19">
        <f t="shared" si="20"/>
        <v>3.4515218926647243E-7</v>
      </c>
    </row>
    <row r="13" spans="1:45">
      <c r="C13" s="8"/>
    </row>
    <row r="14" spans="1:45">
      <c r="C14" s="8"/>
    </row>
    <row r="15" spans="1:45">
      <c r="C15" s="8"/>
    </row>
    <row r="16" spans="1:45">
      <c r="C16" s="8"/>
    </row>
    <row r="17" spans="3:3">
      <c r="C17" s="8"/>
    </row>
    <row r="18" spans="3:3">
      <c r="C18" s="8"/>
    </row>
    <row r="19" spans="3:3">
      <c r="C19" s="8"/>
    </row>
    <row r="20" spans="3:3">
      <c r="C20" s="8"/>
    </row>
  </sheetData>
  <mergeCells count="43">
    <mergeCell ref="AL1:AO1"/>
    <mergeCell ref="AQ1:AS1"/>
    <mergeCell ref="C3:C5"/>
    <mergeCell ref="D3:D5"/>
    <mergeCell ref="E3:E5"/>
    <mergeCell ref="F3:F5"/>
    <mergeCell ref="G3:G5"/>
    <mergeCell ref="S3:S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E3:AE5"/>
    <mergeCell ref="AS3:AS5"/>
    <mergeCell ref="AL3:AL5"/>
    <mergeCell ref="AM3:AM5"/>
    <mergeCell ref="AG3:AG5"/>
    <mergeCell ref="AH3:AH5"/>
    <mergeCell ref="AI3:AI5"/>
    <mergeCell ref="AJ3:AJ5"/>
    <mergeCell ref="AN3:AN5"/>
    <mergeCell ref="AO3:AO5"/>
    <mergeCell ref="AP3:AP5"/>
    <mergeCell ref="AQ3:AQ5"/>
    <mergeCell ref="AR3:AR5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EBD3-C67F-4FF5-AB5F-D1CD072F6D88}">
  <dimension ref="A1:AV20"/>
  <sheetViews>
    <sheetView topLeftCell="P1" workbookViewId="0">
      <selection activeCell="P2" sqref="P2"/>
    </sheetView>
  </sheetViews>
  <sheetFormatPr defaultColWidth="9.1796875" defaultRowHeight="10.5"/>
  <cols>
    <col min="1" max="1" width="15.54296875" style="5" customWidth="1"/>
    <col min="2" max="2" width="16.7265625" style="6" customWidth="1"/>
    <col min="3" max="4" width="14.453125" style="6" customWidth="1"/>
    <col min="5" max="5" width="9.1796875" style="6"/>
    <col min="6" max="6" width="9.7265625" style="8" bestFit="1" customWidth="1"/>
    <col min="7" max="7" width="9.7265625" style="8" customWidth="1"/>
    <col min="8" max="8" width="9.1796875" style="8"/>
    <col min="9" max="9" width="9.1796875" style="9"/>
    <col min="10" max="11" width="10.7265625" style="9" customWidth="1"/>
    <col min="12" max="13" width="9.1796875" style="8"/>
    <col min="14" max="14" width="10.7265625" style="8" bestFit="1" customWidth="1"/>
    <col min="15" max="17" width="10.7265625" style="8" customWidth="1"/>
    <col min="18" max="34" width="9.1796875" style="8"/>
    <col min="35" max="38" width="9.1796875" style="14"/>
    <col min="39" max="39" width="9.1796875" style="19"/>
    <col min="40" max="16384" width="9.1796875" style="14"/>
  </cols>
  <sheetData>
    <row r="1" spans="1:48" s="2" customFormat="1" ht="31.5">
      <c r="F1" s="3"/>
      <c r="G1" s="3"/>
      <c r="I1" s="4"/>
      <c r="J1" s="4"/>
      <c r="K1" s="4"/>
      <c r="P1" s="2" t="s">
        <v>88</v>
      </c>
      <c r="Y1" s="2" t="s">
        <v>67</v>
      </c>
      <c r="Z1" s="2" t="s">
        <v>68</v>
      </c>
      <c r="AA1" s="2" t="s">
        <v>69</v>
      </c>
      <c r="AF1" s="2" t="s">
        <v>87</v>
      </c>
      <c r="AG1" s="2" t="s">
        <v>47</v>
      </c>
      <c r="AI1" s="2" t="s">
        <v>31</v>
      </c>
      <c r="AJ1" s="2" t="s">
        <v>32</v>
      </c>
      <c r="AM1" s="3"/>
      <c r="AN1" s="2" t="s">
        <v>40</v>
      </c>
      <c r="AO1" s="36" t="s">
        <v>39</v>
      </c>
      <c r="AP1" s="37"/>
      <c r="AQ1" s="37"/>
      <c r="AR1" s="38"/>
      <c r="AT1" s="33" t="s">
        <v>58</v>
      </c>
      <c r="AU1" s="33"/>
      <c r="AV1" s="33"/>
    </row>
    <row r="2" spans="1:48" ht="25">
      <c r="A2" s="5" t="s">
        <v>0</v>
      </c>
      <c r="B2" s="6" t="s">
        <v>1</v>
      </c>
      <c r="C2" s="2" t="s">
        <v>71</v>
      </c>
      <c r="D2" s="2" t="s">
        <v>72</v>
      </c>
      <c r="E2" s="7" t="s">
        <v>2</v>
      </c>
      <c r="F2" s="8" t="s">
        <v>18</v>
      </c>
      <c r="G2" s="8" t="s">
        <v>73</v>
      </c>
      <c r="H2" s="8" t="s">
        <v>3</v>
      </c>
      <c r="I2" s="9" t="s">
        <v>4</v>
      </c>
      <c r="J2" s="10" t="s">
        <v>59</v>
      </c>
      <c r="K2" s="10" t="s">
        <v>17</v>
      </c>
      <c r="L2" s="11" t="s">
        <v>5</v>
      </c>
      <c r="M2" s="12" t="s">
        <v>6</v>
      </c>
      <c r="N2" s="13" t="s">
        <v>7</v>
      </c>
      <c r="O2" s="13" t="s">
        <v>8</v>
      </c>
      <c r="P2" s="13" t="s">
        <v>9</v>
      </c>
      <c r="Q2" s="13" t="s">
        <v>38</v>
      </c>
      <c r="R2" s="13" t="s">
        <v>23</v>
      </c>
      <c r="S2" s="13" t="s">
        <v>24</v>
      </c>
      <c r="T2" s="13" t="s">
        <v>20</v>
      </c>
      <c r="U2" s="13" t="s">
        <v>25</v>
      </c>
      <c r="V2" s="13" t="s">
        <v>26</v>
      </c>
      <c r="W2" s="13" t="s">
        <v>43</v>
      </c>
      <c r="X2" s="13" t="s">
        <v>37</v>
      </c>
      <c r="Y2" s="13"/>
      <c r="Z2" s="13"/>
      <c r="AA2" s="13"/>
      <c r="AB2" s="13" t="s">
        <v>36</v>
      </c>
      <c r="AC2" s="13" t="s">
        <v>33</v>
      </c>
      <c r="AD2" s="13" t="s">
        <v>34</v>
      </c>
      <c r="AE2" s="13" t="s">
        <v>35</v>
      </c>
      <c r="AF2" s="13" t="s">
        <v>27</v>
      </c>
      <c r="AG2" s="13"/>
      <c r="AH2" s="13" t="s">
        <v>28</v>
      </c>
      <c r="AI2" s="13" t="s">
        <v>29</v>
      </c>
      <c r="AJ2" s="13" t="s">
        <v>30</v>
      </c>
      <c r="AK2" s="13" t="s">
        <v>15</v>
      </c>
      <c r="AL2" s="13" t="s">
        <v>16</v>
      </c>
      <c r="AM2" s="13" t="s">
        <v>21</v>
      </c>
      <c r="AO2" s="14" t="s">
        <v>60</v>
      </c>
      <c r="AP2" s="14" t="s">
        <v>74</v>
      </c>
      <c r="AQ2" s="14" t="s">
        <v>75</v>
      </c>
      <c r="AR2" s="14" t="s">
        <v>76</v>
      </c>
      <c r="AT2" s="14" t="s">
        <v>77</v>
      </c>
      <c r="AU2" s="14" t="s">
        <v>78</v>
      </c>
      <c r="AV2" s="14" t="s">
        <v>79</v>
      </c>
    </row>
    <row r="3" spans="1:48">
      <c r="A3" s="15"/>
      <c r="B3" s="16"/>
      <c r="C3" s="32"/>
      <c r="D3" s="32"/>
      <c r="E3" s="34" t="s">
        <v>10</v>
      </c>
      <c r="F3" s="32" t="s">
        <v>19</v>
      </c>
      <c r="G3" s="32" t="s">
        <v>19</v>
      </c>
      <c r="H3" s="32" t="s">
        <v>11</v>
      </c>
      <c r="I3" s="35"/>
      <c r="J3" s="35" t="s">
        <v>11</v>
      </c>
      <c r="K3" s="32"/>
      <c r="L3" s="32"/>
      <c r="M3" s="32" t="s">
        <v>12</v>
      </c>
      <c r="N3" s="32" t="s">
        <v>13</v>
      </c>
      <c r="O3" s="32"/>
      <c r="P3" s="32" t="s">
        <v>12</v>
      </c>
      <c r="Q3" s="32"/>
      <c r="R3" s="32" t="s">
        <v>14</v>
      </c>
      <c r="S3" s="32" t="s">
        <v>14</v>
      </c>
      <c r="T3" s="32" t="s">
        <v>14</v>
      </c>
      <c r="U3" s="32" t="s">
        <v>14</v>
      </c>
      <c r="V3" s="32" t="s">
        <v>14</v>
      </c>
      <c r="W3" s="32" t="s">
        <v>44</v>
      </c>
      <c r="X3" s="32" t="s">
        <v>14</v>
      </c>
      <c r="Y3" s="17"/>
      <c r="Z3" s="17"/>
      <c r="AA3" s="17"/>
      <c r="AB3" s="32" t="s">
        <v>14</v>
      </c>
      <c r="AC3" s="32" t="s">
        <v>14</v>
      </c>
      <c r="AD3" s="32" t="s">
        <v>14</v>
      </c>
      <c r="AE3" s="32" t="s">
        <v>14</v>
      </c>
      <c r="AF3" s="32" t="s">
        <v>14</v>
      </c>
      <c r="AG3" s="17"/>
      <c r="AH3" s="32" t="s">
        <v>14</v>
      </c>
      <c r="AI3" s="32" t="s">
        <v>12</v>
      </c>
      <c r="AJ3" s="32" t="s">
        <v>12</v>
      </c>
      <c r="AK3" s="32" t="s">
        <v>12</v>
      </c>
      <c r="AL3" s="32" t="s">
        <v>12</v>
      </c>
      <c r="AM3" s="32" t="s">
        <v>11</v>
      </c>
      <c r="AO3" s="32" t="s">
        <v>22</v>
      </c>
      <c r="AP3" s="32" t="s">
        <v>22</v>
      </c>
      <c r="AQ3" s="32" t="s">
        <v>22</v>
      </c>
      <c r="AR3" s="32" t="s">
        <v>22</v>
      </c>
      <c r="AS3" s="32"/>
      <c r="AT3" s="32"/>
      <c r="AU3" s="32"/>
      <c r="AV3" s="32"/>
    </row>
    <row r="4" spans="1:48">
      <c r="A4" s="15"/>
      <c r="B4" s="16"/>
      <c r="C4" s="32"/>
      <c r="D4" s="32"/>
      <c r="E4" s="34"/>
      <c r="F4" s="32"/>
      <c r="G4" s="32"/>
      <c r="H4" s="32"/>
      <c r="I4" s="35"/>
      <c r="J4" s="35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17"/>
      <c r="Z4" s="17"/>
      <c r="AA4" s="17"/>
      <c r="AB4" s="32"/>
      <c r="AC4" s="32"/>
      <c r="AD4" s="32"/>
      <c r="AE4" s="32"/>
      <c r="AF4" s="32"/>
      <c r="AG4" s="17"/>
      <c r="AH4" s="32"/>
      <c r="AI4" s="32"/>
      <c r="AJ4" s="32"/>
      <c r="AK4" s="32"/>
      <c r="AL4" s="32"/>
      <c r="AM4" s="32"/>
      <c r="AO4" s="32"/>
      <c r="AP4" s="32"/>
      <c r="AQ4" s="32"/>
      <c r="AR4" s="32"/>
      <c r="AS4" s="32"/>
      <c r="AT4" s="32"/>
      <c r="AU4" s="32"/>
      <c r="AV4" s="32"/>
    </row>
    <row r="5" spans="1:48">
      <c r="A5" s="18"/>
      <c r="B5" s="16"/>
      <c r="C5" s="32"/>
      <c r="D5" s="32"/>
      <c r="E5" s="34"/>
      <c r="F5" s="32"/>
      <c r="G5" s="32"/>
      <c r="H5" s="32"/>
      <c r="I5" s="35"/>
      <c r="J5" s="35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17"/>
      <c r="Z5" s="17"/>
      <c r="AA5" s="17"/>
      <c r="AB5" s="32"/>
      <c r="AC5" s="32"/>
      <c r="AD5" s="32"/>
      <c r="AE5" s="32"/>
      <c r="AF5" s="32"/>
      <c r="AG5" s="17"/>
      <c r="AH5" s="32"/>
      <c r="AI5" s="32"/>
      <c r="AJ5" s="32"/>
      <c r="AK5" s="32"/>
      <c r="AL5" s="32"/>
      <c r="AM5" s="32"/>
      <c r="AO5" s="32"/>
      <c r="AP5" s="32"/>
      <c r="AQ5" s="32"/>
      <c r="AR5" s="32"/>
      <c r="AS5" s="32"/>
      <c r="AT5" s="32"/>
      <c r="AU5" s="32"/>
      <c r="AV5" s="32"/>
    </row>
    <row r="6" spans="1:48">
      <c r="A6" s="5" t="s">
        <v>42</v>
      </c>
      <c r="B6" s="6" t="s">
        <v>41</v>
      </c>
      <c r="C6" s="8">
        <v>8.09E-3</v>
      </c>
      <c r="D6" s="2">
        <v>9</v>
      </c>
      <c r="E6" s="6">
        <v>222.67</v>
      </c>
      <c r="F6" s="8">
        <f>0.0001728*((32)^0.5)/((E6)^0.5)</f>
        <v>6.550702444732426E-5</v>
      </c>
      <c r="G6" s="8">
        <f>2.22*((18)^0.5)/((E6)^0.5)</f>
        <v>0.63118747514348883</v>
      </c>
      <c r="H6" s="8">
        <v>6.31</v>
      </c>
      <c r="I6" s="9">
        <f t="shared" ref="I6:I12" si="0">LOG10(H6)</f>
        <v>0.80002935924413432</v>
      </c>
      <c r="J6" s="9">
        <v>0.2</v>
      </c>
      <c r="K6" s="9">
        <f t="shared" ref="K6:K12" si="1">0.7*EXP(0-((I6-3.07)^2)/2.78)</f>
        <v>0.10968001039674864</v>
      </c>
      <c r="L6" s="8">
        <f t="shared" ref="L6:L12" si="2">0.81*I6+0.1</f>
        <v>0.7480237809877488</v>
      </c>
      <c r="M6" s="8">
        <f t="shared" ref="M6:M12" si="3">10^L6</f>
        <v>5.5978825339993774</v>
      </c>
      <c r="N6" s="8">
        <v>5.2999999999999998E-8</v>
      </c>
      <c r="O6" s="8">
        <f t="shared" ref="O6:O12" si="4">N6/(8.314*298.15)</f>
        <v>2.1381148789760417E-11</v>
      </c>
      <c r="P6" s="8">
        <f>(0.023*1.6*M6+0.35+0.12*O6)/1.5</f>
        <v>0.37066805150249521</v>
      </c>
      <c r="Q6" s="8">
        <f>P6/O6</f>
        <v>17336208411.776768</v>
      </c>
      <c r="R6" s="8">
        <f>(0.0938*K6/P6)*(2500000*(31.145-0.1*298.15)/((298.15-33.85)^2)+610.78*(1-50/100))*EXP(17.2*(298.15-273.15)/(298.15-35.85))</f>
        <v>50.473618064663583</v>
      </c>
      <c r="S6" s="8">
        <f>86.4/(0.0002*0.4*AL6)</f>
        <v>2.4600404898327982E-5</v>
      </c>
      <c r="T6" s="8">
        <f t="shared" ref="T6:T12" si="5">10^(0-0.011*E6-2.46)</f>
        <v>1.2320547289553744E-5</v>
      </c>
      <c r="U6" s="8">
        <f t="shared" ref="U6:U12" si="6">T6*AM6</f>
        <v>8.5282268239442446E-5</v>
      </c>
      <c r="V6" s="8">
        <f t="shared" ref="V6:V12" si="7">4*AF6</f>
        <v>23.18592186382234</v>
      </c>
      <c r="W6" s="8">
        <v>1.6</v>
      </c>
      <c r="X6" s="8">
        <f t="shared" ref="X6:X12" si="8">LN(2)/W6</f>
        <v>0.43321698784996576</v>
      </c>
      <c r="Y6" s="8">
        <v>313.14999999999998</v>
      </c>
      <c r="Z6" s="8">
        <v>10</v>
      </c>
      <c r="AA6" s="8">
        <v>2.7000000000000001E-3</v>
      </c>
      <c r="AB6" s="8">
        <f>X6*EXP((60/8.314)*(1/298.15-1/(0.9*Y6+31.145)))</f>
        <v>0.43371413566247335</v>
      </c>
      <c r="AC6" s="8">
        <f>(0.0025*3*0.01)*(2500000*(31.145-0.1*Y6)/((Y6-33.85)^2)+610.78*(1-Z6/100))*EXP(17.2*(Y6-273.15)/(Y6-35.85))*3*0.001/(0.01*0.05*1.5*P6)</f>
        <v>5.2656443909889949</v>
      </c>
      <c r="AD6" s="8">
        <f>(G6/(Q6*1.5*0.0001))*((Y6/293.15)^1.75)*EXP(60.528-0.7*LN((H6/O6))-19091/(0.9*Y6+31.145)+0.03*Z6)</f>
        <v>2.1510834501264942E-15</v>
      </c>
      <c r="AE6" s="8">
        <f>AA6/(0.05*1.5*P6)</f>
        <v>9.7121939304115237E-2</v>
      </c>
      <c r="AF6" s="8">
        <f>SUM(AB6:AE6)</f>
        <v>5.7964804659555851</v>
      </c>
      <c r="AG6" s="8">
        <v>6.2</v>
      </c>
      <c r="AH6" s="8">
        <f t="shared" ref="AH6:AH12" si="9">LN(2)/AG6</f>
        <v>0.11179793234837827</v>
      </c>
      <c r="AI6" s="19">
        <f t="shared" ref="AI6:AI12" si="10">(0.7+J6*0.3+1.22*0*(H6^0.77))/(0.8+J6*0.1+1.22*0.02*(H6^0.77))</f>
        <v>0.82537925053495764</v>
      </c>
      <c r="AJ6" s="19">
        <f t="shared" ref="AJ6:AJ12" si="11">(0.13+J6*0.75+1.22*0.087*(H6^0.77))/(0.8+J6*0.1+1.22*0.02*(H6^0.77))</f>
        <v>0.780234741436308</v>
      </c>
      <c r="AK6" s="19">
        <f t="shared" ref="AK6:AK12" si="12">0.8+(1/0.83)*0.02*(H6^0.95)</f>
        <v>0.93866913119428863</v>
      </c>
      <c r="AL6" s="19">
        <f t="shared" ref="AL6:AL12" si="13">AK6/O6</f>
        <v>43901716433.675629</v>
      </c>
      <c r="AM6" s="19">
        <f t="shared" ref="AM6:AM12" si="14">10^(0.979*I6+0.057)</f>
        <v>6.9219545394506099</v>
      </c>
      <c r="AN6" s="16">
        <v>7</v>
      </c>
      <c r="AO6" s="20">
        <f t="shared" ref="AO6:AO12" si="15">(0.223*100/(1.5*0.05*1000))*(R6/(S6+AH6+0.035-AF6))*(EXP(0-AF6*AN6)-EXP(0-(S6+AH6+0.035)*AN6))+(0.612*100/(3*0.1*(1/0.2)*1000))*(U6/(S6+AH6+0.035-V6))*(EXP(0-V6*AN6)-EXP(0-(S6+AH6+0.035)*AN6))</f>
        <v>0.95046558705758855</v>
      </c>
      <c r="AP6" s="19">
        <f t="shared" ref="AP6:AP12" si="16">(AI6*0.223*100/(1.5*0.05*1000))*(R6/(S6+AH6+0.035-AF6))*(EXP(0-AF6*AN6)-EXP(0-(S6+AH6+0.035)*AN6))+(AI6*0.612*100/(3*0.1*(1/0.2)*1000))*(U6/(S6+AH6+0.035-V6))*(EXP(0-V6*AN6)-EXP(0-(S6+AH6+0.035)*AN6))</f>
        <v>0.78449457390486088</v>
      </c>
      <c r="AQ6" s="19">
        <f t="shared" ref="AQ6:AQ12" si="17">(AJ6*0.223*100/(1.5*0.05*1000))*(R6/(S6+AH6+0.035-AF6))*(EXP(0-AF6*AN6)-EXP(0-(S6+AH6+0.035)*AN6))+(AJ6*0.612*100/(3*0.1*(1/0.2)*1000))*(U6/(S6+AH6+0.035-V6))*(EXP(0-V6*AN6)-EXP(0-(S6+AH6+0.035)*AN6))</f>
        <v>0.74158627156198642</v>
      </c>
      <c r="AR6" s="19">
        <f t="shared" ref="AR6:AR12" si="18">(0.223*100/(1.5*0.05*1000))*EXP(0-AF6*AN6)</f>
        <v>7.1053787675457071E-19</v>
      </c>
      <c r="AS6" s="19"/>
      <c r="AT6" s="19">
        <f t="shared" ref="AT6:AT12" si="19">AP6*0.000292/(C6/10)</f>
        <v>0.2831550254390845</v>
      </c>
      <c r="AU6" s="19">
        <f t="shared" ref="AU6:AU12" si="20">AQ6*0.0000095/(C6/10)</f>
        <v>8.7083678366364284E-3</v>
      </c>
      <c r="AV6" s="19">
        <f t="shared" ref="AV6:AV12" si="21">AR6/(D6/10)</f>
        <v>7.8948652972730075E-19</v>
      </c>
    </row>
    <row r="7" spans="1:48">
      <c r="A7" s="5" t="s">
        <v>46</v>
      </c>
      <c r="B7" s="6" t="s">
        <v>45</v>
      </c>
      <c r="C7" s="8">
        <v>4.3999999999999999E-5</v>
      </c>
      <c r="D7" s="2">
        <v>13.21</v>
      </c>
      <c r="E7" s="6">
        <v>249.7</v>
      </c>
      <c r="F7" s="8">
        <f t="shared" ref="F7:F12" si="22">0.0001728*((32)^0.5)/((E7)^0.5)</f>
        <v>6.1859934544114761E-5</v>
      </c>
      <c r="G7" s="8">
        <f t="shared" ref="G7:G12" si="23">2.22*((18)^0.5)/((E7)^0.5)</f>
        <v>0.59604624430527242</v>
      </c>
      <c r="H7" s="8">
        <v>8.0399999999999991</v>
      </c>
      <c r="I7" s="9">
        <f t="shared" si="0"/>
        <v>0.90525604874845123</v>
      </c>
      <c r="J7" s="9">
        <v>0.2</v>
      </c>
      <c r="K7" s="9">
        <f t="shared" si="1"/>
        <v>0.12972631511648189</v>
      </c>
      <c r="L7" s="8">
        <f t="shared" si="2"/>
        <v>0.83325739948624555</v>
      </c>
      <c r="M7" s="8">
        <f t="shared" si="3"/>
        <v>6.811729595421931</v>
      </c>
      <c r="N7" s="8">
        <v>2.9E-11</v>
      </c>
      <c r="O7" s="8">
        <f t="shared" si="4"/>
        <v>1.169911914911419E-14</v>
      </c>
      <c r="P7" s="8">
        <f t="shared" ref="P7:P12" si="24">(0.023*1.6*M7+0.35+0.12*O7)/1.5</f>
        <v>0.40044776607435234</v>
      </c>
      <c r="Q7" s="8">
        <f t="shared" ref="Q7:Q12" si="25">P7/O7</f>
        <v>34228881761980.57</v>
      </c>
      <c r="R7" s="8">
        <f t="shared" ref="R7:R12" si="26">(0.0938*K7/P7)*(2500000*(31.145-0.1*298.15)/((298.15-33.85)^2)+610.78*(1-50/100))*EXP(17.2*(298.15-273.15)/(298.15-35.85))</f>
        <v>55.25916472869411</v>
      </c>
      <c r="S7" s="8">
        <f t="shared" ref="S7:S12" si="27">86.4/(0.0002*0.4*AL7)</f>
        <v>1.296487287738064E-8</v>
      </c>
      <c r="T7" s="8">
        <f t="shared" si="5"/>
        <v>6.2129806352934899E-6</v>
      </c>
      <c r="U7" s="8">
        <f t="shared" si="6"/>
        <v>5.4518722621634414E-5</v>
      </c>
      <c r="V7" s="8">
        <f t="shared" si="7"/>
        <v>19.860927697703278</v>
      </c>
      <c r="W7" s="8">
        <v>545</v>
      </c>
      <c r="X7" s="8">
        <f t="shared" si="8"/>
        <v>1.2718296891008171E-3</v>
      </c>
      <c r="Y7" s="8">
        <v>313.14999999999998</v>
      </c>
      <c r="Z7" s="8">
        <v>10</v>
      </c>
      <c r="AA7" s="8">
        <v>2.7000000000000001E-3</v>
      </c>
      <c r="AB7" s="8">
        <f t="shared" ref="AB7:AB12" si="28">X7*EXP((60/8.314)*(1/298.15-1/(0.9*Y7+31.145)))</f>
        <v>1.2732892056146008E-3</v>
      </c>
      <c r="AC7" s="8">
        <f t="shared" ref="AC7:AC12" si="29">(0.0025*3*0.01)*(2500000*(31.145-0.1*Y7)/((Y7-33.85)^2)+610.78*(1-Z7/100))*EXP(17.2*(Y7-273.15)/(Y7-35.85))*3*0.001/(0.01*0.05*1.5*P7)</f>
        <v>4.8740592698188161</v>
      </c>
      <c r="AD7" s="8">
        <f t="shared" ref="AD7:AD12" si="30">G7/(Q7*1.5*0.0001)</f>
        <v>1.1609031391482685E-10</v>
      </c>
      <c r="AE7" s="8">
        <f t="shared" ref="AE7:AE12" si="31">AA7/(0.05*1.5*P7)</f>
        <v>8.9899365285298571E-2</v>
      </c>
      <c r="AF7" s="8">
        <f t="shared" ref="AF7:AF12" si="32">SUM(AB7:AE7)</f>
        <v>4.9652319244258196</v>
      </c>
      <c r="AG7" s="8">
        <v>16.600000000000001</v>
      </c>
      <c r="AH7" s="8">
        <f t="shared" si="9"/>
        <v>4.1755854250599113E-2</v>
      </c>
      <c r="AI7" s="19">
        <f t="shared" si="10"/>
        <v>0.80725592490246267</v>
      </c>
      <c r="AJ7" s="19">
        <f t="shared" si="11"/>
        <v>0.85861812479684874</v>
      </c>
      <c r="AK7" s="19">
        <f t="shared" si="12"/>
        <v>0.97456016734936535</v>
      </c>
      <c r="AL7" s="19">
        <f t="shared" si="13"/>
        <v>83302012307751.828</v>
      </c>
      <c r="AM7" s="19">
        <f t="shared" si="14"/>
        <v>8.7749706335691879</v>
      </c>
      <c r="AN7" s="16">
        <v>7</v>
      </c>
      <c r="AO7" s="20">
        <f t="shared" si="15"/>
        <v>1.9639566193553792</v>
      </c>
      <c r="AP7" s="19">
        <f t="shared" si="16"/>
        <v>1.5854156172260403</v>
      </c>
      <c r="AQ7" s="19">
        <f t="shared" si="17"/>
        <v>1.6862887496932744</v>
      </c>
      <c r="AR7" s="19">
        <f t="shared" si="18"/>
        <v>2.3912986387143831E-16</v>
      </c>
      <c r="AS7" s="19"/>
      <c r="AT7" s="19">
        <f t="shared" si="19"/>
        <v>105.21394550681903</v>
      </c>
      <c r="AU7" s="19">
        <f t="shared" si="20"/>
        <v>3.640850709565024</v>
      </c>
      <c r="AV7" s="19">
        <f t="shared" si="21"/>
        <v>1.8102185001622883E-16</v>
      </c>
    </row>
    <row r="8" spans="1:48">
      <c r="A8" s="5" t="s">
        <v>49</v>
      </c>
      <c r="B8" s="6" t="s">
        <v>48</v>
      </c>
      <c r="C8" s="8">
        <v>2.3E-5</v>
      </c>
      <c r="D8" s="2">
        <v>4.9000000000000004</v>
      </c>
      <c r="E8" s="6">
        <v>202.21</v>
      </c>
      <c r="F8" s="8">
        <f t="shared" si="22"/>
        <v>6.8741248032381578E-5</v>
      </c>
      <c r="G8" s="8">
        <f t="shared" si="23"/>
        <v>0.66235056697867667</v>
      </c>
      <c r="H8" s="8">
        <v>0.28199999999999997</v>
      </c>
      <c r="I8" s="9">
        <f t="shared" si="0"/>
        <v>-0.54975089168063895</v>
      </c>
      <c r="J8" s="9">
        <v>0.1</v>
      </c>
      <c r="K8" s="9">
        <f t="shared" si="1"/>
        <v>6.2834306929133643E-3</v>
      </c>
      <c r="L8" s="8">
        <f t="shared" si="2"/>
        <v>-0.34529822226131757</v>
      </c>
      <c r="M8" s="8">
        <f t="shared" si="3"/>
        <v>0.45154576947905839</v>
      </c>
      <c r="N8" s="8">
        <v>8.7000000000000001E-9</v>
      </c>
      <c r="O8" s="8">
        <f t="shared" si="4"/>
        <v>3.5097357447342574E-12</v>
      </c>
      <c r="P8" s="8">
        <f t="shared" si="24"/>
        <v>0.24441125621150031</v>
      </c>
      <c r="Q8" s="8">
        <f t="shared" si="25"/>
        <v>69638079327.823044</v>
      </c>
      <c r="R8" s="8">
        <f t="shared" si="26"/>
        <v>4.3852841080832263</v>
      </c>
      <c r="S8" s="8">
        <f t="shared" si="27"/>
        <v>4.6956524935153604E-6</v>
      </c>
      <c r="T8" s="8">
        <f t="shared" si="5"/>
        <v>2.0686642062977948E-5</v>
      </c>
      <c r="U8" s="8">
        <f t="shared" si="6"/>
        <v>6.830993578024058E-6</v>
      </c>
      <c r="V8" s="8">
        <f t="shared" si="7"/>
        <v>32.566004944623025</v>
      </c>
      <c r="W8" s="8">
        <v>82</v>
      </c>
      <c r="X8" s="8">
        <f t="shared" si="8"/>
        <v>8.4530143970725034E-3</v>
      </c>
      <c r="Y8" s="8">
        <v>313.14999999999998</v>
      </c>
      <c r="Z8" s="8">
        <v>10</v>
      </c>
      <c r="AA8" s="8">
        <v>2.7000000000000001E-3</v>
      </c>
      <c r="AB8" s="8">
        <f t="shared" si="28"/>
        <v>8.4627148421946019E-3</v>
      </c>
      <c r="AC8" s="8">
        <f t="shared" si="29"/>
        <v>7.9857457326922221</v>
      </c>
      <c r="AD8" s="8">
        <f t="shared" si="30"/>
        <v>6.340884885319179E-8</v>
      </c>
      <c r="AE8" s="8">
        <f t="shared" si="31"/>
        <v>0.14729272521248998</v>
      </c>
      <c r="AF8" s="8">
        <f t="shared" si="32"/>
        <v>8.1415012361557562</v>
      </c>
      <c r="AG8" s="8">
        <v>6.8</v>
      </c>
      <c r="AH8" s="8">
        <f t="shared" si="9"/>
        <v>0.10193340890587431</v>
      </c>
      <c r="AI8" s="19">
        <f t="shared" si="10"/>
        <v>0.89110650857521279</v>
      </c>
      <c r="AJ8" s="19">
        <f t="shared" si="11"/>
        <v>0.29912746752487146</v>
      </c>
      <c r="AK8" s="19">
        <f t="shared" si="12"/>
        <v>0.80723916634539128</v>
      </c>
      <c r="AL8" s="19">
        <f t="shared" si="13"/>
        <v>229999984345.40607</v>
      </c>
      <c r="AM8" s="19">
        <f t="shared" si="14"/>
        <v>0.33021277968787466</v>
      </c>
      <c r="AN8" s="16">
        <v>7</v>
      </c>
      <c r="AO8" s="20">
        <f t="shared" si="15"/>
        <v>6.2460215925384359E-2</v>
      </c>
      <c r="AP8" s="19">
        <f t="shared" si="16"/>
        <v>5.5658704938123152E-2</v>
      </c>
      <c r="AQ8" s="19">
        <f t="shared" si="17"/>
        <v>1.8683566210816866E-2</v>
      </c>
      <c r="AR8" s="19">
        <f t="shared" si="18"/>
        <v>5.2793465452222825E-26</v>
      </c>
      <c r="AS8" s="19"/>
      <c r="AT8" s="19">
        <f t="shared" si="19"/>
        <v>7.0662355834486785</v>
      </c>
      <c r="AU8" s="19">
        <f t="shared" si="20"/>
        <v>7.7171251740330543E-2</v>
      </c>
      <c r="AV8" s="19">
        <f t="shared" si="21"/>
        <v>1.0774176622902617E-25</v>
      </c>
    </row>
    <row r="9" spans="1:48">
      <c r="A9" s="5" t="s">
        <v>51</v>
      </c>
      <c r="B9" s="6" t="s">
        <v>50</v>
      </c>
      <c r="C9" s="8">
        <v>0.1</v>
      </c>
      <c r="D9" s="2">
        <v>1000</v>
      </c>
      <c r="E9" s="6">
        <v>229.16</v>
      </c>
      <c r="F9" s="8">
        <f>0.0001728*((32)^0.5)/((E9)^0.5)</f>
        <v>6.4572755671446795E-5</v>
      </c>
      <c r="G9" s="8">
        <f t="shared" si="23"/>
        <v>0.622185406209253</v>
      </c>
      <c r="H9" s="8">
        <v>0.57499999999999996</v>
      </c>
      <c r="I9" s="9">
        <f t="shared" si="0"/>
        <v>-0.24033215531036956</v>
      </c>
      <c r="J9" s="9">
        <v>0.1</v>
      </c>
      <c r="K9" s="9">
        <f t="shared" si="1"/>
        <v>1.3588803343909051E-2</v>
      </c>
      <c r="L9" s="8">
        <f t="shared" si="2"/>
        <v>-9.4669045801399343E-2</v>
      </c>
      <c r="M9" s="8">
        <f t="shared" si="3"/>
        <v>0.80413868280240575</v>
      </c>
      <c r="N9" s="8">
        <v>4.1999999999999999E-8</v>
      </c>
      <c r="O9" s="8">
        <f t="shared" si="4"/>
        <v>1.6943551871130896E-11</v>
      </c>
      <c r="P9" s="8">
        <f t="shared" si="24"/>
        <v>0.25306153568610784</v>
      </c>
      <c r="Q9" s="8">
        <f t="shared" si="25"/>
        <v>14935565907.953707</v>
      </c>
      <c r="R9" s="8">
        <f t="shared" si="26"/>
        <v>9.1596142402056024</v>
      </c>
      <c r="S9" s="8">
        <f t="shared" si="27"/>
        <v>2.2473647683530496E-5</v>
      </c>
      <c r="T9" s="8">
        <f t="shared" si="5"/>
        <v>1.0452977125021435E-5</v>
      </c>
      <c r="U9" s="8">
        <f t="shared" si="6"/>
        <v>6.933536720531863E-6</v>
      </c>
      <c r="V9" s="8">
        <f t="shared" si="7"/>
        <v>32.31553396868577</v>
      </c>
      <c r="W9" s="8">
        <v>3.1</v>
      </c>
      <c r="X9" s="8">
        <f t="shared" si="8"/>
        <v>0.22359586469675655</v>
      </c>
      <c r="Y9" s="8">
        <v>313.14999999999998</v>
      </c>
      <c r="Z9" s="8">
        <v>10</v>
      </c>
      <c r="AA9" s="8">
        <v>2.7000000000000001E-3</v>
      </c>
      <c r="AB9" s="8">
        <f t="shared" si="28"/>
        <v>0.22385245711611532</v>
      </c>
      <c r="AC9" s="8">
        <f t="shared" si="29"/>
        <v>7.7127728677577956</v>
      </c>
      <c r="AD9" s="8">
        <f t="shared" si="30"/>
        <v>2.7771982217645895E-7</v>
      </c>
      <c r="AE9" s="8">
        <f t="shared" si="31"/>
        <v>0.1422578895777098</v>
      </c>
      <c r="AF9" s="8">
        <f t="shared" si="32"/>
        <v>8.0788834921714425</v>
      </c>
      <c r="AG9" s="8">
        <v>4</v>
      </c>
      <c r="AH9" s="8">
        <f t="shared" si="9"/>
        <v>0.17328679513998632</v>
      </c>
      <c r="AI9" s="19">
        <f t="shared" si="10"/>
        <v>0.88384749860435052</v>
      </c>
      <c r="AJ9" s="19">
        <f t="shared" si="11"/>
        <v>0.33212613134446911</v>
      </c>
      <c r="AK9" s="19">
        <f t="shared" si="12"/>
        <v>0.814244144008343</v>
      </c>
      <c r="AL9" s="19">
        <f t="shared" si="13"/>
        <v>48056284195.976929</v>
      </c>
      <c r="AM9" s="19">
        <f t="shared" si="14"/>
        <v>0.6633073657011036</v>
      </c>
      <c r="AN9" s="16">
        <v>7</v>
      </c>
      <c r="AO9" s="20">
        <f t="shared" si="15"/>
        <v>8.0508440414387789E-2</v>
      </c>
      <c r="AP9" s="19">
        <f t="shared" si="16"/>
        <v>7.115718367679405E-2</v>
      </c>
      <c r="AQ9" s="19">
        <f t="shared" si="17"/>
        <v>2.6738956855407326E-2</v>
      </c>
      <c r="AR9" s="19">
        <f t="shared" si="18"/>
        <v>8.1835540571965763E-26</v>
      </c>
      <c r="AS9" s="19"/>
      <c r="AT9" s="19">
        <f t="shared" si="19"/>
        <v>2.0777897633623859E-3</v>
      </c>
      <c r="AU9" s="19">
        <f t="shared" si="20"/>
        <v>2.5402009012636959E-5</v>
      </c>
      <c r="AV9" s="19">
        <f t="shared" si="21"/>
        <v>8.1835540571965768E-28</v>
      </c>
    </row>
    <row r="10" spans="1:48">
      <c r="A10" s="5" t="s">
        <v>53</v>
      </c>
      <c r="B10" s="6" t="s">
        <v>52</v>
      </c>
      <c r="C10" s="8">
        <v>8.1000000000000004E-5</v>
      </c>
      <c r="D10" s="2">
        <v>10.7</v>
      </c>
      <c r="E10" s="6">
        <v>255.66</v>
      </c>
      <c r="F10" s="8">
        <f t="shared" si="22"/>
        <v>6.1134636602640924E-5</v>
      </c>
      <c r="G10" s="8">
        <f t="shared" si="23"/>
        <v>0.58905769643169636</v>
      </c>
      <c r="H10" s="8">
        <v>3.72</v>
      </c>
      <c r="I10" s="9">
        <f t="shared" si="0"/>
        <v>0.57054293988189753</v>
      </c>
      <c r="J10" s="9">
        <v>0.2</v>
      </c>
      <c r="K10" s="9">
        <f t="shared" si="1"/>
        <v>7.3984476985727632E-2</v>
      </c>
      <c r="L10" s="8">
        <f t="shared" si="2"/>
        <v>0.56213978130433706</v>
      </c>
      <c r="M10" s="8">
        <f t="shared" si="3"/>
        <v>3.6487136492323029</v>
      </c>
      <c r="N10" s="8">
        <v>1.7000000000000001E-10</v>
      </c>
      <c r="O10" s="8">
        <f t="shared" si="4"/>
        <v>6.8581043287910771E-14</v>
      </c>
      <c r="P10" s="8">
        <f t="shared" si="24"/>
        <v>0.32284844152783793</v>
      </c>
      <c r="Q10" s="8">
        <f t="shared" si="25"/>
        <v>4707546372143.751</v>
      </c>
      <c r="R10" s="8">
        <f t="shared" si="26"/>
        <v>39.08985171139615</v>
      </c>
      <c r="S10" s="8">
        <f t="shared" si="27"/>
        <v>8.3792505484451725E-8</v>
      </c>
      <c r="T10" s="8">
        <f t="shared" si="5"/>
        <v>5.342444263934628E-6</v>
      </c>
      <c r="U10" s="8">
        <f t="shared" si="6"/>
        <v>2.2044565239792361E-5</v>
      </c>
      <c r="V10" s="8">
        <f t="shared" si="7"/>
        <v>24.642883360659216</v>
      </c>
      <c r="W10" s="8">
        <v>191</v>
      </c>
      <c r="X10" s="8">
        <f t="shared" si="8"/>
        <v>3.6290428301567817E-3</v>
      </c>
      <c r="Y10" s="8">
        <v>313.14999999999998</v>
      </c>
      <c r="Z10" s="8">
        <v>10</v>
      </c>
      <c r="AA10" s="8">
        <v>2.7000000000000001E-3</v>
      </c>
      <c r="AB10" s="8">
        <f t="shared" si="28"/>
        <v>3.6332074191620808E-3</v>
      </c>
      <c r="AC10" s="8">
        <f t="shared" si="29"/>
        <v>6.0455802018937028</v>
      </c>
      <c r="AD10" s="8">
        <f t="shared" si="30"/>
        <v>8.3420342554295808E-10</v>
      </c>
      <c r="AE10" s="8">
        <f t="shared" si="31"/>
        <v>0.11150743001773437</v>
      </c>
      <c r="AF10" s="8">
        <f t="shared" si="32"/>
        <v>6.1607208401648039</v>
      </c>
      <c r="AG10" s="8">
        <v>4.9000000000000004</v>
      </c>
      <c r="AH10" s="8">
        <f t="shared" si="9"/>
        <v>0.14145860827753984</v>
      </c>
      <c r="AI10" s="19">
        <f t="shared" si="10"/>
        <v>0.85672634033967043</v>
      </c>
      <c r="AJ10" s="19">
        <f t="shared" si="11"/>
        <v>0.64465857803092519</v>
      </c>
      <c r="AK10" s="19">
        <f t="shared" si="12"/>
        <v>0.88393975478734632</v>
      </c>
      <c r="AL10" s="19">
        <f t="shared" si="13"/>
        <v>12888980867154.061</v>
      </c>
      <c r="AM10" s="19">
        <f t="shared" si="14"/>
        <v>4.1263070143022658</v>
      </c>
      <c r="AN10" s="16">
        <v>7</v>
      </c>
      <c r="AO10" s="20">
        <f t="shared" si="15"/>
        <v>0.56474418389419478</v>
      </c>
      <c r="AP10" s="19">
        <f t="shared" si="16"/>
        <v>0.48383121789578737</v>
      </c>
      <c r="AQ10" s="19">
        <f t="shared" si="17"/>
        <v>0.36406718254046688</v>
      </c>
      <c r="AR10" s="19">
        <f t="shared" si="18"/>
        <v>5.5497592234608043E-20</v>
      </c>
      <c r="AS10" s="19"/>
      <c r="AT10" s="19">
        <f t="shared" si="19"/>
        <v>17.441816743897519</v>
      </c>
      <c r="AU10" s="19">
        <f t="shared" si="20"/>
        <v>0.42699237458449824</v>
      </c>
      <c r="AV10" s="19">
        <f t="shared" si="21"/>
        <v>5.1866908630474813E-20</v>
      </c>
    </row>
    <row r="11" spans="1:48">
      <c r="A11" s="5" t="s">
        <v>55</v>
      </c>
      <c r="B11" s="6" t="s">
        <v>54</v>
      </c>
      <c r="C11" s="8">
        <v>3.882E-2</v>
      </c>
      <c r="D11" s="2">
        <v>105</v>
      </c>
      <c r="E11" s="6">
        <v>252.72</v>
      </c>
      <c r="F11" s="8">
        <f t="shared" si="22"/>
        <v>6.1489211061153466E-5</v>
      </c>
      <c r="G11" s="8">
        <f t="shared" si="23"/>
        <v>0.59247416907882244</v>
      </c>
      <c r="H11" s="8">
        <v>18.2</v>
      </c>
      <c r="I11" s="9">
        <f t="shared" si="0"/>
        <v>1.2600713879850747</v>
      </c>
      <c r="J11" s="9">
        <v>0.5</v>
      </c>
      <c r="K11" s="9">
        <f t="shared" si="1"/>
        <v>0.21544810193559122</v>
      </c>
      <c r="L11" s="8">
        <f t="shared" si="2"/>
        <v>1.1206578242679106</v>
      </c>
      <c r="M11" s="8">
        <f t="shared" si="3"/>
        <v>13.20255010236108</v>
      </c>
      <c r="N11" s="8">
        <v>4.8E-10</v>
      </c>
      <c r="O11" s="8">
        <f t="shared" si="4"/>
        <v>1.9364059281292454E-13</v>
      </c>
      <c r="P11" s="8">
        <f t="shared" si="24"/>
        <v>0.5572358958446072</v>
      </c>
      <c r="Q11" s="8">
        <f t="shared" si="25"/>
        <v>2877681212135.8809</v>
      </c>
      <c r="R11" s="8">
        <f t="shared" si="26"/>
        <v>65.951654759129511</v>
      </c>
      <c r="S11" s="8">
        <f t="shared" si="27"/>
        <v>1.7733072866778617E-7</v>
      </c>
      <c r="T11" s="8">
        <f t="shared" si="5"/>
        <v>5.7554594705444321E-6</v>
      </c>
      <c r="U11" s="8">
        <f t="shared" si="6"/>
        <v>1.1238022281678128E-4</v>
      </c>
      <c r="V11" s="8">
        <f t="shared" si="7"/>
        <v>17.423330547005442</v>
      </c>
      <c r="W11" s="8">
        <v>0.88</v>
      </c>
      <c r="X11" s="8">
        <f t="shared" si="8"/>
        <v>0.7876672506363015</v>
      </c>
      <c r="Y11" s="8">
        <v>313.14999999999998</v>
      </c>
      <c r="Z11" s="8">
        <v>10</v>
      </c>
      <c r="AA11" s="8">
        <v>2.7000000000000001E-3</v>
      </c>
      <c r="AB11" s="8">
        <f t="shared" si="28"/>
        <v>0.78857115574995162</v>
      </c>
      <c r="AC11" s="8">
        <f t="shared" si="29"/>
        <v>3.5026568834991587</v>
      </c>
      <c r="AD11" s="8">
        <f t="shared" si="30"/>
        <v>1.3725730901676783E-9</v>
      </c>
      <c r="AE11" s="8">
        <f t="shared" si="31"/>
        <v>6.4604596129677699E-2</v>
      </c>
      <c r="AF11" s="8">
        <f t="shared" si="32"/>
        <v>4.3558326367513605</v>
      </c>
      <c r="AG11" s="8">
        <v>3.8</v>
      </c>
      <c r="AH11" s="8">
        <f t="shared" si="9"/>
        <v>0.18240715277893299</v>
      </c>
      <c r="AI11" s="19">
        <f t="shared" si="10"/>
        <v>0.78860857572623133</v>
      </c>
      <c r="AJ11" s="19">
        <f t="shared" si="11"/>
        <v>1.3880789670517715</v>
      </c>
      <c r="AK11" s="19">
        <f t="shared" si="12"/>
        <v>1.1793322105485111</v>
      </c>
      <c r="AL11" s="19">
        <f t="shared" si="13"/>
        <v>6090315018235.1465</v>
      </c>
      <c r="AM11" s="19">
        <f t="shared" si="14"/>
        <v>19.52584730931148</v>
      </c>
      <c r="AN11" s="16">
        <v>7</v>
      </c>
      <c r="AO11" s="20">
        <f t="shared" si="15"/>
        <v>1.0344334914384283</v>
      </c>
      <c r="AP11" s="19">
        <f t="shared" si="16"/>
        <v>0.81576312236677173</v>
      </c>
      <c r="AQ11" s="19">
        <f t="shared" si="17"/>
        <v>1.4358753722796112</v>
      </c>
      <c r="AR11" s="19">
        <f t="shared" si="18"/>
        <v>1.7031192276378628E-14</v>
      </c>
      <c r="AS11" s="19"/>
      <c r="AT11" s="19">
        <f t="shared" si="19"/>
        <v>6.1360853099200759E-2</v>
      </c>
      <c r="AU11" s="19">
        <f t="shared" si="20"/>
        <v>3.5138629666811713E-3</v>
      </c>
      <c r="AV11" s="19">
        <f t="shared" si="21"/>
        <v>1.6220183120360598E-15</v>
      </c>
    </row>
    <row r="12" spans="1:48">
      <c r="A12" s="5" t="s">
        <v>57</v>
      </c>
      <c r="B12" s="6" t="s">
        <v>56</v>
      </c>
      <c r="C12" s="8">
        <v>2.4000000000000001E-5</v>
      </c>
      <c r="D12" s="2">
        <v>1000</v>
      </c>
      <c r="E12" s="6">
        <v>291.70999999999998</v>
      </c>
      <c r="F12" s="8">
        <f t="shared" si="22"/>
        <v>5.7232546351409518E-5</v>
      </c>
      <c r="G12" s="8">
        <f t="shared" si="23"/>
        <v>0.55145943099014372</v>
      </c>
      <c r="H12" s="8">
        <v>0.74099999999999999</v>
      </c>
      <c r="I12" s="9">
        <f t="shared" si="0"/>
        <v>-0.13018179202067184</v>
      </c>
      <c r="J12" s="9">
        <v>0.1</v>
      </c>
      <c r="K12" s="9">
        <f t="shared" si="1"/>
        <v>1.7587854379392937E-2</v>
      </c>
      <c r="L12" s="8">
        <f t="shared" si="2"/>
        <v>-5.4472515367441909E-3</v>
      </c>
      <c r="M12" s="8">
        <f t="shared" si="3"/>
        <v>0.98753557238599765</v>
      </c>
      <c r="N12" s="8">
        <v>4.7000000000000003E-10</v>
      </c>
      <c r="O12" s="8">
        <f t="shared" si="4"/>
        <v>1.8960641379598862E-13</v>
      </c>
      <c r="P12" s="8">
        <f t="shared" si="24"/>
        <v>0.25756087270921829</v>
      </c>
      <c r="Q12" s="8">
        <f t="shared" si="25"/>
        <v>1358397469541.019</v>
      </c>
      <c r="R12" s="8">
        <f t="shared" si="26"/>
        <v>11.648099784437367</v>
      </c>
      <c r="S12" s="8">
        <f t="shared" si="27"/>
        <v>2.5029783286733387E-7</v>
      </c>
      <c r="T12" s="8">
        <f t="shared" si="5"/>
        <v>2.143828301934283E-6</v>
      </c>
      <c r="U12" s="8">
        <f t="shared" si="6"/>
        <v>1.8228126154294134E-6</v>
      </c>
      <c r="V12" s="8">
        <f t="shared" si="7"/>
        <v>30.926759571581943</v>
      </c>
      <c r="W12" s="8">
        <v>50</v>
      </c>
      <c r="X12" s="8">
        <f t="shared" si="8"/>
        <v>1.3862943611198907E-2</v>
      </c>
      <c r="Y12" s="8">
        <v>313.14999999999998</v>
      </c>
      <c r="Z12" s="8">
        <v>10</v>
      </c>
      <c r="AA12" s="8">
        <v>2.7000000000000001E-3</v>
      </c>
      <c r="AB12" s="8">
        <f t="shared" si="28"/>
        <v>1.3878852341199149E-2</v>
      </c>
      <c r="AC12" s="8">
        <f t="shared" si="29"/>
        <v>7.5780382547332366</v>
      </c>
      <c r="AD12" s="8">
        <f t="shared" si="30"/>
        <v>2.7064215658787658E-9</v>
      </c>
      <c r="AE12" s="8">
        <f t="shared" si="31"/>
        <v>0.13977278311462846</v>
      </c>
      <c r="AF12" s="8">
        <f t="shared" si="32"/>
        <v>7.7316898928954858</v>
      </c>
      <c r="AG12" s="8">
        <v>4.4000000000000004</v>
      </c>
      <c r="AH12" s="8">
        <f t="shared" si="9"/>
        <v>0.15753345012726028</v>
      </c>
      <c r="AI12" s="19">
        <f t="shared" si="10"/>
        <v>0.8801852080188094</v>
      </c>
      <c r="AJ12" s="19">
        <f t="shared" si="11"/>
        <v>0.3487745029994257</v>
      </c>
      <c r="AK12" s="19">
        <f t="shared" si="12"/>
        <v>0.81812504948137188</v>
      </c>
      <c r="AL12" s="19">
        <f t="shared" si="13"/>
        <v>4314859572006.105</v>
      </c>
      <c r="AM12" s="19">
        <f t="shared" si="14"/>
        <v>0.85026054268654294</v>
      </c>
      <c r="AN12" s="16">
        <v>7</v>
      </c>
      <c r="AO12" s="20">
        <f t="shared" si="15"/>
        <v>0.11936078812234879</v>
      </c>
      <c r="AP12" s="19">
        <f t="shared" si="16"/>
        <v>0.10505960012275863</v>
      </c>
      <c r="AQ12" s="19">
        <f t="shared" si="17"/>
        <v>4.1629999554991956E-2</v>
      </c>
      <c r="AR12" s="19">
        <f t="shared" si="18"/>
        <v>9.2989048904673246E-25</v>
      </c>
      <c r="AS12" s="19"/>
      <c r="AT12" s="19">
        <f t="shared" si="19"/>
        <v>12.782251348268966</v>
      </c>
      <c r="AU12" s="19">
        <f t="shared" si="20"/>
        <v>0.16478541490517651</v>
      </c>
      <c r="AV12" s="19">
        <f t="shared" si="21"/>
        <v>9.2989048904673243E-27</v>
      </c>
    </row>
    <row r="13" spans="1:48">
      <c r="C13" s="8"/>
    </row>
    <row r="14" spans="1:48">
      <c r="C14" s="8"/>
    </row>
    <row r="15" spans="1:48">
      <c r="C15" s="8"/>
    </row>
    <row r="16" spans="1:48">
      <c r="C16" s="8"/>
    </row>
    <row r="17" spans="3:3">
      <c r="C17" s="8"/>
    </row>
    <row r="18" spans="3:3">
      <c r="C18" s="8"/>
    </row>
    <row r="19" spans="3:3">
      <c r="C19" s="8"/>
    </row>
    <row r="20" spans="3:3">
      <c r="C20" s="8"/>
    </row>
  </sheetData>
  <mergeCells count="43">
    <mergeCell ref="AO1:AR1"/>
    <mergeCell ref="AT1:AV1"/>
    <mergeCell ref="C3:C5"/>
    <mergeCell ref="D3:D5"/>
    <mergeCell ref="E3:E5"/>
    <mergeCell ref="F3:F5"/>
    <mergeCell ref="G3:G5"/>
    <mergeCell ref="S3:S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I3:AI5"/>
    <mergeCell ref="T3:T5"/>
    <mergeCell ref="U3:U5"/>
    <mergeCell ref="V3:V5"/>
    <mergeCell ref="W3:W5"/>
    <mergeCell ref="X3:X5"/>
    <mergeCell ref="AB3:AB5"/>
    <mergeCell ref="AC3:AC5"/>
    <mergeCell ref="AD3:AD5"/>
    <mergeCell ref="AE3:AE5"/>
    <mergeCell ref="AF3:AF5"/>
    <mergeCell ref="AH3:AH5"/>
    <mergeCell ref="AV3:AV5"/>
    <mergeCell ref="AO3:AO5"/>
    <mergeCell ref="AP3:AP5"/>
    <mergeCell ref="AJ3:AJ5"/>
    <mergeCell ref="AK3:AK5"/>
    <mergeCell ref="AL3:AL5"/>
    <mergeCell ref="AM3:AM5"/>
    <mergeCell ref="AQ3:AQ5"/>
    <mergeCell ref="AR3:AR5"/>
    <mergeCell ref="AS3:AS5"/>
    <mergeCell ref="AT3:AT5"/>
    <mergeCell ref="AU3:AU5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9C0F-113A-45E7-8CD1-EBFAD7DDC777}">
  <dimension ref="A1:AV20"/>
  <sheetViews>
    <sheetView workbookViewId="0">
      <selection activeCell="A10" sqref="A10:XFD10"/>
    </sheetView>
  </sheetViews>
  <sheetFormatPr defaultColWidth="9.1796875" defaultRowHeight="10.5"/>
  <cols>
    <col min="1" max="1" width="15.54296875" style="5" customWidth="1"/>
    <col min="2" max="2" width="16.7265625" style="6" customWidth="1"/>
    <col min="3" max="4" width="14.453125" style="6" customWidth="1"/>
    <col min="5" max="5" width="9.1796875" style="6"/>
    <col min="6" max="6" width="9.7265625" style="8" bestFit="1" customWidth="1"/>
    <col min="7" max="7" width="9.7265625" style="8" customWidth="1"/>
    <col min="8" max="8" width="9.1796875" style="8"/>
    <col min="9" max="9" width="9.1796875" style="9"/>
    <col min="10" max="11" width="10.7265625" style="9" customWidth="1"/>
    <col min="12" max="13" width="9.1796875" style="8"/>
    <col min="14" max="14" width="10.7265625" style="8" bestFit="1" customWidth="1"/>
    <col min="15" max="17" width="10.7265625" style="8" customWidth="1"/>
    <col min="18" max="34" width="9.1796875" style="8"/>
    <col min="35" max="38" width="9.1796875" style="14"/>
    <col min="39" max="39" width="9.1796875" style="19"/>
    <col min="40" max="16384" width="9.1796875" style="14"/>
  </cols>
  <sheetData>
    <row r="1" spans="1:48" s="2" customFormat="1" ht="31.5">
      <c r="F1" s="3"/>
      <c r="G1" s="3"/>
      <c r="I1" s="4"/>
      <c r="J1" s="4"/>
      <c r="K1" s="4"/>
      <c r="P1" s="2" t="s">
        <v>88</v>
      </c>
      <c r="Y1" s="2" t="s">
        <v>67</v>
      </c>
      <c r="Z1" s="2" t="s">
        <v>68</v>
      </c>
      <c r="AA1" s="2" t="s">
        <v>69</v>
      </c>
      <c r="AF1" s="2" t="s">
        <v>87</v>
      </c>
      <c r="AG1" s="2" t="s">
        <v>47</v>
      </c>
      <c r="AI1" s="2" t="s">
        <v>31</v>
      </c>
      <c r="AJ1" s="2" t="s">
        <v>32</v>
      </c>
      <c r="AM1" s="3"/>
      <c r="AN1" s="2" t="s">
        <v>40</v>
      </c>
      <c r="AO1" s="36" t="s">
        <v>39</v>
      </c>
      <c r="AP1" s="37"/>
      <c r="AQ1" s="37"/>
      <c r="AR1" s="38"/>
      <c r="AT1" s="33" t="s">
        <v>58</v>
      </c>
      <c r="AU1" s="33"/>
      <c r="AV1" s="33"/>
    </row>
    <row r="2" spans="1:48" ht="25">
      <c r="A2" s="5" t="s">
        <v>0</v>
      </c>
      <c r="B2" s="6" t="s">
        <v>1</v>
      </c>
      <c r="C2" s="2" t="s">
        <v>71</v>
      </c>
      <c r="D2" s="2" t="s">
        <v>72</v>
      </c>
      <c r="E2" s="7" t="s">
        <v>2</v>
      </c>
      <c r="F2" s="8" t="s">
        <v>18</v>
      </c>
      <c r="G2" s="8" t="s">
        <v>73</v>
      </c>
      <c r="H2" s="8" t="s">
        <v>3</v>
      </c>
      <c r="I2" s="9" t="s">
        <v>4</v>
      </c>
      <c r="J2" s="10" t="s">
        <v>59</v>
      </c>
      <c r="K2" s="10" t="s">
        <v>17</v>
      </c>
      <c r="L2" s="11" t="s">
        <v>5</v>
      </c>
      <c r="M2" s="12" t="s">
        <v>6</v>
      </c>
      <c r="N2" s="13" t="s">
        <v>7</v>
      </c>
      <c r="O2" s="13" t="s">
        <v>8</v>
      </c>
      <c r="P2" s="13" t="s">
        <v>9</v>
      </c>
      <c r="Q2" s="13" t="s">
        <v>38</v>
      </c>
      <c r="R2" s="13" t="s">
        <v>23</v>
      </c>
      <c r="S2" s="13" t="s">
        <v>24</v>
      </c>
      <c r="T2" s="13" t="s">
        <v>20</v>
      </c>
      <c r="U2" s="13" t="s">
        <v>25</v>
      </c>
      <c r="V2" s="13" t="s">
        <v>26</v>
      </c>
      <c r="W2" s="13" t="s">
        <v>43</v>
      </c>
      <c r="X2" s="13" t="s">
        <v>37</v>
      </c>
      <c r="Y2" s="13"/>
      <c r="Z2" s="13"/>
      <c r="AA2" s="13"/>
      <c r="AB2" s="13" t="s">
        <v>36</v>
      </c>
      <c r="AC2" s="13" t="s">
        <v>33</v>
      </c>
      <c r="AD2" s="13" t="s">
        <v>34</v>
      </c>
      <c r="AE2" s="13" t="s">
        <v>35</v>
      </c>
      <c r="AF2" s="13" t="s">
        <v>27</v>
      </c>
      <c r="AG2" s="13"/>
      <c r="AH2" s="13" t="s">
        <v>28</v>
      </c>
      <c r="AI2" s="13" t="s">
        <v>29</v>
      </c>
      <c r="AJ2" s="13" t="s">
        <v>30</v>
      </c>
      <c r="AK2" s="13" t="s">
        <v>15</v>
      </c>
      <c r="AL2" s="13" t="s">
        <v>16</v>
      </c>
      <c r="AM2" s="13" t="s">
        <v>21</v>
      </c>
      <c r="AO2" s="14" t="s">
        <v>60</v>
      </c>
      <c r="AP2" s="14" t="s">
        <v>74</v>
      </c>
      <c r="AQ2" s="14" t="s">
        <v>75</v>
      </c>
      <c r="AR2" s="14" t="s">
        <v>76</v>
      </c>
      <c r="AT2" s="14" t="s">
        <v>77</v>
      </c>
      <c r="AU2" s="14" t="s">
        <v>78</v>
      </c>
      <c r="AV2" s="14" t="s">
        <v>79</v>
      </c>
    </row>
    <row r="3" spans="1:48">
      <c r="A3" s="15"/>
      <c r="B3" s="16"/>
      <c r="C3" s="32"/>
      <c r="D3" s="32"/>
      <c r="E3" s="34" t="s">
        <v>10</v>
      </c>
      <c r="F3" s="32" t="s">
        <v>19</v>
      </c>
      <c r="G3" s="32" t="s">
        <v>19</v>
      </c>
      <c r="H3" s="32" t="s">
        <v>11</v>
      </c>
      <c r="I3" s="35"/>
      <c r="J3" s="35" t="s">
        <v>11</v>
      </c>
      <c r="K3" s="32"/>
      <c r="L3" s="32"/>
      <c r="M3" s="32" t="s">
        <v>12</v>
      </c>
      <c r="N3" s="32" t="s">
        <v>13</v>
      </c>
      <c r="O3" s="32"/>
      <c r="P3" s="32" t="s">
        <v>12</v>
      </c>
      <c r="Q3" s="32"/>
      <c r="R3" s="32" t="s">
        <v>14</v>
      </c>
      <c r="S3" s="32" t="s">
        <v>14</v>
      </c>
      <c r="T3" s="32" t="s">
        <v>14</v>
      </c>
      <c r="U3" s="32" t="s">
        <v>14</v>
      </c>
      <c r="V3" s="32" t="s">
        <v>14</v>
      </c>
      <c r="W3" s="32" t="s">
        <v>44</v>
      </c>
      <c r="X3" s="32" t="s">
        <v>14</v>
      </c>
      <c r="Y3" s="17"/>
      <c r="Z3" s="17"/>
      <c r="AA3" s="17"/>
      <c r="AB3" s="32" t="s">
        <v>14</v>
      </c>
      <c r="AC3" s="32" t="s">
        <v>14</v>
      </c>
      <c r="AD3" s="32" t="s">
        <v>14</v>
      </c>
      <c r="AE3" s="32" t="s">
        <v>14</v>
      </c>
      <c r="AF3" s="32" t="s">
        <v>14</v>
      </c>
      <c r="AG3" s="17"/>
      <c r="AH3" s="32" t="s">
        <v>14</v>
      </c>
      <c r="AI3" s="32" t="s">
        <v>12</v>
      </c>
      <c r="AJ3" s="32" t="s">
        <v>12</v>
      </c>
      <c r="AK3" s="32" t="s">
        <v>12</v>
      </c>
      <c r="AL3" s="32" t="s">
        <v>12</v>
      </c>
      <c r="AM3" s="32" t="s">
        <v>11</v>
      </c>
      <c r="AO3" s="32" t="s">
        <v>22</v>
      </c>
      <c r="AP3" s="32" t="s">
        <v>22</v>
      </c>
      <c r="AQ3" s="32" t="s">
        <v>22</v>
      </c>
      <c r="AR3" s="32" t="s">
        <v>22</v>
      </c>
      <c r="AS3" s="32"/>
      <c r="AT3" s="32"/>
      <c r="AU3" s="32"/>
      <c r="AV3" s="32"/>
    </row>
    <row r="4" spans="1:48">
      <c r="A4" s="15"/>
      <c r="B4" s="16"/>
      <c r="C4" s="32"/>
      <c r="D4" s="32"/>
      <c r="E4" s="34"/>
      <c r="F4" s="32"/>
      <c r="G4" s="32"/>
      <c r="H4" s="32"/>
      <c r="I4" s="35"/>
      <c r="J4" s="35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17"/>
      <c r="Z4" s="17"/>
      <c r="AA4" s="17"/>
      <c r="AB4" s="32"/>
      <c r="AC4" s="32"/>
      <c r="AD4" s="32"/>
      <c r="AE4" s="32"/>
      <c r="AF4" s="32"/>
      <c r="AG4" s="17"/>
      <c r="AH4" s="32"/>
      <c r="AI4" s="32"/>
      <c r="AJ4" s="32"/>
      <c r="AK4" s="32"/>
      <c r="AL4" s="32"/>
      <c r="AM4" s="32"/>
      <c r="AO4" s="32"/>
      <c r="AP4" s="32"/>
      <c r="AQ4" s="32"/>
      <c r="AR4" s="32"/>
      <c r="AS4" s="32"/>
      <c r="AT4" s="32"/>
      <c r="AU4" s="32"/>
      <c r="AV4" s="32"/>
    </row>
    <row r="5" spans="1:48">
      <c r="A5" s="18"/>
      <c r="B5" s="16"/>
      <c r="C5" s="32"/>
      <c r="D5" s="32"/>
      <c r="E5" s="34"/>
      <c r="F5" s="32"/>
      <c r="G5" s="32"/>
      <c r="H5" s="32"/>
      <c r="I5" s="35"/>
      <c r="J5" s="35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17"/>
      <c r="Z5" s="17"/>
      <c r="AA5" s="17"/>
      <c r="AB5" s="32"/>
      <c r="AC5" s="32"/>
      <c r="AD5" s="32"/>
      <c r="AE5" s="32"/>
      <c r="AF5" s="32"/>
      <c r="AG5" s="17"/>
      <c r="AH5" s="32"/>
      <c r="AI5" s="32"/>
      <c r="AJ5" s="32"/>
      <c r="AK5" s="32"/>
      <c r="AL5" s="32"/>
      <c r="AM5" s="32"/>
      <c r="AO5" s="32"/>
      <c r="AP5" s="32"/>
      <c r="AQ5" s="32"/>
      <c r="AR5" s="32"/>
      <c r="AS5" s="32"/>
      <c r="AT5" s="32"/>
      <c r="AU5" s="32"/>
      <c r="AV5" s="32"/>
    </row>
    <row r="6" spans="1:48">
      <c r="A6" s="5" t="s">
        <v>42</v>
      </c>
      <c r="B6" s="6" t="s">
        <v>41</v>
      </c>
      <c r="C6" s="8">
        <v>8.09E-3</v>
      </c>
      <c r="D6" s="2">
        <v>9</v>
      </c>
      <c r="E6" s="6">
        <v>222.67</v>
      </c>
      <c r="F6" s="8">
        <f>0.0001728*((32)^0.5)/((E6)^0.5)</f>
        <v>6.550702444732426E-5</v>
      </c>
      <c r="G6" s="8">
        <f>2.22*((18)^0.5)/((E6)^0.5)</f>
        <v>0.63118747514348883</v>
      </c>
      <c r="H6" s="8">
        <v>6.31</v>
      </c>
      <c r="I6" s="9">
        <f t="shared" ref="I6:I12" si="0">LOG10(H6)</f>
        <v>0.80002935924413432</v>
      </c>
      <c r="J6" s="9">
        <v>0.2</v>
      </c>
      <c r="K6" s="9">
        <f t="shared" ref="K6:K12" si="1">0.7*EXP(0-((I6-3.07)^2)/2.78)</f>
        <v>0.10968001039674864</v>
      </c>
      <c r="L6" s="8">
        <f t="shared" ref="L6:L12" si="2">0.81*I6+0.1</f>
        <v>0.7480237809877488</v>
      </c>
      <c r="M6" s="8">
        <f t="shared" ref="M6:M12" si="3">10^L6</f>
        <v>5.5978825339993774</v>
      </c>
      <c r="N6" s="8">
        <v>5.2999999999999998E-8</v>
      </c>
      <c r="O6" s="8">
        <f t="shared" ref="O6:O12" si="4">N6/(8.314*298.15)</f>
        <v>2.1381148789760417E-11</v>
      </c>
      <c r="P6" s="8">
        <f>(0.023*1.6*M6+0.35+0.12*O6)/1.5</f>
        <v>0.37066805150249521</v>
      </c>
      <c r="Q6" s="8">
        <f>P6/O6</f>
        <v>17336208411.776768</v>
      </c>
      <c r="R6" s="8">
        <f>(0.0938*K6/P6)*(2500000*(31.145-0.1*298.15)/((298.15-33.85)^2)+610.78*(1-50/100))*EXP(17.2*(298.15-273.15)/(298.15-35.85))</f>
        <v>50.473618064663583</v>
      </c>
      <c r="S6" s="8">
        <f>86.4/(0.0002*0.4*AL6)</f>
        <v>2.4600404898327982E-5</v>
      </c>
      <c r="T6" s="8">
        <f t="shared" ref="T6:T12" si="5">10^(0-0.011*E6-2.46)</f>
        <v>1.2320547289553744E-5</v>
      </c>
      <c r="U6" s="8">
        <f t="shared" ref="U6:U12" si="6">T6*AM6</f>
        <v>8.5282268239442446E-5</v>
      </c>
      <c r="V6" s="8">
        <f t="shared" ref="V6:V12" si="7">4*AF6</f>
        <v>3.2547888431705587</v>
      </c>
      <c r="W6" s="8">
        <v>1.6</v>
      </c>
      <c r="X6" s="8">
        <f t="shared" ref="X6:X12" si="8">LN(2)/W6</f>
        <v>0.43321698784996576</v>
      </c>
      <c r="Y6" s="8">
        <v>283.14999999999998</v>
      </c>
      <c r="Z6" s="8">
        <v>90</v>
      </c>
      <c r="AA6" s="8">
        <v>2.7000000000000001E-3</v>
      </c>
      <c r="AB6" s="8">
        <f>X6*EXP((60/8.314)*(1/298.15-1/(0.9*Y6+31.145)))</f>
        <v>0.43277097932849506</v>
      </c>
      <c r="AC6" s="8">
        <f>(0.0025*3*0.01)*(2500000*(31.145-0.1*Y6)/((Y6-33.85)^2)+610.78*(1-Z6/100))*EXP(17.2*(Y6-273.15)/(Y6-35.85))*3*0.001/(0.01*0.05*1.5*P6)</f>
        <v>0.28380429216002928</v>
      </c>
      <c r="AD6" s="8">
        <f>(G6/(Q6*1.5*0.0001))*((Y6/293.15)^1.75)*EXP(60.528-0.7*LN((H6/O6))-19091/(0.9*Y6+31.145)+0.03*Z6)</f>
        <v>6.2713928375215569E-17</v>
      </c>
      <c r="AE6" s="8">
        <f>AA6/(0.05*1.5*P6)</f>
        <v>9.7121939304115237E-2</v>
      </c>
      <c r="AF6" s="8">
        <f>SUM(AB6:AE6)</f>
        <v>0.81369721079263968</v>
      </c>
      <c r="AG6" s="8">
        <v>6.2</v>
      </c>
      <c r="AH6" s="8">
        <f t="shared" ref="AH6:AH12" si="9">LN(2)/AG6</f>
        <v>0.11179793234837827</v>
      </c>
      <c r="AI6" s="19">
        <f t="shared" ref="AI6:AI12" si="10">(0.7+J6*0.3+1.22*0*(H6^0.77))/(0.8+J6*0.1+1.22*0.02*(H6^0.77))</f>
        <v>0.82537925053495764</v>
      </c>
      <c r="AJ6" s="19">
        <f t="shared" ref="AJ6:AJ12" si="11">(0.13+J6*0.75+1.22*0.087*(H6^0.77))/(0.8+J6*0.1+1.22*0.02*(H6^0.77))</f>
        <v>0.780234741436308</v>
      </c>
      <c r="AK6" s="19">
        <f t="shared" ref="AK6:AK12" si="12">0.8+(1/0.83)*0.02*(H6^0.95)</f>
        <v>0.93866913119428863</v>
      </c>
      <c r="AL6" s="19">
        <f t="shared" ref="AL6:AL12" si="13">AK6/O6</f>
        <v>43901716433.675629</v>
      </c>
      <c r="AM6" s="19">
        <f t="shared" ref="AM6:AM12" si="14">10^(0.979*I6+0.057)</f>
        <v>6.9219545394506099</v>
      </c>
      <c r="AN6" s="16">
        <v>7</v>
      </c>
      <c r="AO6" s="20">
        <f t="shared" ref="AO6:AO12" si="15">(0.223*100/(1.5*0.05*1000))*(R6/(S6+AH6+0.035-AF6))*(EXP(0-AF6*AN6)-EXP(0-(S6+AH6+0.035)*AN6))+(0.612*100/(3*0.1*(1/0.2)*1000))*(U6/(S6+AH6+0.035-V6))*(EXP(0-V6*AN6)-EXP(0-(S6+AH6+0.035)*AN6))</f>
        <v>7.9765865376581413</v>
      </c>
      <c r="AP6" s="19">
        <f t="shared" ref="AP6:AP12" si="16">(AI6*0.223*100/(1.5*0.05*1000))*(R6/(S6+AH6+0.035-AF6))*(EXP(0-AF6*AN6)-EXP(0-(S6+AH6+0.035)*AN6))+(AI6*0.612*100/(3*0.1*(1/0.2)*1000))*(U6/(S6+AH6+0.035-V6))*(EXP(0-V6*AN6)-EXP(0-(S6+AH6+0.035)*AN6))</f>
        <v>6.5837090182795084</v>
      </c>
      <c r="AQ6" s="19">
        <f t="shared" ref="AQ6:AQ12" si="17">(AJ6*0.223*100/(1.5*0.05*1000))*(R6/(S6+AH6+0.035-AF6))*(EXP(0-AF6*AN6)-EXP(0-(S6+AH6+0.035)*AN6))+(AJ6*0.612*100/(3*0.1*(1/0.2)*1000))*(U6/(S6+AH6+0.035-V6))*(EXP(0-V6*AN6)-EXP(0-(S6+AH6+0.035)*AN6))</f>
        <v>6.2236099347540348</v>
      </c>
      <c r="AR6" s="19">
        <f t="shared" ref="AR6:AR12" si="18">(0.223*100/(1.5*0.05*1000))*EXP(0-AF6*AN6)</f>
        <v>9.9897389516938632E-4</v>
      </c>
      <c r="AS6" s="19"/>
      <c r="AT6" s="19">
        <f t="shared" ref="AT6:AT12" si="19">AP6*0.000292/(C6/10)</f>
        <v>2.3763201895396988</v>
      </c>
      <c r="AU6" s="19">
        <f t="shared" ref="AU6:AU12" si="20">AQ6*0.0000095/(C6/10)</f>
        <v>7.3083182175727235E-2</v>
      </c>
      <c r="AV6" s="19">
        <f t="shared" ref="AV6:AV12" si="21">AR6/(D6/10)</f>
        <v>1.1099709946326515E-3</v>
      </c>
    </row>
    <row r="7" spans="1:48">
      <c r="A7" s="5" t="s">
        <v>46</v>
      </c>
      <c r="B7" s="6" t="s">
        <v>45</v>
      </c>
      <c r="C7" s="8">
        <v>4.3999999999999999E-5</v>
      </c>
      <c r="D7" s="2">
        <v>13.21</v>
      </c>
      <c r="E7" s="6">
        <v>249.7</v>
      </c>
      <c r="F7" s="8">
        <f t="shared" ref="F7:F12" si="22">0.0001728*((32)^0.5)/((E7)^0.5)</f>
        <v>6.1859934544114761E-5</v>
      </c>
      <c r="G7" s="8">
        <f t="shared" ref="G7:G12" si="23">2.22*((18)^0.5)/((E7)^0.5)</f>
        <v>0.59604624430527242</v>
      </c>
      <c r="H7" s="8">
        <v>8.0399999999999991</v>
      </c>
      <c r="I7" s="9">
        <f t="shared" si="0"/>
        <v>0.90525604874845123</v>
      </c>
      <c r="J7" s="9">
        <v>0.2</v>
      </c>
      <c r="K7" s="9">
        <f t="shared" si="1"/>
        <v>0.12972631511648189</v>
      </c>
      <c r="L7" s="8">
        <f t="shared" si="2"/>
        <v>0.83325739948624555</v>
      </c>
      <c r="M7" s="8">
        <f t="shared" si="3"/>
        <v>6.811729595421931</v>
      </c>
      <c r="N7" s="8">
        <v>2.9E-11</v>
      </c>
      <c r="O7" s="8">
        <f t="shared" si="4"/>
        <v>1.169911914911419E-14</v>
      </c>
      <c r="P7" s="8">
        <f t="shared" ref="P7:P12" si="24">(0.023*1.6*M7+0.35+0.12*O7)/1.5</f>
        <v>0.40044776607435234</v>
      </c>
      <c r="Q7" s="8">
        <f t="shared" ref="Q7:Q12" si="25">P7/O7</f>
        <v>34228881761980.57</v>
      </c>
      <c r="R7" s="8">
        <f t="shared" ref="R7:R12" si="26">(0.0938*K7/P7)*(2500000*(31.145-0.1*298.15)/((298.15-33.85)^2)+610.78*(1-50/100))*EXP(17.2*(298.15-273.15)/(298.15-35.85))</f>
        <v>55.25916472869411</v>
      </c>
      <c r="S7" s="8">
        <f t="shared" ref="S7:S12" si="27">86.4/(0.0002*0.4*AL7)</f>
        <v>1.296487287738064E-8</v>
      </c>
      <c r="T7" s="8">
        <f t="shared" si="5"/>
        <v>6.2129806352934899E-6</v>
      </c>
      <c r="U7" s="8">
        <f t="shared" si="6"/>
        <v>5.4518722621634414E-5</v>
      </c>
      <c r="V7" s="8">
        <f t="shared" si="7"/>
        <v>1.4154751061498911</v>
      </c>
      <c r="W7" s="8">
        <v>545</v>
      </c>
      <c r="X7" s="8">
        <f t="shared" si="8"/>
        <v>1.2718296891008171E-3</v>
      </c>
      <c r="Y7" s="8">
        <v>283.14999999999998</v>
      </c>
      <c r="Z7" s="8">
        <v>90</v>
      </c>
      <c r="AA7" s="8">
        <v>2.7000000000000001E-3</v>
      </c>
      <c r="AB7" s="8">
        <f t="shared" ref="AB7:AB12" si="28">X7*EXP((60/8.314)*(1/298.15-1/(0.9*Y7+31.145)))</f>
        <v>1.2705203062854903E-3</v>
      </c>
      <c r="AC7" s="8">
        <f t="shared" ref="AC7:AC12" si="29">(0.0025*3*0.01)*(2500000*(31.145-0.1*Y7)/((Y7-33.85)^2)+610.78*(1-Z7/100))*EXP(17.2*(Y7-273.15)/(Y7-35.85))*3*0.001/(0.01*0.05*1.5*P7)</f>
        <v>0.26269889082979841</v>
      </c>
      <c r="AD7" s="8">
        <f t="shared" ref="AD7:AD12" si="30">G7/(Q7*1.5*0.0001)</f>
        <v>1.1609031391482685E-10</v>
      </c>
      <c r="AE7" s="8">
        <f t="shared" ref="AE7:AE12" si="31">AA7/(0.05*1.5*P7)</f>
        <v>8.9899365285298571E-2</v>
      </c>
      <c r="AF7" s="8">
        <f t="shared" ref="AF7:AF12" si="32">SUM(AB7:AE7)</f>
        <v>0.35386877653747278</v>
      </c>
      <c r="AG7" s="8">
        <v>16.600000000000001</v>
      </c>
      <c r="AH7" s="8">
        <f t="shared" si="9"/>
        <v>4.1755854250599113E-2</v>
      </c>
      <c r="AI7" s="19">
        <f t="shared" si="10"/>
        <v>0.80725592490246267</v>
      </c>
      <c r="AJ7" s="19">
        <f t="shared" si="11"/>
        <v>0.85861812479684874</v>
      </c>
      <c r="AK7" s="19">
        <f t="shared" si="12"/>
        <v>0.97456016734936535</v>
      </c>
      <c r="AL7" s="19">
        <f t="shared" si="13"/>
        <v>83302012307751.828</v>
      </c>
      <c r="AM7" s="19">
        <f t="shared" si="14"/>
        <v>8.7749706335691879</v>
      </c>
      <c r="AN7" s="16">
        <v>7</v>
      </c>
      <c r="AO7" s="20">
        <f t="shared" si="15"/>
        <v>29.665883366284611</v>
      </c>
      <c r="AP7" s="19">
        <f t="shared" si="16"/>
        <v>23.947960114898663</v>
      </c>
      <c r="AQ7" s="19">
        <f t="shared" si="17"/>
        <v>25.471665146401318</v>
      </c>
      <c r="AR7" s="19">
        <f t="shared" si="18"/>
        <v>2.4972429795544291E-2</v>
      </c>
      <c r="AS7" s="19"/>
      <c r="AT7" s="19">
        <f t="shared" si="19"/>
        <v>1589.2737167160021</v>
      </c>
      <c r="AU7" s="19">
        <f t="shared" si="20"/>
        <v>54.995640657002845</v>
      </c>
      <c r="AV7" s="19">
        <f t="shared" si="21"/>
        <v>1.8904186067785229E-2</v>
      </c>
    </row>
    <row r="8" spans="1:48">
      <c r="A8" s="5" t="s">
        <v>49</v>
      </c>
      <c r="B8" s="6" t="s">
        <v>48</v>
      </c>
      <c r="C8" s="8">
        <v>2.3E-5</v>
      </c>
      <c r="D8" s="2">
        <v>4.9000000000000004</v>
      </c>
      <c r="E8" s="6">
        <v>202.21</v>
      </c>
      <c r="F8" s="8">
        <f t="shared" si="22"/>
        <v>6.8741248032381578E-5</v>
      </c>
      <c r="G8" s="8">
        <f t="shared" si="23"/>
        <v>0.66235056697867667</v>
      </c>
      <c r="H8" s="8">
        <v>0.28199999999999997</v>
      </c>
      <c r="I8" s="9">
        <f t="shared" si="0"/>
        <v>-0.54975089168063895</v>
      </c>
      <c r="J8" s="9">
        <v>0.1</v>
      </c>
      <c r="K8" s="9">
        <f t="shared" si="1"/>
        <v>6.2834306929133643E-3</v>
      </c>
      <c r="L8" s="8">
        <f t="shared" si="2"/>
        <v>-0.34529822226131757</v>
      </c>
      <c r="M8" s="8">
        <f t="shared" si="3"/>
        <v>0.45154576947905839</v>
      </c>
      <c r="N8" s="8">
        <v>8.7000000000000001E-9</v>
      </c>
      <c r="O8" s="8">
        <f t="shared" si="4"/>
        <v>3.5097357447342574E-12</v>
      </c>
      <c r="P8" s="8">
        <f t="shared" si="24"/>
        <v>0.24441125621150031</v>
      </c>
      <c r="Q8" s="8">
        <f t="shared" si="25"/>
        <v>69638079327.823044</v>
      </c>
      <c r="R8" s="8">
        <f t="shared" si="26"/>
        <v>4.3852841080832263</v>
      </c>
      <c r="S8" s="8">
        <f t="shared" si="27"/>
        <v>4.6956524935153604E-6</v>
      </c>
      <c r="T8" s="8">
        <f t="shared" si="5"/>
        <v>2.0686642062977948E-5</v>
      </c>
      <c r="U8" s="8">
        <f t="shared" si="6"/>
        <v>6.830993578024058E-6</v>
      </c>
      <c r="V8" s="8">
        <f t="shared" si="7"/>
        <v>2.3445906142675907</v>
      </c>
      <c r="W8" s="8">
        <v>82</v>
      </c>
      <c r="X8" s="8">
        <f t="shared" si="8"/>
        <v>8.4530143970725034E-3</v>
      </c>
      <c r="Y8" s="8">
        <v>283.14999999999998</v>
      </c>
      <c r="Z8" s="8">
        <v>90</v>
      </c>
      <c r="AA8" s="8">
        <v>2.7000000000000001E-3</v>
      </c>
      <c r="AB8" s="8">
        <f t="shared" si="28"/>
        <v>8.4443117917755144E-3</v>
      </c>
      <c r="AC8" s="8">
        <f t="shared" si="29"/>
        <v>0.4304105531537834</v>
      </c>
      <c r="AD8" s="8">
        <f t="shared" si="30"/>
        <v>6.340884885319179E-8</v>
      </c>
      <c r="AE8" s="8">
        <f t="shared" si="31"/>
        <v>0.14729272521248998</v>
      </c>
      <c r="AF8" s="8">
        <f t="shared" si="32"/>
        <v>0.58614765356689769</v>
      </c>
      <c r="AG8" s="8">
        <v>6.8</v>
      </c>
      <c r="AH8" s="8">
        <f t="shared" si="9"/>
        <v>0.10193340890587431</v>
      </c>
      <c r="AI8" s="19">
        <f t="shared" si="10"/>
        <v>0.89110650857521279</v>
      </c>
      <c r="AJ8" s="19">
        <f t="shared" si="11"/>
        <v>0.29912746752487146</v>
      </c>
      <c r="AK8" s="19">
        <f t="shared" si="12"/>
        <v>0.80723916634539128</v>
      </c>
      <c r="AL8" s="19">
        <f t="shared" si="13"/>
        <v>229999984345.40607</v>
      </c>
      <c r="AM8" s="19">
        <f t="shared" si="14"/>
        <v>0.33021277968787466</v>
      </c>
      <c r="AN8" s="16">
        <v>7</v>
      </c>
      <c r="AO8" s="20">
        <f t="shared" si="15"/>
        <v>1.0650335159827347</v>
      </c>
      <c r="AP8" s="19">
        <f t="shared" si="16"/>
        <v>0.9490582979429576</v>
      </c>
      <c r="AQ8" s="19">
        <f t="shared" si="17"/>
        <v>0.31858077846502503</v>
      </c>
      <c r="AR8" s="19">
        <f t="shared" si="18"/>
        <v>4.912683199129097E-3</v>
      </c>
      <c r="AS8" s="19"/>
      <c r="AT8" s="19">
        <f t="shared" si="19"/>
        <v>120.48914043449723</v>
      </c>
      <c r="AU8" s="19">
        <f t="shared" si="20"/>
        <v>1.3158771284424948</v>
      </c>
      <c r="AV8" s="19">
        <f t="shared" si="21"/>
        <v>1.00258840798553E-2</v>
      </c>
    </row>
    <row r="9" spans="1:48">
      <c r="A9" s="5" t="s">
        <v>51</v>
      </c>
      <c r="B9" s="6" t="s">
        <v>50</v>
      </c>
      <c r="C9" s="8">
        <v>0.1</v>
      </c>
      <c r="D9" s="2">
        <v>1000</v>
      </c>
      <c r="E9" s="6">
        <v>229.16</v>
      </c>
      <c r="F9" s="8">
        <f>0.0001728*((32)^0.5)/((E9)^0.5)</f>
        <v>6.4572755671446795E-5</v>
      </c>
      <c r="G9" s="8">
        <f t="shared" si="23"/>
        <v>0.622185406209253</v>
      </c>
      <c r="H9" s="8">
        <v>0.57499999999999996</v>
      </c>
      <c r="I9" s="9">
        <f t="shared" si="0"/>
        <v>-0.24033215531036956</v>
      </c>
      <c r="J9" s="9">
        <v>0.1</v>
      </c>
      <c r="K9" s="9">
        <f t="shared" si="1"/>
        <v>1.3588803343909051E-2</v>
      </c>
      <c r="L9" s="8">
        <f t="shared" si="2"/>
        <v>-9.4669045801399343E-2</v>
      </c>
      <c r="M9" s="8">
        <f t="shared" si="3"/>
        <v>0.80413868280240575</v>
      </c>
      <c r="N9" s="8">
        <v>4.1999999999999999E-8</v>
      </c>
      <c r="O9" s="8">
        <f t="shared" si="4"/>
        <v>1.6943551871130896E-11</v>
      </c>
      <c r="P9" s="8">
        <f t="shared" si="24"/>
        <v>0.25306153568610784</v>
      </c>
      <c r="Q9" s="8">
        <f t="shared" si="25"/>
        <v>14935565907.953707</v>
      </c>
      <c r="R9" s="8">
        <f t="shared" si="26"/>
        <v>9.1596142402056024</v>
      </c>
      <c r="S9" s="8">
        <f t="shared" si="27"/>
        <v>2.2473647683530496E-5</v>
      </c>
      <c r="T9" s="8">
        <f t="shared" si="5"/>
        <v>1.0452977125021435E-5</v>
      </c>
      <c r="U9" s="8">
        <f t="shared" si="6"/>
        <v>6.933536720531863E-6</v>
      </c>
      <c r="V9" s="8">
        <f t="shared" si="7"/>
        <v>3.1252874898508978</v>
      </c>
      <c r="W9" s="8">
        <v>3.1</v>
      </c>
      <c r="X9" s="8">
        <f t="shared" si="8"/>
        <v>0.22359586469675655</v>
      </c>
      <c r="Y9" s="8">
        <v>283.14999999999998</v>
      </c>
      <c r="Z9" s="8">
        <v>90</v>
      </c>
      <c r="AA9" s="8">
        <v>2.7000000000000001E-3</v>
      </c>
      <c r="AB9" s="8">
        <f t="shared" si="28"/>
        <v>0.22336566675019101</v>
      </c>
      <c r="AC9" s="8">
        <f t="shared" si="29"/>
        <v>0.41569803841500153</v>
      </c>
      <c r="AD9" s="8">
        <f t="shared" si="30"/>
        <v>2.7771982217645895E-7</v>
      </c>
      <c r="AE9" s="8">
        <f t="shared" si="31"/>
        <v>0.1422578895777098</v>
      </c>
      <c r="AF9" s="8">
        <f t="shared" si="32"/>
        <v>0.78132187246272444</v>
      </c>
      <c r="AG9" s="8">
        <v>4</v>
      </c>
      <c r="AH9" s="8">
        <f t="shared" si="9"/>
        <v>0.17328679513998632</v>
      </c>
      <c r="AI9" s="19">
        <f t="shared" si="10"/>
        <v>0.88384749860435052</v>
      </c>
      <c r="AJ9" s="19">
        <f t="shared" si="11"/>
        <v>0.33212613134446911</v>
      </c>
      <c r="AK9" s="19">
        <f t="shared" si="12"/>
        <v>0.814244144008343</v>
      </c>
      <c r="AL9" s="19">
        <f t="shared" si="13"/>
        <v>48056284195.976929</v>
      </c>
      <c r="AM9" s="19">
        <f t="shared" si="14"/>
        <v>0.6633073657011036</v>
      </c>
      <c r="AN9" s="16">
        <v>7</v>
      </c>
      <c r="AO9" s="20">
        <f t="shared" si="15"/>
        <v>1.0857875772963448</v>
      </c>
      <c r="AP9" s="19">
        <f t="shared" si="16"/>
        <v>0.95967063420905219</v>
      </c>
      <c r="AQ9" s="19">
        <f t="shared" si="17"/>
        <v>0.36061842750931872</v>
      </c>
      <c r="AR9" s="19">
        <f t="shared" si="18"/>
        <v>1.2530752583909137E-3</v>
      </c>
      <c r="AS9" s="19"/>
      <c r="AT9" s="19">
        <f t="shared" si="19"/>
        <v>2.8022382518904324E-2</v>
      </c>
      <c r="AU9" s="19">
        <f t="shared" si="20"/>
        <v>3.4258750613385276E-4</v>
      </c>
      <c r="AV9" s="19">
        <f t="shared" si="21"/>
        <v>1.2530752583909137E-5</v>
      </c>
    </row>
    <row r="10" spans="1:48">
      <c r="A10" s="5" t="s">
        <v>53</v>
      </c>
      <c r="B10" s="6" t="s">
        <v>52</v>
      </c>
      <c r="C10" s="8">
        <v>8.1000000000000004E-5</v>
      </c>
      <c r="D10" s="2">
        <v>10.7</v>
      </c>
      <c r="E10" s="6">
        <v>255.66</v>
      </c>
      <c r="F10" s="8">
        <f t="shared" si="22"/>
        <v>6.1134636602640924E-5</v>
      </c>
      <c r="G10" s="8">
        <f t="shared" si="23"/>
        <v>0.58905769643169636</v>
      </c>
      <c r="H10" s="8">
        <v>3.72</v>
      </c>
      <c r="I10" s="9">
        <f t="shared" si="0"/>
        <v>0.57054293988189753</v>
      </c>
      <c r="J10" s="9">
        <v>0.2</v>
      </c>
      <c r="K10" s="9">
        <f t="shared" si="1"/>
        <v>7.3984476985727632E-2</v>
      </c>
      <c r="L10" s="8">
        <f t="shared" si="2"/>
        <v>0.56213978130433706</v>
      </c>
      <c r="M10" s="8">
        <f t="shared" si="3"/>
        <v>3.6487136492323029</v>
      </c>
      <c r="N10" s="8">
        <v>1.7000000000000001E-10</v>
      </c>
      <c r="O10" s="8">
        <f t="shared" si="4"/>
        <v>6.8581043287910771E-14</v>
      </c>
      <c r="P10" s="8">
        <f t="shared" si="24"/>
        <v>0.32284844152783793</v>
      </c>
      <c r="Q10" s="8">
        <f t="shared" si="25"/>
        <v>4707546372143.751</v>
      </c>
      <c r="R10" s="8">
        <f t="shared" si="26"/>
        <v>39.08985171139615</v>
      </c>
      <c r="S10" s="8">
        <f t="shared" si="27"/>
        <v>8.3792505484451725E-8</v>
      </c>
      <c r="T10" s="8">
        <f t="shared" si="5"/>
        <v>5.342444263934628E-6</v>
      </c>
      <c r="U10" s="8">
        <f t="shared" si="6"/>
        <v>2.2044565239792361E-5</v>
      </c>
      <c r="V10" s="8">
        <f t="shared" si="7"/>
        <v>1.7638940200566051</v>
      </c>
      <c r="W10" s="8">
        <v>191</v>
      </c>
      <c r="X10" s="8">
        <f t="shared" si="8"/>
        <v>3.6290428301567817E-3</v>
      </c>
      <c r="Y10" s="8">
        <v>283.14999999999998</v>
      </c>
      <c r="Z10" s="8">
        <v>90</v>
      </c>
      <c r="AA10" s="8">
        <v>2.7000000000000001E-3</v>
      </c>
      <c r="AB10" s="8">
        <f t="shared" si="28"/>
        <v>3.6253066331182835E-3</v>
      </c>
      <c r="AC10" s="8">
        <f t="shared" si="29"/>
        <v>0.32584076752909519</v>
      </c>
      <c r="AD10" s="8">
        <f t="shared" si="30"/>
        <v>8.3420342554295808E-10</v>
      </c>
      <c r="AE10" s="8">
        <f t="shared" si="31"/>
        <v>0.11150743001773437</v>
      </c>
      <c r="AF10" s="8">
        <f t="shared" si="32"/>
        <v>0.44097350501415128</v>
      </c>
      <c r="AG10" s="8">
        <v>4.9000000000000004</v>
      </c>
      <c r="AH10" s="8">
        <f t="shared" si="9"/>
        <v>0.14145860827753984</v>
      </c>
      <c r="AI10" s="19">
        <f t="shared" si="10"/>
        <v>0.85672634033967043</v>
      </c>
      <c r="AJ10" s="19">
        <f t="shared" si="11"/>
        <v>0.64465857803092519</v>
      </c>
      <c r="AK10" s="19">
        <f t="shared" si="12"/>
        <v>0.88393975478734632</v>
      </c>
      <c r="AL10" s="19">
        <f t="shared" si="13"/>
        <v>12888980867154.061</v>
      </c>
      <c r="AM10" s="19">
        <f t="shared" si="14"/>
        <v>4.1263070143022658</v>
      </c>
      <c r="AN10" s="16">
        <v>7</v>
      </c>
      <c r="AO10" s="20">
        <f t="shared" si="15"/>
        <v>10.770790347776368</v>
      </c>
      <c r="AP10" s="19">
        <f t="shared" si="16"/>
        <v>9.2276197972162937</v>
      </c>
      <c r="AQ10" s="19">
        <f t="shared" si="17"/>
        <v>6.9434823898667268</v>
      </c>
      <c r="AR10" s="19">
        <f t="shared" si="18"/>
        <v>1.3572413435079686E-2</v>
      </c>
      <c r="AS10" s="19"/>
      <c r="AT10" s="19">
        <f t="shared" si="19"/>
        <v>332.64999762804416</v>
      </c>
      <c r="AU10" s="19">
        <f t="shared" si="20"/>
        <v>8.1435904572510989</v>
      </c>
      <c r="AV10" s="19">
        <f t="shared" si="21"/>
        <v>1.2684498537457652E-2</v>
      </c>
    </row>
    <row r="11" spans="1:48">
      <c r="A11" s="5" t="s">
        <v>55</v>
      </c>
      <c r="B11" s="6" t="s">
        <v>54</v>
      </c>
      <c r="C11" s="8">
        <v>3.882E-2</v>
      </c>
      <c r="D11" s="2">
        <v>105</v>
      </c>
      <c r="E11" s="6">
        <v>252.72</v>
      </c>
      <c r="F11" s="8">
        <f t="shared" si="22"/>
        <v>6.1489211061153466E-5</v>
      </c>
      <c r="G11" s="8">
        <f t="shared" si="23"/>
        <v>0.59247416907882244</v>
      </c>
      <c r="H11" s="8">
        <v>18.2</v>
      </c>
      <c r="I11" s="9">
        <f t="shared" si="0"/>
        <v>1.2600713879850747</v>
      </c>
      <c r="J11" s="9">
        <v>0.5</v>
      </c>
      <c r="K11" s="9">
        <f t="shared" si="1"/>
        <v>0.21544810193559122</v>
      </c>
      <c r="L11" s="8">
        <f t="shared" si="2"/>
        <v>1.1206578242679106</v>
      </c>
      <c r="M11" s="8">
        <f t="shared" si="3"/>
        <v>13.20255010236108</v>
      </c>
      <c r="N11" s="8">
        <v>4.8E-10</v>
      </c>
      <c r="O11" s="8">
        <f t="shared" si="4"/>
        <v>1.9364059281292454E-13</v>
      </c>
      <c r="P11" s="8">
        <f t="shared" si="24"/>
        <v>0.5572358958446072</v>
      </c>
      <c r="Q11" s="8">
        <f t="shared" si="25"/>
        <v>2877681212135.8809</v>
      </c>
      <c r="R11" s="8">
        <f t="shared" si="26"/>
        <v>65.951654759129511</v>
      </c>
      <c r="S11" s="8">
        <f t="shared" si="27"/>
        <v>1.7733072866778617E-7</v>
      </c>
      <c r="T11" s="8">
        <f t="shared" si="5"/>
        <v>5.7554594705444321E-6</v>
      </c>
      <c r="U11" s="8">
        <f t="shared" si="6"/>
        <v>1.1238022281678128E-4</v>
      </c>
      <c r="V11" s="8">
        <f t="shared" si="7"/>
        <v>4.1609794259052739</v>
      </c>
      <c r="W11" s="8">
        <v>0.88</v>
      </c>
      <c r="X11" s="8">
        <f t="shared" si="8"/>
        <v>0.7876672506363015</v>
      </c>
      <c r="Y11" s="8">
        <v>283.14999999999998</v>
      </c>
      <c r="Z11" s="8">
        <v>90</v>
      </c>
      <c r="AA11" s="8">
        <v>2.7000000000000001E-3</v>
      </c>
      <c r="AB11" s="8">
        <f t="shared" si="28"/>
        <v>0.78685632605180933</v>
      </c>
      <c r="AC11" s="8">
        <f t="shared" si="29"/>
        <v>0.18878393292225845</v>
      </c>
      <c r="AD11" s="8">
        <f t="shared" si="30"/>
        <v>1.3725730901676783E-9</v>
      </c>
      <c r="AE11" s="8">
        <f t="shared" si="31"/>
        <v>6.4604596129677699E-2</v>
      </c>
      <c r="AF11" s="8">
        <f t="shared" si="32"/>
        <v>1.0402448564763185</v>
      </c>
      <c r="AG11" s="8">
        <v>3.8</v>
      </c>
      <c r="AH11" s="8">
        <f t="shared" si="9"/>
        <v>0.18240715277893299</v>
      </c>
      <c r="AI11" s="19">
        <f t="shared" si="10"/>
        <v>0.78860857572623133</v>
      </c>
      <c r="AJ11" s="19">
        <f t="shared" si="11"/>
        <v>1.3880789670517715</v>
      </c>
      <c r="AK11" s="19">
        <f t="shared" si="12"/>
        <v>1.1793322105485111</v>
      </c>
      <c r="AL11" s="19">
        <f t="shared" si="13"/>
        <v>6090315018235.1465</v>
      </c>
      <c r="AM11" s="19">
        <f t="shared" si="14"/>
        <v>19.52584730931148</v>
      </c>
      <c r="AN11" s="16">
        <v>7</v>
      </c>
      <c r="AO11" s="20">
        <f t="shared" si="15"/>
        <v>5.1862415652001603</v>
      </c>
      <c r="AP11" s="19">
        <f t="shared" si="16"/>
        <v>4.0899145741046796</v>
      </c>
      <c r="AQ11" s="19">
        <f t="shared" si="17"/>
        <v>7.1989128347040019</v>
      </c>
      <c r="AR11" s="19">
        <f t="shared" si="18"/>
        <v>2.0456691354459223E-4</v>
      </c>
      <c r="AS11" s="19"/>
      <c r="AT11" s="19">
        <f t="shared" si="19"/>
        <v>0.30763911788731746</v>
      </c>
      <c r="AU11" s="19">
        <f t="shared" si="20"/>
        <v>1.761712311429367E-2</v>
      </c>
      <c r="AV11" s="19">
        <f t="shared" si="21"/>
        <v>1.948256319472307E-5</v>
      </c>
    </row>
    <row r="12" spans="1:48">
      <c r="A12" s="5" t="s">
        <v>57</v>
      </c>
      <c r="B12" s="6" t="s">
        <v>56</v>
      </c>
      <c r="C12" s="8">
        <v>2.4000000000000001E-5</v>
      </c>
      <c r="D12" s="2">
        <v>1000</v>
      </c>
      <c r="E12" s="6">
        <v>291.70999999999998</v>
      </c>
      <c r="F12" s="8">
        <f t="shared" si="22"/>
        <v>5.7232546351409518E-5</v>
      </c>
      <c r="G12" s="8">
        <f t="shared" si="23"/>
        <v>0.55145943099014372</v>
      </c>
      <c r="H12" s="8">
        <v>0.74099999999999999</v>
      </c>
      <c r="I12" s="9">
        <f t="shared" si="0"/>
        <v>-0.13018179202067184</v>
      </c>
      <c r="J12" s="9">
        <v>0.1</v>
      </c>
      <c r="K12" s="9">
        <f t="shared" si="1"/>
        <v>1.7587854379392937E-2</v>
      </c>
      <c r="L12" s="8">
        <f t="shared" si="2"/>
        <v>-5.4472515367441909E-3</v>
      </c>
      <c r="M12" s="8">
        <f t="shared" si="3"/>
        <v>0.98753557238599765</v>
      </c>
      <c r="N12" s="8">
        <v>4.7000000000000003E-10</v>
      </c>
      <c r="O12" s="8">
        <f t="shared" si="4"/>
        <v>1.8960641379598862E-13</v>
      </c>
      <c r="P12" s="8">
        <f t="shared" si="24"/>
        <v>0.25756087270921829</v>
      </c>
      <c r="Q12" s="8">
        <f t="shared" si="25"/>
        <v>1358397469541.019</v>
      </c>
      <c r="R12" s="8">
        <f t="shared" si="26"/>
        <v>11.648099784437367</v>
      </c>
      <c r="S12" s="8">
        <f t="shared" si="27"/>
        <v>2.5029783286733387E-7</v>
      </c>
      <c r="T12" s="8">
        <f t="shared" si="5"/>
        <v>2.143828301934283E-6</v>
      </c>
      <c r="U12" s="8">
        <f t="shared" si="6"/>
        <v>1.8228126154294134E-6</v>
      </c>
      <c r="V12" s="8">
        <f t="shared" si="7"/>
        <v>2.2482306265411296</v>
      </c>
      <c r="W12" s="8">
        <v>50</v>
      </c>
      <c r="X12" s="8">
        <f t="shared" si="8"/>
        <v>1.3862943611198907E-2</v>
      </c>
      <c r="Y12" s="8">
        <v>283.14999999999998</v>
      </c>
      <c r="Z12" s="8">
        <v>90</v>
      </c>
      <c r="AA12" s="8">
        <v>2.7000000000000001E-3</v>
      </c>
      <c r="AB12" s="8">
        <f t="shared" si="28"/>
        <v>1.3848671338511843E-2</v>
      </c>
      <c r="AC12" s="8">
        <f t="shared" si="29"/>
        <v>0.40843619947572046</v>
      </c>
      <c r="AD12" s="8">
        <f t="shared" si="30"/>
        <v>2.7064215658787658E-9</v>
      </c>
      <c r="AE12" s="8">
        <f t="shared" si="31"/>
        <v>0.13977278311462846</v>
      </c>
      <c r="AF12" s="8">
        <f t="shared" si="32"/>
        <v>0.5620576566352824</v>
      </c>
      <c r="AG12" s="8">
        <v>4.4000000000000004</v>
      </c>
      <c r="AH12" s="8">
        <f t="shared" si="9"/>
        <v>0.15753345012726028</v>
      </c>
      <c r="AI12" s="19">
        <f t="shared" si="10"/>
        <v>0.8801852080188094</v>
      </c>
      <c r="AJ12" s="19">
        <f t="shared" si="11"/>
        <v>0.3487745029994257</v>
      </c>
      <c r="AK12" s="19">
        <f t="shared" si="12"/>
        <v>0.81812504948137188</v>
      </c>
      <c r="AL12" s="19">
        <f t="shared" si="13"/>
        <v>4314859572006.105</v>
      </c>
      <c r="AM12" s="19">
        <f t="shared" si="14"/>
        <v>0.85026054268654294</v>
      </c>
      <c r="AN12" s="16">
        <v>7</v>
      </c>
      <c r="AO12" s="20">
        <f t="shared" si="15"/>
        <v>2.2519386593146535</v>
      </c>
      <c r="AP12" s="19">
        <f t="shared" si="16"/>
        <v>1.9821230972944675</v>
      </c>
      <c r="AQ12" s="19">
        <f t="shared" si="17"/>
        <v>0.78541878668766141</v>
      </c>
      <c r="AR12" s="19">
        <f t="shared" si="18"/>
        <v>5.8150550188496054E-3</v>
      </c>
      <c r="AS12" s="19"/>
      <c r="AT12" s="19">
        <f t="shared" si="19"/>
        <v>241.15831017082689</v>
      </c>
      <c r="AU12" s="19">
        <f t="shared" si="20"/>
        <v>3.1089493639719934</v>
      </c>
      <c r="AV12" s="19">
        <f t="shared" si="21"/>
        <v>5.8150550188496058E-5</v>
      </c>
    </row>
    <row r="13" spans="1:48">
      <c r="C13" s="8"/>
    </row>
    <row r="14" spans="1:48">
      <c r="C14" s="8"/>
    </row>
    <row r="15" spans="1:48">
      <c r="C15" s="8"/>
    </row>
    <row r="16" spans="1:48">
      <c r="C16" s="8"/>
    </row>
    <row r="17" spans="3:3">
      <c r="C17" s="8"/>
    </row>
    <row r="18" spans="3:3">
      <c r="C18" s="8"/>
    </row>
    <row r="19" spans="3:3">
      <c r="C19" s="8"/>
    </row>
    <row r="20" spans="3:3">
      <c r="C20" s="8"/>
    </row>
  </sheetData>
  <mergeCells count="43">
    <mergeCell ref="AO1:AR1"/>
    <mergeCell ref="AT1:AV1"/>
    <mergeCell ref="C3:C5"/>
    <mergeCell ref="D3:D5"/>
    <mergeCell ref="E3:E5"/>
    <mergeCell ref="F3:F5"/>
    <mergeCell ref="G3:G5"/>
    <mergeCell ref="S3:S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I3:AI5"/>
    <mergeCell ref="T3:T5"/>
    <mergeCell ref="U3:U5"/>
    <mergeCell ref="V3:V5"/>
    <mergeCell ref="W3:W5"/>
    <mergeCell ref="X3:X5"/>
    <mergeCell ref="AB3:AB5"/>
    <mergeCell ref="AC3:AC5"/>
    <mergeCell ref="AD3:AD5"/>
    <mergeCell ref="AE3:AE5"/>
    <mergeCell ref="AF3:AF5"/>
    <mergeCell ref="AH3:AH5"/>
    <mergeCell ref="AV3:AV5"/>
    <mergeCell ref="AO3:AO5"/>
    <mergeCell ref="AP3:AP5"/>
    <mergeCell ref="AJ3:AJ5"/>
    <mergeCell ref="AK3:AK5"/>
    <mergeCell ref="AL3:AL5"/>
    <mergeCell ref="AM3:AM5"/>
    <mergeCell ref="AQ3:AQ5"/>
    <mergeCell ref="AR3:AR5"/>
    <mergeCell ref="AS3:AS5"/>
    <mergeCell ref="AT3:AT5"/>
    <mergeCell ref="AU3:AU5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F116-CAC1-4096-93F3-43A8A3576C4A}">
  <dimension ref="A1"/>
  <sheetViews>
    <sheetView workbookViewId="0">
      <selection activeCell="I19" sqref="I19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</vt:lpstr>
      <vt:lpstr>NNIs - default values</vt:lpstr>
      <vt:lpstr>NNIs - LBs of Ksw</vt:lpstr>
      <vt:lpstr>NNIs - UBs of Ksw</vt:lpstr>
      <vt:lpstr>NNIs - LBs of RQs (weather)</vt:lpstr>
      <vt:lpstr>NNIs - UBs of RQs (weather)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cts</dc:creator>
  <cp:lastModifiedBy>Paulukonis, Elizabeth</cp:lastModifiedBy>
  <dcterms:created xsi:type="dcterms:W3CDTF">2015-06-05T18:17:20Z</dcterms:created>
  <dcterms:modified xsi:type="dcterms:W3CDTF">2023-05-01T22:00:24Z</dcterms:modified>
</cp:coreProperties>
</file>