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3220" yWindow="200" windowWidth="35180" windowHeight="20100" tabRatio="957"/>
  </bookViews>
  <sheets>
    <sheet name="Notice" sheetId="21" r:id="rId1"/>
    <sheet name="Estimated Statements" sheetId="20" r:id="rId2"/>
    <sheet name="Consolidated CF" sheetId="18" r:id="rId3"/>
    <sheet name="Consolidated P&amp;L" sheetId="17" r:id="rId4"/>
    <sheet name="Salon Model" sheetId="5" r:id="rId5"/>
    <sheet name="Salon Schedule" sheetId="6" r:id="rId6"/>
    <sheet name="Salaries" sheetId="11" r:id="rId7"/>
    <sheet name="Event Model" sheetId="8" r:id="rId8"/>
    <sheet name="Pro Forma Income Statment" sheetId="2" r:id="rId9"/>
    <sheet name="Member Counts" sheetId="9" state="hidden" r:id="rId10"/>
    <sheet name="Paid Appointment Counts" sheetId="10" state="hidden" r:id="rId11"/>
    <sheet name="CAC Estimate" sheetId="22" r:id="rId1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R12" i="5" l="1"/>
  <c r="R11" i="5"/>
  <c r="Q11" i="5"/>
  <c r="J50" i="5"/>
  <c r="L50" i="5"/>
  <c r="F6" i="6"/>
  <c r="I6" i="6"/>
  <c r="M50" i="5"/>
  <c r="O50" i="5"/>
  <c r="F7" i="6"/>
  <c r="I7" i="6"/>
  <c r="O11" i="5"/>
  <c r="P50" i="5"/>
  <c r="R50" i="5"/>
  <c r="F8" i="6"/>
  <c r="I8" i="6"/>
  <c r="M11" i="5"/>
  <c r="S50" i="5"/>
  <c r="U50" i="5"/>
  <c r="F9" i="6"/>
  <c r="I9" i="6"/>
  <c r="L11" i="5"/>
  <c r="V50" i="5"/>
  <c r="X50" i="5"/>
  <c r="F10" i="6"/>
  <c r="I10" i="6"/>
  <c r="Y50" i="5"/>
  <c r="AA50" i="5"/>
  <c r="F11" i="6"/>
  <c r="I11" i="6"/>
  <c r="I44" i="6"/>
  <c r="I43" i="6"/>
  <c r="J8" i="2"/>
  <c r="H6" i="6"/>
  <c r="H7" i="6"/>
  <c r="H8" i="6"/>
  <c r="H9" i="6"/>
  <c r="H10" i="6"/>
  <c r="H11" i="6"/>
  <c r="H44" i="6"/>
  <c r="H43" i="6"/>
  <c r="I8" i="2"/>
  <c r="J41" i="2"/>
  <c r="J6" i="6"/>
  <c r="J7" i="6"/>
  <c r="J8" i="6"/>
  <c r="J9" i="6"/>
  <c r="J10" i="6"/>
  <c r="J11" i="6"/>
  <c r="J44" i="6"/>
  <c r="J43" i="6"/>
  <c r="K8" i="2"/>
  <c r="K41" i="2"/>
  <c r="K6" i="6"/>
  <c r="K7" i="6"/>
  <c r="K8" i="6"/>
  <c r="K9" i="6"/>
  <c r="K10" i="6"/>
  <c r="K11" i="6"/>
  <c r="K44" i="6"/>
  <c r="K43" i="6"/>
  <c r="L8" i="2"/>
  <c r="L41" i="2"/>
  <c r="L6" i="6"/>
  <c r="L7" i="6"/>
  <c r="L8" i="6"/>
  <c r="L9" i="6"/>
  <c r="L10" i="6"/>
  <c r="L11" i="6"/>
  <c r="L44" i="6"/>
  <c r="L43" i="6"/>
  <c r="M8" i="2"/>
  <c r="M41" i="2"/>
  <c r="M6" i="6"/>
  <c r="M7" i="6"/>
  <c r="M8" i="6"/>
  <c r="M9" i="6"/>
  <c r="M10" i="6"/>
  <c r="M11" i="6"/>
  <c r="M44" i="6"/>
  <c r="M43" i="6"/>
  <c r="N8" i="2"/>
  <c r="N41" i="2"/>
  <c r="N6" i="6"/>
  <c r="N7" i="6"/>
  <c r="N8" i="6"/>
  <c r="N9" i="6"/>
  <c r="N10" i="6"/>
  <c r="N11" i="6"/>
  <c r="N44" i="6"/>
  <c r="N43" i="6"/>
  <c r="O8" i="2"/>
  <c r="O41" i="2"/>
  <c r="O6" i="6"/>
  <c r="O7" i="6"/>
  <c r="O8" i="6"/>
  <c r="O9" i="6"/>
  <c r="O10" i="6"/>
  <c r="O11" i="6"/>
  <c r="O44" i="6"/>
  <c r="O43" i="6"/>
  <c r="P8" i="2"/>
  <c r="P41" i="2"/>
  <c r="P6" i="6"/>
  <c r="P7" i="6"/>
  <c r="P8" i="6"/>
  <c r="P9" i="6"/>
  <c r="P10" i="6"/>
  <c r="P11" i="6"/>
  <c r="P44" i="6"/>
  <c r="P43" i="6"/>
  <c r="Q8" i="2"/>
  <c r="Q41" i="2"/>
  <c r="Q6" i="6"/>
  <c r="Q7" i="6"/>
  <c r="Q8" i="6"/>
  <c r="Q9" i="6"/>
  <c r="Q10" i="6"/>
  <c r="Q11" i="6"/>
  <c r="Q44" i="6"/>
  <c r="Q43" i="6"/>
  <c r="R8" i="2"/>
  <c r="R41" i="2"/>
  <c r="R6" i="6"/>
  <c r="R7" i="6"/>
  <c r="R8" i="6"/>
  <c r="R9" i="6"/>
  <c r="R10" i="6"/>
  <c r="R11" i="6"/>
  <c r="R44" i="6"/>
  <c r="R43" i="6"/>
  <c r="S8" i="2"/>
  <c r="S41" i="2"/>
  <c r="S6" i="6"/>
  <c r="S7" i="6"/>
  <c r="S8" i="6"/>
  <c r="S9" i="6"/>
  <c r="S10" i="6"/>
  <c r="S11" i="6"/>
  <c r="S44" i="6"/>
  <c r="S43" i="6"/>
  <c r="T8" i="2"/>
  <c r="T41" i="2"/>
  <c r="T6" i="6"/>
  <c r="T7" i="6"/>
  <c r="T8" i="6"/>
  <c r="T9" i="6"/>
  <c r="T10" i="6"/>
  <c r="T11" i="6"/>
  <c r="T44" i="6"/>
  <c r="T43" i="6"/>
  <c r="U8" i="2"/>
  <c r="U41" i="2"/>
  <c r="U6" i="6"/>
  <c r="U7" i="6"/>
  <c r="U8" i="6"/>
  <c r="U9" i="6"/>
  <c r="U10" i="6"/>
  <c r="U11" i="6"/>
  <c r="U44" i="6"/>
  <c r="U43" i="6"/>
  <c r="V8" i="2"/>
  <c r="V41" i="2"/>
  <c r="V6" i="6"/>
  <c r="V7" i="6"/>
  <c r="V8" i="6"/>
  <c r="V9" i="6"/>
  <c r="V10" i="6"/>
  <c r="V11" i="6"/>
  <c r="V44" i="6"/>
  <c r="V43" i="6"/>
  <c r="W8" i="2"/>
  <c r="W41" i="2"/>
  <c r="W6" i="6"/>
  <c r="W7" i="6"/>
  <c r="W8" i="6"/>
  <c r="W9" i="6"/>
  <c r="W10" i="6"/>
  <c r="W11" i="6"/>
  <c r="W44" i="6"/>
  <c r="W43" i="6"/>
  <c r="X8" i="2"/>
  <c r="X41" i="2"/>
  <c r="X6" i="6"/>
  <c r="X7" i="6"/>
  <c r="X8" i="6"/>
  <c r="X9" i="6"/>
  <c r="X10" i="6"/>
  <c r="X11" i="6"/>
  <c r="X44" i="6"/>
  <c r="X43" i="6"/>
  <c r="Y8" i="2"/>
  <c r="Y41" i="2"/>
  <c r="Y6" i="6"/>
  <c r="Y7" i="6"/>
  <c r="Y8" i="6"/>
  <c r="Y9" i="6"/>
  <c r="Y10" i="6"/>
  <c r="Y11" i="6"/>
  <c r="Y44" i="6"/>
  <c r="Y43" i="6"/>
  <c r="Z8" i="2"/>
  <c r="Z41" i="2"/>
  <c r="Z6" i="6"/>
  <c r="Z7" i="6"/>
  <c r="Z8" i="6"/>
  <c r="Z9" i="6"/>
  <c r="Z10" i="6"/>
  <c r="Z11" i="6"/>
  <c r="Z44" i="6"/>
  <c r="Z43" i="6"/>
  <c r="AA8" i="2"/>
  <c r="AA41" i="2"/>
  <c r="AA6" i="6"/>
  <c r="AA7" i="6"/>
  <c r="AA8" i="6"/>
  <c r="AA9" i="6"/>
  <c r="AA10" i="6"/>
  <c r="AA11" i="6"/>
  <c r="AA44" i="6"/>
  <c r="AA43" i="6"/>
  <c r="AB8" i="2"/>
  <c r="AB41" i="2"/>
  <c r="AB6" i="6"/>
  <c r="AB7" i="6"/>
  <c r="AB8" i="6"/>
  <c r="AB9" i="6"/>
  <c r="AB10" i="6"/>
  <c r="AB11" i="6"/>
  <c r="AB44" i="6"/>
  <c r="AB43" i="6"/>
  <c r="AC8" i="2"/>
  <c r="AC41" i="2"/>
  <c r="AC6" i="6"/>
  <c r="AC7" i="6"/>
  <c r="AC8" i="6"/>
  <c r="AC9" i="6"/>
  <c r="AC10" i="6"/>
  <c r="AC11" i="6"/>
  <c r="AC44" i="6"/>
  <c r="AC43" i="6"/>
  <c r="AD8" i="2"/>
  <c r="AD41" i="2"/>
  <c r="AD6" i="6"/>
  <c r="AD7" i="6"/>
  <c r="AD8" i="6"/>
  <c r="AD9" i="6"/>
  <c r="AD10" i="6"/>
  <c r="AD11" i="6"/>
  <c r="AD44" i="6"/>
  <c r="AD43" i="6"/>
  <c r="AE8" i="2"/>
  <c r="AE41" i="2"/>
  <c r="AE6" i="6"/>
  <c r="AE7" i="6"/>
  <c r="AE8" i="6"/>
  <c r="AE9" i="6"/>
  <c r="AE10" i="6"/>
  <c r="AE11" i="6"/>
  <c r="AE44" i="6"/>
  <c r="AE43" i="6"/>
  <c r="AF8" i="2"/>
  <c r="AF41" i="2"/>
  <c r="J42" i="2"/>
  <c r="K42" i="2"/>
  <c r="L42" i="2"/>
  <c r="M42" i="2"/>
  <c r="N42" i="2"/>
  <c r="O42" i="2"/>
  <c r="P42" i="2"/>
  <c r="Q42" i="2"/>
  <c r="R42" i="2"/>
  <c r="S42" i="2"/>
  <c r="T42" i="2"/>
  <c r="U42" i="2"/>
  <c r="V42" i="2"/>
  <c r="W42" i="2"/>
  <c r="X42" i="2"/>
  <c r="Y42" i="2"/>
  <c r="Z42" i="2"/>
  <c r="AA42" i="2"/>
  <c r="AB42" i="2"/>
  <c r="AC42" i="2"/>
  <c r="AD42" i="2"/>
  <c r="AE42" i="2"/>
  <c r="AF42" i="2"/>
  <c r="I42" i="2"/>
  <c r="I41" i="2"/>
  <c r="D13" i="22"/>
  <c r="D15" i="22"/>
  <c r="V47" i="5"/>
  <c r="R10" i="5"/>
  <c r="L14" i="5"/>
  <c r="R17" i="5"/>
  <c r="R16" i="5"/>
  <c r="L16" i="5"/>
  <c r="L19" i="5"/>
  <c r="L20" i="5"/>
  <c r="L21" i="5"/>
  <c r="L22" i="5"/>
  <c r="L33" i="5"/>
  <c r="L29" i="5"/>
  <c r="L26" i="5"/>
  <c r="L27" i="5"/>
  <c r="L28" i="5"/>
  <c r="L34" i="5"/>
  <c r="L36" i="5"/>
  <c r="L37" i="5"/>
  <c r="V67" i="5"/>
  <c r="W63" i="5"/>
  <c r="W64" i="5"/>
  <c r="W66" i="5"/>
  <c r="W67" i="5"/>
  <c r="X67" i="5"/>
  <c r="S47" i="5"/>
  <c r="M14" i="5"/>
  <c r="M16" i="5"/>
  <c r="M19" i="5"/>
  <c r="M20" i="5"/>
  <c r="M21" i="5"/>
  <c r="M22" i="5"/>
  <c r="M33" i="5"/>
  <c r="M29" i="5"/>
  <c r="M26" i="5"/>
  <c r="M27" i="5"/>
  <c r="M28" i="5"/>
  <c r="M34" i="5"/>
  <c r="M36" i="5"/>
  <c r="M37" i="5"/>
  <c r="S67" i="5"/>
  <c r="T63" i="5"/>
  <c r="T64" i="5"/>
  <c r="T66" i="5"/>
  <c r="T67" i="5"/>
  <c r="U67" i="5"/>
  <c r="K56" i="5"/>
  <c r="K57" i="5"/>
  <c r="K58" i="5"/>
  <c r="K61" i="5"/>
  <c r="K63" i="5"/>
  <c r="K64" i="5"/>
  <c r="K66" i="5"/>
  <c r="K67" i="5"/>
  <c r="F25" i="2"/>
  <c r="F32" i="2"/>
  <c r="F34" i="2"/>
  <c r="F57" i="2"/>
  <c r="F59" i="2"/>
  <c r="R26" i="5"/>
  <c r="R27" i="5"/>
  <c r="R28" i="5"/>
  <c r="R20" i="5"/>
  <c r="R21" i="5"/>
  <c r="R19" i="5"/>
  <c r="R14" i="5"/>
  <c r="R22" i="5"/>
  <c r="R33" i="5"/>
  <c r="R29" i="5"/>
  <c r="R34" i="5"/>
  <c r="R36" i="5"/>
  <c r="R37" i="5"/>
  <c r="D9" i="20"/>
  <c r="J47" i="5"/>
  <c r="M47" i="5"/>
  <c r="P47" i="5"/>
  <c r="Y47" i="5"/>
  <c r="J14" i="5"/>
  <c r="I7" i="2"/>
  <c r="J7" i="2"/>
  <c r="K7" i="2"/>
  <c r="G8" i="17"/>
  <c r="J19" i="5"/>
  <c r="I9" i="2"/>
  <c r="J9" i="2"/>
  <c r="K9" i="2"/>
  <c r="G9" i="17"/>
  <c r="J20" i="5"/>
  <c r="J21" i="5"/>
  <c r="I11" i="2"/>
  <c r="J11" i="2"/>
  <c r="K11" i="2"/>
  <c r="J5" i="8"/>
  <c r="I12" i="2"/>
  <c r="J13" i="2"/>
  <c r="J12" i="2"/>
  <c r="K13" i="2"/>
  <c r="K12" i="2"/>
  <c r="G10" i="17"/>
  <c r="G11" i="17"/>
  <c r="I16" i="2"/>
  <c r="J16" i="2"/>
  <c r="K16" i="2"/>
  <c r="G13" i="17"/>
  <c r="J22" i="5"/>
  <c r="J33" i="5"/>
  <c r="I17" i="2"/>
  <c r="J17" i="2"/>
  <c r="K17" i="2"/>
  <c r="G14" i="17"/>
  <c r="G16" i="17"/>
  <c r="I28" i="2"/>
  <c r="J28" i="2"/>
  <c r="K28" i="2"/>
  <c r="J29" i="5"/>
  <c r="I29" i="2"/>
  <c r="J29" i="2"/>
  <c r="K29" i="2"/>
  <c r="G25" i="17"/>
  <c r="I30" i="2"/>
  <c r="J30" i="2"/>
  <c r="K30" i="2"/>
  <c r="G26" i="17"/>
  <c r="I31" i="2"/>
  <c r="J31" i="2"/>
  <c r="K31" i="2"/>
  <c r="G27" i="17"/>
  <c r="J26" i="5"/>
  <c r="J27" i="5"/>
  <c r="I22" i="2"/>
  <c r="J22" i="2"/>
  <c r="K22" i="2"/>
  <c r="G19" i="17"/>
  <c r="I23" i="2"/>
  <c r="J23" i="2"/>
  <c r="K23" i="2"/>
  <c r="G20" i="17"/>
  <c r="J24" i="2"/>
  <c r="K24" i="2"/>
  <c r="I7" i="11"/>
  <c r="I12" i="11"/>
  <c r="I17" i="11"/>
  <c r="I10" i="11"/>
  <c r="I20" i="11"/>
  <c r="I24" i="11"/>
  <c r="I37" i="2"/>
  <c r="I24" i="2"/>
  <c r="G21" i="17"/>
  <c r="G22" i="17"/>
  <c r="G28" i="17"/>
  <c r="H8" i="2"/>
  <c r="G36" i="17"/>
  <c r="J7" i="11"/>
  <c r="J12" i="11"/>
  <c r="J17" i="11"/>
  <c r="J10" i="11"/>
  <c r="J20" i="11"/>
  <c r="J24" i="11"/>
  <c r="J37" i="2"/>
  <c r="K7" i="11"/>
  <c r="K12" i="11"/>
  <c r="K17" i="11"/>
  <c r="K10" i="11"/>
  <c r="K20" i="11"/>
  <c r="K24" i="11"/>
  <c r="K37" i="2"/>
  <c r="G33" i="17"/>
  <c r="I38" i="2"/>
  <c r="J38" i="2"/>
  <c r="K38" i="2"/>
  <c r="G34" i="17"/>
  <c r="G39" i="2"/>
  <c r="I39" i="2"/>
  <c r="J39" i="2"/>
  <c r="K39" i="2"/>
  <c r="G35" i="17"/>
  <c r="J49" i="2"/>
  <c r="K49" i="2"/>
  <c r="G51" i="2"/>
  <c r="I51" i="2"/>
  <c r="J51" i="2"/>
  <c r="K51" i="2"/>
  <c r="G38" i="17"/>
  <c r="G50" i="2"/>
  <c r="I50" i="2"/>
  <c r="J50" i="2"/>
  <c r="K50" i="2"/>
  <c r="G39" i="17"/>
  <c r="G52" i="2"/>
  <c r="I52" i="2"/>
  <c r="J52" i="2"/>
  <c r="K52" i="2"/>
  <c r="G40" i="17"/>
  <c r="G44" i="2"/>
  <c r="I44" i="2"/>
  <c r="J44" i="2"/>
  <c r="K44" i="2"/>
  <c r="G45" i="2"/>
  <c r="I45" i="2"/>
  <c r="J45" i="2"/>
  <c r="K45" i="2"/>
  <c r="G41" i="17"/>
  <c r="G54" i="2"/>
  <c r="I54" i="2"/>
  <c r="J54" i="2"/>
  <c r="K54" i="2"/>
  <c r="G55" i="2"/>
  <c r="I55" i="2"/>
  <c r="J55" i="2"/>
  <c r="K55" i="2"/>
  <c r="G46" i="2"/>
  <c r="I46" i="2"/>
  <c r="J46" i="2"/>
  <c r="K46" i="2"/>
  <c r="G56" i="2"/>
  <c r="I56" i="2"/>
  <c r="J56" i="2"/>
  <c r="K56" i="2"/>
  <c r="G53" i="2"/>
  <c r="I53" i="2"/>
  <c r="J53" i="2"/>
  <c r="K53" i="2"/>
  <c r="G47" i="2"/>
  <c r="I47" i="2"/>
  <c r="J47" i="2"/>
  <c r="K47" i="2"/>
  <c r="G42" i="17"/>
  <c r="G43" i="17"/>
  <c r="G45" i="17"/>
  <c r="L7" i="2"/>
  <c r="M7" i="2"/>
  <c r="N7" i="2"/>
  <c r="H8" i="17"/>
  <c r="L9" i="2"/>
  <c r="M9" i="2"/>
  <c r="N9" i="2"/>
  <c r="H9" i="17"/>
  <c r="L11" i="2"/>
  <c r="M11" i="2"/>
  <c r="N11" i="2"/>
  <c r="L13" i="2"/>
  <c r="L12" i="2"/>
  <c r="M13" i="2"/>
  <c r="M12" i="2"/>
  <c r="N13" i="2"/>
  <c r="N12" i="2"/>
  <c r="H10" i="17"/>
  <c r="H11" i="17"/>
  <c r="L16" i="2"/>
  <c r="M16" i="2"/>
  <c r="N16" i="2"/>
  <c r="H13" i="17"/>
  <c r="L17" i="2"/>
  <c r="M17" i="2"/>
  <c r="N17" i="2"/>
  <c r="H14" i="17"/>
  <c r="H16" i="17"/>
  <c r="L28" i="2"/>
  <c r="M28" i="2"/>
  <c r="N28" i="2"/>
  <c r="L29" i="2"/>
  <c r="M29" i="2"/>
  <c r="N29" i="2"/>
  <c r="H25" i="17"/>
  <c r="L30" i="2"/>
  <c r="M30" i="2"/>
  <c r="N30" i="2"/>
  <c r="H26" i="17"/>
  <c r="L31" i="2"/>
  <c r="M31" i="2"/>
  <c r="N31" i="2"/>
  <c r="H27" i="17"/>
  <c r="L22" i="2"/>
  <c r="M22" i="2"/>
  <c r="N22" i="2"/>
  <c r="H19" i="17"/>
  <c r="L23" i="2"/>
  <c r="M23" i="2"/>
  <c r="N23" i="2"/>
  <c r="H20" i="17"/>
  <c r="L24" i="2"/>
  <c r="M24" i="2"/>
  <c r="N24" i="2"/>
  <c r="H21" i="17"/>
  <c r="H22" i="17"/>
  <c r="H28" i="17"/>
  <c r="H36" i="17"/>
  <c r="L7" i="11"/>
  <c r="L12" i="11"/>
  <c r="L17" i="11"/>
  <c r="L10" i="11"/>
  <c r="L20" i="11"/>
  <c r="L24" i="11"/>
  <c r="L37" i="2"/>
  <c r="M7" i="11"/>
  <c r="M12" i="11"/>
  <c r="M17" i="11"/>
  <c r="M10" i="11"/>
  <c r="M20" i="11"/>
  <c r="M24" i="11"/>
  <c r="M37" i="2"/>
  <c r="N7" i="11"/>
  <c r="N12" i="11"/>
  <c r="N17" i="11"/>
  <c r="N10" i="11"/>
  <c r="N20" i="11"/>
  <c r="N24" i="11"/>
  <c r="N37" i="2"/>
  <c r="H33" i="17"/>
  <c r="L38" i="2"/>
  <c r="M38" i="2"/>
  <c r="N38" i="2"/>
  <c r="H34" i="17"/>
  <c r="L39" i="2"/>
  <c r="M39" i="2"/>
  <c r="N39" i="2"/>
  <c r="H35" i="17"/>
  <c r="L49" i="2"/>
  <c r="M49" i="2"/>
  <c r="N49" i="2"/>
  <c r="L51" i="2"/>
  <c r="M51" i="2"/>
  <c r="N51" i="2"/>
  <c r="H38" i="17"/>
  <c r="L50" i="2"/>
  <c r="M50" i="2"/>
  <c r="N50" i="2"/>
  <c r="H39" i="17"/>
  <c r="L52" i="2"/>
  <c r="M52" i="2"/>
  <c r="N52" i="2"/>
  <c r="H40" i="17"/>
  <c r="L44" i="2"/>
  <c r="M44" i="2"/>
  <c r="N44" i="2"/>
  <c r="L45" i="2"/>
  <c r="M45" i="2"/>
  <c r="N45" i="2"/>
  <c r="H41" i="17"/>
  <c r="L54" i="2"/>
  <c r="M54" i="2"/>
  <c r="N54" i="2"/>
  <c r="L55" i="2"/>
  <c r="M55" i="2"/>
  <c r="N55" i="2"/>
  <c r="L46" i="2"/>
  <c r="M46" i="2"/>
  <c r="N46" i="2"/>
  <c r="L56" i="2"/>
  <c r="M56" i="2"/>
  <c r="N56" i="2"/>
  <c r="L53" i="2"/>
  <c r="M53" i="2"/>
  <c r="N53" i="2"/>
  <c r="L47" i="2"/>
  <c r="M47" i="2"/>
  <c r="N47" i="2"/>
  <c r="H42" i="17"/>
  <c r="H43" i="17"/>
  <c r="H45" i="17"/>
  <c r="O7" i="2"/>
  <c r="P7" i="2"/>
  <c r="Q7" i="2"/>
  <c r="I8" i="17"/>
  <c r="O9" i="2"/>
  <c r="P9" i="2"/>
  <c r="Q9" i="2"/>
  <c r="I9" i="17"/>
  <c r="O11" i="2"/>
  <c r="P11" i="2"/>
  <c r="Q11" i="2"/>
  <c r="O13" i="2"/>
  <c r="O12" i="2"/>
  <c r="P13" i="2"/>
  <c r="P12" i="2"/>
  <c r="Q13" i="2"/>
  <c r="Q12" i="2"/>
  <c r="I10" i="17"/>
  <c r="I11" i="17"/>
  <c r="O16" i="2"/>
  <c r="P16" i="2"/>
  <c r="Q16" i="2"/>
  <c r="I13" i="17"/>
  <c r="O17" i="2"/>
  <c r="P17" i="2"/>
  <c r="Q17" i="2"/>
  <c r="I14" i="17"/>
  <c r="I16" i="17"/>
  <c r="O28" i="2"/>
  <c r="P28" i="2"/>
  <c r="Q28" i="2"/>
  <c r="O29" i="2"/>
  <c r="P29" i="2"/>
  <c r="Q29" i="2"/>
  <c r="I25" i="17"/>
  <c r="O30" i="2"/>
  <c r="P30" i="2"/>
  <c r="Q30" i="2"/>
  <c r="I26" i="17"/>
  <c r="O31" i="2"/>
  <c r="P31" i="2"/>
  <c r="Q31" i="2"/>
  <c r="I27" i="17"/>
  <c r="O22" i="2"/>
  <c r="P22" i="2"/>
  <c r="Q22" i="2"/>
  <c r="I19" i="17"/>
  <c r="O23" i="2"/>
  <c r="P23" i="2"/>
  <c r="Q23" i="2"/>
  <c r="I20" i="17"/>
  <c r="O24" i="2"/>
  <c r="P24" i="2"/>
  <c r="Q24" i="2"/>
  <c r="I21" i="17"/>
  <c r="I22" i="17"/>
  <c r="I28" i="17"/>
  <c r="I36" i="17"/>
  <c r="O7" i="11"/>
  <c r="O12" i="11"/>
  <c r="O17" i="11"/>
  <c r="O10" i="11"/>
  <c r="O20" i="11"/>
  <c r="O24" i="11"/>
  <c r="O37" i="2"/>
  <c r="P7" i="11"/>
  <c r="P12" i="11"/>
  <c r="P17" i="11"/>
  <c r="P10" i="11"/>
  <c r="P20" i="11"/>
  <c r="P24" i="11"/>
  <c r="P37" i="2"/>
  <c r="Q7" i="11"/>
  <c r="Q12" i="11"/>
  <c r="Q17" i="11"/>
  <c r="Q10" i="11"/>
  <c r="Q20" i="11"/>
  <c r="Q24" i="11"/>
  <c r="Q37" i="2"/>
  <c r="I33" i="17"/>
  <c r="O38" i="2"/>
  <c r="P38" i="2"/>
  <c r="Q38" i="2"/>
  <c r="I34" i="17"/>
  <c r="O39" i="2"/>
  <c r="P39" i="2"/>
  <c r="Q39" i="2"/>
  <c r="I35" i="17"/>
  <c r="O49" i="2"/>
  <c r="P49" i="2"/>
  <c r="Q49" i="2"/>
  <c r="O51" i="2"/>
  <c r="P51" i="2"/>
  <c r="Q51" i="2"/>
  <c r="I38" i="17"/>
  <c r="O50" i="2"/>
  <c r="P50" i="2"/>
  <c r="Q50" i="2"/>
  <c r="I39" i="17"/>
  <c r="O52" i="2"/>
  <c r="P52" i="2"/>
  <c r="Q52" i="2"/>
  <c r="I40" i="17"/>
  <c r="O44" i="2"/>
  <c r="P44" i="2"/>
  <c r="Q44" i="2"/>
  <c r="O45" i="2"/>
  <c r="P45" i="2"/>
  <c r="Q45" i="2"/>
  <c r="I41" i="17"/>
  <c r="O54" i="2"/>
  <c r="P54" i="2"/>
  <c r="Q54" i="2"/>
  <c r="O55" i="2"/>
  <c r="P55" i="2"/>
  <c r="Q55" i="2"/>
  <c r="O46" i="2"/>
  <c r="P46" i="2"/>
  <c r="Q46" i="2"/>
  <c r="O56" i="2"/>
  <c r="P56" i="2"/>
  <c r="Q56" i="2"/>
  <c r="O53" i="2"/>
  <c r="P53" i="2"/>
  <c r="Q53" i="2"/>
  <c r="O47" i="2"/>
  <c r="P47" i="2"/>
  <c r="Q47" i="2"/>
  <c r="I42" i="17"/>
  <c r="I43" i="17"/>
  <c r="I45" i="17"/>
  <c r="R7" i="2"/>
  <c r="S7" i="2"/>
  <c r="T7" i="2"/>
  <c r="J8" i="17"/>
  <c r="R9" i="2"/>
  <c r="S9" i="2"/>
  <c r="T9" i="2"/>
  <c r="J9" i="17"/>
  <c r="R11" i="2"/>
  <c r="S11" i="2"/>
  <c r="T11" i="2"/>
  <c r="R13" i="2"/>
  <c r="R12" i="2"/>
  <c r="S13" i="2"/>
  <c r="S12" i="2"/>
  <c r="T13" i="2"/>
  <c r="T12" i="2"/>
  <c r="J10" i="17"/>
  <c r="J11" i="17"/>
  <c r="R16" i="2"/>
  <c r="S16" i="2"/>
  <c r="T16" i="2"/>
  <c r="J13" i="17"/>
  <c r="R17" i="2"/>
  <c r="S17" i="2"/>
  <c r="T17" i="2"/>
  <c r="J14" i="17"/>
  <c r="J16" i="17"/>
  <c r="R28" i="2"/>
  <c r="S28" i="2"/>
  <c r="T28" i="2"/>
  <c r="R29" i="2"/>
  <c r="S29" i="2"/>
  <c r="T29" i="2"/>
  <c r="J25" i="17"/>
  <c r="R30" i="2"/>
  <c r="S30" i="2"/>
  <c r="T30" i="2"/>
  <c r="J26" i="17"/>
  <c r="R31" i="2"/>
  <c r="S31" i="2"/>
  <c r="T31" i="2"/>
  <c r="J27" i="17"/>
  <c r="R22" i="2"/>
  <c r="S22" i="2"/>
  <c r="T22" i="2"/>
  <c r="J19" i="17"/>
  <c r="R23" i="2"/>
  <c r="S23" i="2"/>
  <c r="T23" i="2"/>
  <c r="J20" i="17"/>
  <c r="R24" i="2"/>
  <c r="S24" i="2"/>
  <c r="T24" i="2"/>
  <c r="J21" i="17"/>
  <c r="J22" i="17"/>
  <c r="J28" i="17"/>
  <c r="J36" i="17"/>
  <c r="R7" i="11"/>
  <c r="R12" i="11"/>
  <c r="R17" i="11"/>
  <c r="R10" i="11"/>
  <c r="R20" i="11"/>
  <c r="R24" i="11"/>
  <c r="R37" i="2"/>
  <c r="S7" i="11"/>
  <c r="S12" i="11"/>
  <c r="S17" i="11"/>
  <c r="S10" i="11"/>
  <c r="S20" i="11"/>
  <c r="S24" i="11"/>
  <c r="S37" i="2"/>
  <c r="T7" i="11"/>
  <c r="T12" i="11"/>
  <c r="T17" i="11"/>
  <c r="T10" i="11"/>
  <c r="T20" i="11"/>
  <c r="T24" i="11"/>
  <c r="T37" i="2"/>
  <c r="J33" i="17"/>
  <c r="R38" i="2"/>
  <c r="S38" i="2"/>
  <c r="T38" i="2"/>
  <c r="J34" i="17"/>
  <c r="R39" i="2"/>
  <c r="S39" i="2"/>
  <c r="T39" i="2"/>
  <c r="J35" i="17"/>
  <c r="R49" i="2"/>
  <c r="S49" i="2"/>
  <c r="T49" i="2"/>
  <c r="R51" i="2"/>
  <c r="S51" i="2"/>
  <c r="T51" i="2"/>
  <c r="J38" i="17"/>
  <c r="R50" i="2"/>
  <c r="S50" i="2"/>
  <c r="T50" i="2"/>
  <c r="J39" i="17"/>
  <c r="R52" i="2"/>
  <c r="S52" i="2"/>
  <c r="T52" i="2"/>
  <c r="J40" i="17"/>
  <c r="R44" i="2"/>
  <c r="S44" i="2"/>
  <c r="T44" i="2"/>
  <c r="R45" i="2"/>
  <c r="S45" i="2"/>
  <c r="T45" i="2"/>
  <c r="J41" i="17"/>
  <c r="R54" i="2"/>
  <c r="S54" i="2"/>
  <c r="T54" i="2"/>
  <c r="R55" i="2"/>
  <c r="S55" i="2"/>
  <c r="T55" i="2"/>
  <c r="R46" i="2"/>
  <c r="S46" i="2"/>
  <c r="T46" i="2"/>
  <c r="R56" i="2"/>
  <c r="S56" i="2"/>
  <c r="T56" i="2"/>
  <c r="R53" i="2"/>
  <c r="S53" i="2"/>
  <c r="T53" i="2"/>
  <c r="R47" i="2"/>
  <c r="S47" i="2"/>
  <c r="T47" i="2"/>
  <c r="J42" i="17"/>
  <c r="J43" i="17"/>
  <c r="J45" i="17"/>
  <c r="U7" i="2"/>
  <c r="V7" i="2"/>
  <c r="W7" i="2"/>
  <c r="K8" i="17"/>
  <c r="U9" i="2"/>
  <c r="V9" i="2"/>
  <c r="W9" i="2"/>
  <c r="K9" i="17"/>
  <c r="U11" i="2"/>
  <c r="V11" i="2"/>
  <c r="W11" i="2"/>
  <c r="U13" i="2"/>
  <c r="U12" i="2"/>
  <c r="V13" i="2"/>
  <c r="V12" i="2"/>
  <c r="W13" i="2"/>
  <c r="W12" i="2"/>
  <c r="K10" i="17"/>
  <c r="K11" i="17"/>
  <c r="U16" i="2"/>
  <c r="V16" i="2"/>
  <c r="W16" i="2"/>
  <c r="K13" i="17"/>
  <c r="U17" i="2"/>
  <c r="V17" i="2"/>
  <c r="W17" i="2"/>
  <c r="K14" i="17"/>
  <c r="K16" i="17"/>
  <c r="U28" i="2"/>
  <c r="V28" i="2"/>
  <c r="W28" i="2"/>
  <c r="U29" i="2"/>
  <c r="V29" i="2"/>
  <c r="W29" i="2"/>
  <c r="K25" i="17"/>
  <c r="U30" i="2"/>
  <c r="V30" i="2"/>
  <c r="W30" i="2"/>
  <c r="K26" i="17"/>
  <c r="U31" i="2"/>
  <c r="V31" i="2"/>
  <c r="W31" i="2"/>
  <c r="K27" i="17"/>
  <c r="U22" i="2"/>
  <c r="V22" i="2"/>
  <c r="W22" i="2"/>
  <c r="K19" i="17"/>
  <c r="U23" i="2"/>
  <c r="V23" i="2"/>
  <c r="W23" i="2"/>
  <c r="K20" i="17"/>
  <c r="U24" i="2"/>
  <c r="V24" i="2"/>
  <c r="W24" i="2"/>
  <c r="K21" i="17"/>
  <c r="K22" i="17"/>
  <c r="K28" i="17"/>
  <c r="K36" i="17"/>
  <c r="U7" i="11"/>
  <c r="U12" i="11"/>
  <c r="U17" i="11"/>
  <c r="U10" i="11"/>
  <c r="U20" i="11"/>
  <c r="U24" i="11"/>
  <c r="U37" i="2"/>
  <c r="V7" i="11"/>
  <c r="V12" i="11"/>
  <c r="V17" i="11"/>
  <c r="V10" i="11"/>
  <c r="V20" i="11"/>
  <c r="V24" i="11"/>
  <c r="V37" i="2"/>
  <c r="W7" i="11"/>
  <c r="W12" i="11"/>
  <c r="W17" i="11"/>
  <c r="W10" i="11"/>
  <c r="W20" i="11"/>
  <c r="W24" i="11"/>
  <c r="W37" i="2"/>
  <c r="K33" i="17"/>
  <c r="U38" i="2"/>
  <c r="V38" i="2"/>
  <c r="W38" i="2"/>
  <c r="K34" i="17"/>
  <c r="U39" i="2"/>
  <c r="V39" i="2"/>
  <c r="W39" i="2"/>
  <c r="K35" i="17"/>
  <c r="U49" i="2"/>
  <c r="V49" i="2"/>
  <c r="W49" i="2"/>
  <c r="U51" i="2"/>
  <c r="V51" i="2"/>
  <c r="W51" i="2"/>
  <c r="K38" i="17"/>
  <c r="U50" i="2"/>
  <c r="V50" i="2"/>
  <c r="W50" i="2"/>
  <c r="K39" i="17"/>
  <c r="U52" i="2"/>
  <c r="V52" i="2"/>
  <c r="W52" i="2"/>
  <c r="K40" i="17"/>
  <c r="U44" i="2"/>
  <c r="V44" i="2"/>
  <c r="W44" i="2"/>
  <c r="U45" i="2"/>
  <c r="V45" i="2"/>
  <c r="W45" i="2"/>
  <c r="K41" i="17"/>
  <c r="U54" i="2"/>
  <c r="V54" i="2"/>
  <c r="W54" i="2"/>
  <c r="U55" i="2"/>
  <c r="V55" i="2"/>
  <c r="W55" i="2"/>
  <c r="U46" i="2"/>
  <c r="V46" i="2"/>
  <c r="W46" i="2"/>
  <c r="U56" i="2"/>
  <c r="V56" i="2"/>
  <c r="W56" i="2"/>
  <c r="U53" i="2"/>
  <c r="V53" i="2"/>
  <c r="W53" i="2"/>
  <c r="U47" i="2"/>
  <c r="V47" i="2"/>
  <c r="W47" i="2"/>
  <c r="K42" i="17"/>
  <c r="K43" i="17"/>
  <c r="K45" i="17"/>
  <c r="X7" i="2"/>
  <c r="Y7" i="2"/>
  <c r="Z7" i="2"/>
  <c r="L8" i="17"/>
  <c r="X9" i="2"/>
  <c r="Y9" i="2"/>
  <c r="Z9" i="2"/>
  <c r="L9" i="17"/>
  <c r="X11" i="2"/>
  <c r="Y11" i="2"/>
  <c r="Z11" i="2"/>
  <c r="X13" i="2"/>
  <c r="X12" i="2"/>
  <c r="Y13" i="2"/>
  <c r="Y12" i="2"/>
  <c r="Z13" i="2"/>
  <c r="Z12" i="2"/>
  <c r="L10" i="17"/>
  <c r="L11" i="17"/>
  <c r="X16" i="2"/>
  <c r="Y16" i="2"/>
  <c r="Z16" i="2"/>
  <c r="L13" i="17"/>
  <c r="X17" i="2"/>
  <c r="Y17" i="2"/>
  <c r="Z17" i="2"/>
  <c r="L14" i="17"/>
  <c r="L16" i="17"/>
  <c r="X28" i="2"/>
  <c r="Y28" i="2"/>
  <c r="Z28" i="2"/>
  <c r="X29" i="2"/>
  <c r="Y29" i="2"/>
  <c r="Z29" i="2"/>
  <c r="L25" i="17"/>
  <c r="X30" i="2"/>
  <c r="Y30" i="2"/>
  <c r="Z30" i="2"/>
  <c r="L26" i="17"/>
  <c r="X31" i="2"/>
  <c r="Y31" i="2"/>
  <c r="Z31" i="2"/>
  <c r="L27" i="17"/>
  <c r="X22" i="2"/>
  <c r="Y22" i="2"/>
  <c r="Z22" i="2"/>
  <c r="L19" i="17"/>
  <c r="X23" i="2"/>
  <c r="Y23" i="2"/>
  <c r="Z23" i="2"/>
  <c r="L20" i="17"/>
  <c r="X24" i="2"/>
  <c r="Y24" i="2"/>
  <c r="Z24" i="2"/>
  <c r="L21" i="17"/>
  <c r="L22" i="17"/>
  <c r="L28" i="17"/>
  <c r="L36" i="17"/>
  <c r="X7" i="11"/>
  <c r="X12" i="11"/>
  <c r="X17" i="11"/>
  <c r="X10" i="11"/>
  <c r="X20" i="11"/>
  <c r="X24" i="11"/>
  <c r="X37" i="2"/>
  <c r="Y7" i="11"/>
  <c r="Y12" i="11"/>
  <c r="Y17" i="11"/>
  <c r="Y10" i="11"/>
  <c r="Y20" i="11"/>
  <c r="Y24" i="11"/>
  <c r="Y37" i="2"/>
  <c r="Z7" i="11"/>
  <c r="Z12" i="11"/>
  <c r="Z17" i="11"/>
  <c r="Z10" i="11"/>
  <c r="Z20" i="11"/>
  <c r="Z24" i="11"/>
  <c r="Z37" i="2"/>
  <c r="L33" i="17"/>
  <c r="X38" i="2"/>
  <c r="Y38" i="2"/>
  <c r="Z38" i="2"/>
  <c r="L34" i="17"/>
  <c r="X39" i="2"/>
  <c r="Y39" i="2"/>
  <c r="Z39" i="2"/>
  <c r="L35" i="17"/>
  <c r="X49" i="2"/>
  <c r="Y49" i="2"/>
  <c r="Z49" i="2"/>
  <c r="X51" i="2"/>
  <c r="Y51" i="2"/>
  <c r="Z51" i="2"/>
  <c r="L38" i="17"/>
  <c r="X50" i="2"/>
  <c r="Y50" i="2"/>
  <c r="Z50" i="2"/>
  <c r="L39" i="17"/>
  <c r="X52" i="2"/>
  <c r="Y52" i="2"/>
  <c r="Z52" i="2"/>
  <c r="L40" i="17"/>
  <c r="X44" i="2"/>
  <c r="Y44" i="2"/>
  <c r="Z44" i="2"/>
  <c r="X45" i="2"/>
  <c r="Y45" i="2"/>
  <c r="Z45" i="2"/>
  <c r="L41" i="17"/>
  <c r="X54" i="2"/>
  <c r="Y54" i="2"/>
  <c r="Z54" i="2"/>
  <c r="X55" i="2"/>
  <c r="Y55" i="2"/>
  <c r="Z55" i="2"/>
  <c r="X46" i="2"/>
  <c r="Y46" i="2"/>
  <c r="Z46" i="2"/>
  <c r="X56" i="2"/>
  <c r="Y56" i="2"/>
  <c r="Z56" i="2"/>
  <c r="X53" i="2"/>
  <c r="Y53" i="2"/>
  <c r="Z53" i="2"/>
  <c r="X47" i="2"/>
  <c r="Y47" i="2"/>
  <c r="Z47" i="2"/>
  <c r="L42" i="17"/>
  <c r="L43" i="17"/>
  <c r="L45" i="17"/>
  <c r="AA7" i="2"/>
  <c r="AB7" i="2"/>
  <c r="AC7" i="2"/>
  <c r="M8" i="17"/>
  <c r="AA9" i="2"/>
  <c r="AB9" i="2"/>
  <c r="AC9" i="2"/>
  <c r="M9" i="17"/>
  <c r="AA11" i="2"/>
  <c r="AB11" i="2"/>
  <c r="AC11" i="2"/>
  <c r="AA13" i="2"/>
  <c r="AA12" i="2"/>
  <c r="AB13" i="2"/>
  <c r="AB12" i="2"/>
  <c r="AC13" i="2"/>
  <c r="AC12" i="2"/>
  <c r="M10" i="17"/>
  <c r="M11" i="17"/>
  <c r="AA16" i="2"/>
  <c r="AB16" i="2"/>
  <c r="AC16" i="2"/>
  <c r="M13" i="17"/>
  <c r="AA17" i="2"/>
  <c r="AB17" i="2"/>
  <c r="AC17" i="2"/>
  <c r="M14" i="17"/>
  <c r="M16" i="17"/>
  <c r="AA28" i="2"/>
  <c r="AB28" i="2"/>
  <c r="AC28" i="2"/>
  <c r="AA29" i="2"/>
  <c r="AB29" i="2"/>
  <c r="AC29" i="2"/>
  <c r="M25" i="17"/>
  <c r="AA30" i="2"/>
  <c r="AB30" i="2"/>
  <c r="AC30" i="2"/>
  <c r="M26" i="17"/>
  <c r="AA31" i="2"/>
  <c r="AB31" i="2"/>
  <c r="AC31" i="2"/>
  <c r="M27" i="17"/>
  <c r="AA22" i="2"/>
  <c r="AB22" i="2"/>
  <c r="AC22" i="2"/>
  <c r="M19" i="17"/>
  <c r="AA23" i="2"/>
  <c r="AB23" i="2"/>
  <c r="AC23" i="2"/>
  <c r="M20" i="17"/>
  <c r="AA24" i="2"/>
  <c r="AB24" i="2"/>
  <c r="AC24" i="2"/>
  <c r="M21" i="17"/>
  <c r="M22" i="17"/>
  <c r="M28" i="17"/>
  <c r="M36" i="17"/>
  <c r="AA7" i="11"/>
  <c r="AA12" i="11"/>
  <c r="AA17" i="11"/>
  <c r="AA10" i="11"/>
  <c r="AA20" i="11"/>
  <c r="AA24" i="11"/>
  <c r="AA37" i="2"/>
  <c r="AB7" i="11"/>
  <c r="AB12" i="11"/>
  <c r="AB17" i="11"/>
  <c r="AB10" i="11"/>
  <c r="AB20" i="11"/>
  <c r="AB24" i="11"/>
  <c r="AB37" i="2"/>
  <c r="AC7" i="11"/>
  <c r="AC12" i="11"/>
  <c r="AC17" i="11"/>
  <c r="AC10" i="11"/>
  <c r="AC20" i="11"/>
  <c r="AC24" i="11"/>
  <c r="AC37" i="2"/>
  <c r="M33" i="17"/>
  <c r="AA38" i="2"/>
  <c r="AB38" i="2"/>
  <c r="AC38" i="2"/>
  <c r="M34" i="17"/>
  <c r="AA39" i="2"/>
  <c r="AB39" i="2"/>
  <c r="AC39" i="2"/>
  <c r="M35" i="17"/>
  <c r="AA49" i="2"/>
  <c r="AB49" i="2"/>
  <c r="AC49" i="2"/>
  <c r="AA51" i="2"/>
  <c r="AB51" i="2"/>
  <c r="AC51" i="2"/>
  <c r="M38" i="17"/>
  <c r="AA50" i="2"/>
  <c r="AB50" i="2"/>
  <c r="AC50" i="2"/>
  <c r="M39" i="17"/>
  <c r="AA52" i="2"/>
  <c r="AB52" i="2"/>
  <c r="AC52" i="2"/>
  <c r="M40" i="17"/>
  <c r="AA44" i="2"/>
  <c r="AB44" i="2"/>
  <c r="AC44" i="2"/>
  <c r="AA45" i="2"/>
  <c r="AB45" i="2"/>
  <c r="AC45" i="2"/>
  <c r="M41" i="17"/>
  <c r="AA54" i="2"/>
  <c r="AB54" i="2"/>
  <c r="AC54" i="2"/>
  <c r="AA55" i="2"/>
  <c r="AB55" i="2"/>
  <c r="AC55" i="2"/>
  <c r="AA46" i="2"/>
  <c r="AB46" i="2"/>
  <c r="AC46" i="2"/>
  <c r="AA56" i="2"/>
  <c r="AB56" i="2"/>
  <c r="AC56" i="2"/>
  <c r="AA53" i="2"/>
  <c r="AB53" i="2"/>
  <c r="AC53" i="2"/>
  <c r="AA47" i="2"/>
  <c r="AB47" i="2"/>
  <c r="AC47" i="2"/>
  <c r="M42" i="17"/>
  <c r="M43" i="17"/>
  <c r="M45" i="17"/>
  <c r="AD7" i="2"/>
  <c r="AE7" i="2"/>
  <c r="AF7" i="2"/>
  <c r="N8" i="17"/>
  <c r="AD9" i="2"/>
  <c r="AE9" i="2"/>
  <c r="AF9" i="2"/>
  <c r="N9" i="17"/>
  <c r="AD11" i="2"/>
  <c r="AE11" i="2"/>
  <c r="AF11" i="2"/>
  <c r="AD13" i="2"/>
  <c r="AD12" i="2"/>
  <c r="AE13" i="2"/>
  <c r="AE12" i="2"/>
  <c r="AF13" i="2"/>
  <c r="AF12" i="2"/>
  <c r="N10" i="17"/>
  <c r="N11" i="17"/>
  <c r="AD16" i="2"/>
  <c r="AE16" i="2"/>
  <c r="AF16" i="2"/>
  <c r="N13" i="17"/>
  <c r="AD17" i="2"/>
  <c r="AE17" i="2"/>
  <c r="AF17" i="2"/>
  <c r="N14" i="17"/>
  <c r="N16" i="17"/>
  <c r="AD28" i="2"/>
  <c r="AE28" i="2"/>
  <c r="AF28" i="2"/>
  <c r="AD29" i="2"/>
  <c r="AE29" i="2"/>
  <c r="AF29" i="2"/>
  <c r="N25" i="17"/>
  <c r="AD30" i="2"/>
  <c r="AE30" i="2"/>
  <c r="AF30" i="2"/>
  <c r="N26" i="17"/>
  <c r="AD31" i="2"/>
  <c r="AE31" i="2"/>
  <c r="AF31" i="2"/>
  <c r="N27" i="17"/>
  <c r="AD22" i="2"/>
  <c r="AE22" i="2"/>
  <c r="AF22" i="2"/>
  <c r="N19" i="17"/>
  <c r="AD23" i="2"/>
  <c r="AE23" i="2"/>
  <c r="AF23" i="2"/>
  <c r="N20" i="17"/>
  <c r="AD24" i="2"/>
  <c r="AE24" i="2"/>
  <c r="AF24" i="2"/>
  <c r="N21" i="17"/>
  <c r="N22" i="17"/>
  <c r="N28" i="17"/>
  <c r="N36" i="17"/>
  <c r="AD7" i="11"/>
  <c r="AD12" i="11"/>
  <c r="AD17" i="11"/>
  <c r="AD10" i="11"/>
  <c r="AD20" i="11"/>
  <c r="AD24" i="11"/>
  <c r="AD37" i="2"/>
  <c r="AE7" i="11"/>
  <c r="AE12" i="11"/>
  <c r="AE17" i="11"/>
  <c r="AE10" i="11"/>
  <c r="AE20" i="11"/>
  <c r="AE24" i="11"/>
  <c r="AE37" i="2"/>
  <c r="AF7" i="11"/>
  <c r="AF12" i="11"/>
  <c r="AF17" i="11"/>
  <c r="AF10" i="11"/>
  <c r="AF20" i="11"/>
  <c r="AF24" i="11"/>
  <c r="AF37" i="2"/>
  <c r="N33" i="17"/>
  <c r="AD38" i="2"/>
  <c r="AE38" i="2"/>
  <c r="AF38" i="2"/>
  <c r="N34" i="17"/>
  <c r="AD39" i="2"/>
  <c r="AE39" i="2"/>
  <c r="AF39" i="2"/>
  <c r="N35" i="17"/>
  <c r="AD49" i="2"/>
  <c r="AE49" i="2"/>
  <c r="AF49" i="2"/>
  <c r="AD51" i="2"/>
  <c r="AE51" i="2"/>
  <c r="AF51" i="2"/>
  <c r="N38" i="17"/>
  <c r="AD50" i="2"/>
  <c r="AE50" i="2"/>
  <c r="AF50" i="2"/>
  <c r="N39" i="17"/>
  <c r="AD52" i="2"/>
  <c r="AE52" i="2"/>
  <c r="AF52" i="2"/>
  <c r="N40" i="17"/>
  <c r="AD44" i="2"/>
  <c r="AE44" i="2"/>
  <c r="AF44" i="2"/>
  <c r="AD45" i="2"/>
  <c r="AE45" i="2"/>
  <c r="AF45" i="2"/>
  <c r="N41" i="17"/>
  <c r="AD54" i="2"/>
  <c r="AE54" i="2"/>
  <c r="AF54" i="2"/>
  <c r="AD55" i="2"/>
  <c r="AE55" i="2"/>
  <c r="AF55" i="2"/>
  <c r="AD46" i="2"/>
  <c r="AE46" i="2"/>
  <c r="AF46" i="2"/>
  <c r="AD56" i="2"/>
  <c r="AE56" i="2"/>
  <c r="AF56" i="2"/>
  <c r="AD53" i="2"/>
  <c r="AE53" i="2"/>
  <c r="AF53" i="2"/>
  <c r="AD47" i="2"/>
  <c r="AE47" i="2"/>
  <c r="AF47" i="2"/>
  <c r="N42" i="17"/>
  <c r="N43" i="17"/>
  <c r="N45" i="17"/>
  <c r="AF6" i="6"/>
  <c r="AF7" i="6"/>
  <c r="AF8" i="6"/>
  <c r="AF9" i="6"/>
  <c r="AF10" i="6"/>
  <c r="AF11" i="6"/>
  <c r="AF44" i="6"/>
  <c r="AF43" i="6"/>
  <c r="AG7" i="2"/>
  <c r="AK7" i="2"/>
  <c r="T8" i="17"/>
  <c r="AG9" i="2"/>
  <c r="AK9" i="2"/>
  <c r="T9" i="17"/>
  <c r="AG11" i="2"/>
  <c r="AK11" i="2"/>
  <c r="AG13" i="2"/>
  <c r="AG12" i="2"/>
  <c r="AK12" i="2"/>
  <c r="T10" i="17"/>
  <c r="T11" i="17"/>
  <c r="AG16" i="2"/>
  <c r="AK16" i="2"/>
  <c r="T13" i="17"/>
  <c r="AG17" i="2"/>
  <c r="AK17" i="2"/>
  <c r="T14" i="17"/>
  <c r="T16" i="17"/>
  <c r="AJ28" i="2"/>
  <c r="AI28" i="2"/>
  <c r="AK28" i="2"/>
  <c r="AJ29" i="2"/>
  <c r="AI29" i="2"/>
  <c r="AK29" i="2"/>
  <c r="T25" i="17"/>
  <c r="AJ30" i="2"/>
  <c r="AI30" i="2"/>
  <c r="AK30" i="2"/>
  <c r="T26" i="17"/>
  <c r="AJ31" i="2"/>
  <c r="AI31" i="2"/>
  <c r="AK31" i="2"/>
  <c r="T27" i="17"/>
  <c r="AG22" i="2"/>
  <c r="AK22" i="2"/>
  <c r="T19" i="17"/>
  <c r="AJ23" i="2"/>
  <c r="AI23" i="2"/>
  <c r="AK23" i="2"/>
  <c r="T20" i="17"/>
  <c r="AJ24" i="2"/>
  <c r="AI24" i="2"/>
  <c r="AK24" i="2"/>
  <c r="T21" i="17"/>
  <c r="T22" i="17"/>
  <c r="T28" i="17"/>
  <c r="AJ41" i="2"/>
  <c r="AI41" i="2"/>
  <c r="AK41" i="2"/>
  <c r="AJ42" i="2"/>
  <c r="AI42" i="2"/>
  <c r="AK42" i="2"/>
  <c r="T36" i="17"/>
  <c r="AJ37" i="2"/>
  <c r="AI37" i="2"/>
  <c r="AK37" i="2"/>
  <c r="T33" i="17"/>
  <c r="AJ38" i="2"/>
  <c r="AK38" i="2"/>
  <c r="T34" i="17"/>
  <c r="AJ39" i="2"/>
  <c r="AK39" i="2"/>
  <c r="T35" i="17"/>
  <c r="AJ51" i="2"/>
  <c r="AI51" i="2"/>
  <c r="AK51" i="2"/>
  <c r="AJ49" i="2"/>
  <c r="AI49" i="2"/>
  <c r="AK49" i="2"/>
  <c r="T38" i="17"/>
  <c r="AJ50" i="2"/>
  <c r="AI50" i="2"/>
  <c r="AK50" i="2"/>
  <c r="T39" i="17"/>
  <c r="AJ52" i="2"/>
  <c r="AI52" i="2"/>
  <c r="AK52" i="2"/>
  <c r="T40" i="17"/>
  <c r="AJ45" i="2"/>
  <c r="AK45" i="2"/>
  <c r="AJ44" i="2"/>
  <c r="AK44" i="2"/>
  <c r="T41" i="17"/>
  <c r="AJ53" i="2"/>
  <c r="AK53" i="2"/>
  <c r="AJ54" i="2"/>
  <c r="AK54" i="2"/>
  <c r="AJ55" i="2"/>
  <c r="AK55" i="2"/>
  <c r="AJ56" i="2"/>
  <c r="AK56" i="2"/>
  <c r="AJ46" i="2"/>
  <c r="AK46" i="2"/>
  <c r="AJ47" i="2"/>
  <c r="AK47" i="2"/>
  <c r="T42" i="17"/>
  <c r="T43" i="17"/>
  <c r="T45" i="17"/>
  <c r="D7" i="20"/>
  <c r="I14" i="2"/>
  <c r="I19" i="2"/>
  <c r="I25" i="2"/>
  <c r="I32" i="2"/>
  <c r="I34" i="2"/>
  <c r="I57" i="2"/>
  <c r="I59" i="2"/>
  <c r="I64" i="2"/>
  <c r="J14" i="2"/>
  <c r="J19" i="2"/>
  <c r="J25" i="2"/>
  <c r="J32" i="2"/>
  <c r="J34" i="2"/>
  <c r="J57" i="2"/>
  <c r="J59" i="2"/>
  <c r="J62" i="2"/>
  <c r="J64" i="2"/>
  <c r="K14" i="2"/>
  <c r="K19" i="2"/>
  <c r="K25" i="2"/>
  <c r="K32" i="2"/>
  <c r="K34" i="2"/>
  <c r="K57" i="2"/>
  <c r="K59" i="2"/>
  <c r="K62" i="2"/>
  <c r="K64" i="2"/>
  <c r="L14" i="2"/>
  <c r="L19" i="2"/>
  <c r="L25" i="2"/>
  <c r="L32" i="2"/>
  <c r="L34" i="2"/>
  <c r="L57" i="2"/>
  <c r="L59" i="2"/>
  <c r="L62" i="2"/>
  <c r="L64" i="2"/>
  <c r="M14" i="2"/>
  <c r="M19" i="2"/>
  <c r="M25" i="2"/>
  <c r="M32" i="2"/>
  <c r="M34" i="2"/>
  <c r="M57" i="2"/>
  <c r="M59" i="2"/>
  <c r="M62" i="2"/>
  <c r="M64" i="2"/>
  <c r="N14" i="2"/>
  <c r="N19" i="2"/>
  <c r="N25" i="2"/>
  <c r="N32" i="2"/>
  <c r="N34" i="2"/>
  <c r="N57" i="2"/>
  <c r="N59" i="2"/>
  <c r="N62" i="2"/>
  <c r="N64" i="2"/>
  <c r="O14" i="2"/>
  <c r="O19" i="2"/>
  <c r="O25" i="2"/>
  <c r="O32" i="2"/>
  <c r="O34" i="2"/>
  <c r="O57" i="2"/>
  <c r="O59" i="2"/>
  <c r="O62" i="2"/>
  <c r="O64" i="2"/>
  <c r="P14" i="2"/>
  <c r="P19" i="2"/>
  <c r="P25" i="2"/>
  <c r="P32" i="2"/>
  <c r="P34" i="2"/>
  <c r="P57" i="2"/>
  <c r="P59" i="2"/>
  <c r="P62" i="2"/>
  <c r="P64" i="2"/>
  <c r="Q14" i="2"/>
  <c r="Q19" i="2"/>
  <c r="Q25" i="2"/>
  <c r="Q32" i="2"/>
  <c r="Q34" i="2"/>
  <c r="Q57" i="2"/>
  <c r="Q59" i="2"/>
  <c r="Q62" i="2"/>
  <c r="Q64" i="2"/>
  <c r="R14" i="2"/>
  <c r="R19" i="2"/>
  <c r="R25" i="2"/>
  <c r="R32" i="2"/>
  <c r="R34" i="2"/>
  <c r="R57" i="2"/>
  <c r="R59" i="2"/>
  <c r="R62" i="2"/>
  <c r="R64" i="2"/>
  <c r="S14" i="2"/>
  <c r="S19" i="2"/>
  <c r="S25" i="2"/>
  <c r="S32" i="2"/>
  <c r="S34" i="2"/>
  <c r="S57" i="2"/>
  <c r="S59" i="2"/>
  <c r="S62" i="2"/>
  <c r="S64" i="2"/>
  <c r="T14" i="2"/>
  <c r="T19" i="2"/>
  <c r="T25" i="2"/>
  <c r="T32" i="2"/>
  <c r="T34" i="2"/>
  <c r="T57" i="2"/>
  <c r="T59" i="2"/>
  <c r="T62" i="2"/>
  <c r="T64" i="2"/>
  <c r="U14" i="2"/>
  <c r="U19" i="2"/>
  <c r="U25" i="2"/>
  <c r="U32" i="2"/>
  <c r="U34" i="2"/>
  <c r="U57" i="2"/>
  <c r="U59" i="2"/>
  <c r="U62" i="2"/>
  <c r="U64" i="2"/>
  <c r="V14" i="2"/>
  <c r="V19" i="2"/>
  <c r="V25" i="2"/>
  <c r="V32" i="2"/>
  <c r="V34" i="2"/>
  <c r="V57" i="2"/>
  <c r="V59" i="2"/>
  <c r="V62" i="2"/>
  <c r="V64" i="2"/>
  <c r="W14" i="2"/>
  <c r="W19" i="2"/>
  <c r="W25" i="2"/>
  <c r="W32" i="2"/>
  <c r="W34" i="2"/>
  <c r="W57" i="2"/>
  <c r="W59" i="2"/>
  <c r="W62" i="2"/>
  <c r="W64" i="2"/>
  <c r="X14" i="2"/>
  <c r="X19" i="2"/>
  <c r="X25" i="2"/>
  <c r="X32" i="2"/>
  <c r="X34" i="2"/>
  <c r="X57" i="2"/>
  <c r="X59" i="2"/>
  <c r="X62" i="2"/>
  <c r="X64" i="2"/>
  <c r="Y14" i="2"/>
  <c r="Y19" i="2"/>
  <c r="Y25" i="2"/>
  <c r="Y32" i="2"/>
  <c r="Y34" i="2"/>
  <c r="Y57" i="2"/>
  <c r="Y59" i="2"/>
  <c r="Y62" i="2"/>
  <c r="Y64" i="2"/>
  <c r="Z14" i="2"/>
  <c r="Z19" i="2"/>
  <c r="Z25" i="2"/>
  <c r="Z32" i="2"/>
  <c r="Z34" i="2"/>
  <c r="Z57" i="2"/>
  <c r="Z59" i="2"/>
  <c r="Z62" i="2"/>
  <c r="Z64" i="2"/>
  <c r="AA14" i="2"/>
  <c r="AA19" i="2"/>
  <c r="AA25" i="2"/>
  <c r="AA32" i="2"/>
  <c r="AA34" i="2"/>
  <c r="AA57" i="2"/>
  <c r="AA59" i="2"/>
  <c r="AA62" i="2"/>
  <c r="AA64" i="2"/>
  <c r="AB14" i="2"/>
  <c r="AB19" i="2"/>
  <c r="AB25" i="2"/>
  <c r="AB32" i="2"/>
  <c r="AB34" i="2"/>
  <c r="AB57" i="2"/>
  <c r="AB59" i="2"/>
  <c r="AB62" i="2"/>
  <c r="AB64" i="2"/>
  <c r="AC14" i="2"/>
  <c r="AC19" i="2"/>
  <c r="AC25" i="2"/>
  <c r="AC32" i="2"/>
  <c r="AC34" i="2"/>
  <c r="AC57" i="2"/>
  <c r="AC59" i="2"/>
  <c r="AC62" i="2"/>
  <c r="AC64" i="2"/>
  <c r="AD14" i="2"/>
  <c r="AD19" i="2"/>
  <c r="AD25" i="2"/>
  <c r="AD32" i="2"/>
  <c r="AD34" i="2"/>
  <c r="AD57" i="2"/>
  <c r="AD59" i="2"/>
  <c r="AD62" i="2"/>
  <c r="AD64" i="2"/>
  <c r="AE14" i="2"/>
  <c r="AE19" i="2"/>
  <c r="AE25" i="2"/>
  <c r="AE32" i="2"/>
  <c r="AE34" i="2"/>
  <c r="AE57" i="2"/>
  <c r="AE59" i="2"/>
  <c r="AE62" i="2"/>
  <c r="AE64" i="2"/>
  <c r="AF14" i="2"/>
  <c r="AF19" i="2"/>
  <c r="AF25" i="2"/>
  <c r="AF32" i="2"/>
  <c r="AF34" i="2"/>
  <c r="AF57" i="2"/>
  <c r="AF59" i="2"/>
  <c r="AF62" i="2"/>
  <c r="AF64" i="2"/>
  <c r="H66" i="2"/>
  <c r="D5" i="20"/>
  <c r="AC68" i="5"/>
  <c r="D19" i="20"/>
  <c r="R38" i="5"/>
  <c r="D17" i="20"/>
  <c r="D11" i="20"/>
  <c r="V56" i="5"/>
  <c r="W56" i="5"/>
  <c r="X56" i="5"/>
  <c r="F39" i="5"/>
  <c r="D15" i="20"/>
  <c r="R11" i="17"/>
  <c r="P11" i="17"/>
  <c r="F13" i="20"/>
  <c r="G7" i="2"/>
  <c r="E8" i="17"/>
  <c r="G9" i="2"/>
  <c r="E9" i="17"/>
  <c r="G11" i="2"/>
  <c r="E10" i="17"/>
  <c r="E11" i="17"/>
  <c r="D13" i="20"/>
  <c r="N30" i="17"/>
  <c r="M11" i="18"/>
  <c r="N48" i="17"/>
  <c r="M12" i="18"/>
  <c r="M13" i="18"/>
  <c r="M14" i="18"/>
  <c r="M17" i="18"/>
  <c r="M21" i="18"/>
  <c r="M30" i="17"/>
  <c r="L11" i="18"/>
  <c r="M48" i="17"/>
  <c r="L12" i="18"/>
  <c r="L13" i="18"/>
  <c r="L14" i="18"/>
  <c r="L17" i="18"/>
  <c r="L21" i="18"/>
  <c r="L30" i="17"/>
  <c r="K11" i="18"/>
  <c r="L48" i="17"/>
  <c r="K12" i="18"/>
  <c r="K13" i="18"/>
  <c r="K14" i="18"/>
  <c r="K17" i="18"/>
  <c r="K21" i="18"/>
  <c r="K30" i="17"/>
  <c r="J11" i="18"/>
  <c r="K48" i="17"/>
  <c r="J12" i="18"/>
  <c r="J13" i="18"/>
  <c r="J14" i="18"/>
  <c r="J17" i="18"/>
  <c r="J21" i="18"/>
  <c r="J30" i="17"/>
  <c r="I11" i="18"/>
  <c r="J48" i="17"/>
  <c r="I12" i="18"/>
  <c r="I13" i="18"/>
  <c r="I14" i="18"/>
  <c r="I17" i="18"/>
  <c r="I21" i="18"/>
  <c r="I30" i="17"/>
  <c r="H11" i="18"/>
  <c r="I48" i="17"/>
  <c r="H12" i="18"/>
  <c r="H13" i="18"/>
  <c r="H14" i="18"/>
  <c r="H17" i="18"/>
  <c r="H21" i="18"/>
  <c r="H30" i="17"/>
  <c r="G11" i="18"/>
  <c r="H48" i="17"/>
  <c r="G12" i="18"/>
  <c r="G13" i="18"/>
  <c r="G14" i="18"/>
  <c r="G17" i="18"/>
  <c r="G21" i="18"/>
  <c r="G30" i="17"/>
  <c r="F11" i="18"/>
  <c r="G48" i="17"/>
  <c r="F12" i="18"/>
  <c r="F13" i="18"/>
  <c r="F14" i="18"/>
  <c r="F17" i="18"/>
  <c r="F19" i="18"/>
  <c r="F21" i="18"/>
  <c r="G16" i="2"/>
  <c r="E13" i="17"/>
  <c r="G17" i="2"/>
  <c r="E14" i="17"/>
  <c r="E16" i="17"/>
  <c r="G28" i="2"/>
  <c r="G29" i="2"/>
  <c r="E25" i="17"/>
  <c r="G30" i="2"/>
  <c r="E26" i="17"/>
  <c r="G31" i="2"/>
  <c r="E27" i="17"/>
  <c r="G22" i="2"/>
  <c r="E19" i="17"/>
  <c r="G23" i="2"/>
  <c r="E20" i="17"/>
  <c r="G24" i="2"/>
  <c r="E21" i="17"/>
  <c r="E22" i="17"/>
  <c r="E28" i="17"/>
  <c r="E30" i="17"/>
  <c r="D11" i="18"/>
  <c r="G37" i="2"/>
  <c r="E33" i="17"/>
  <c r="E34" i="17"/>
  <c r="E35" i="17"/>
  <c r="G41" i="2"/>
  <c r="G42" i="2"/>
  <c r="E36" i="17"/>
  <c r="G49" i="2"/>
  <c r="E38" i="17"/>
  <c r="E39" i="17"/>
  <c r="E40" i="17"/>
  <c r="E41" i="17"/>
  <c r="E42" i="17"/>
  <c r="E43" i="17"/>
  <c r="D13" i="18"/>
  <c r="D14" i="18"/>
  <c r="D21" i="18"/>
  <c r="D25" i="18"/>
  <c r="F23" i="18"/>
  <c r="F25" i="18"/>
  <c r="G23" i="18"/>
  <c r="G25" i="18"/>
  <c r="H23" i="18"/>
  <c r="H25" i="18"/>
  <c r="I23" i="18"/>
  <c r="I25" i="18"/>
  <c r="J23" i="18"/>
  <c r="J25" i="18"/>
  <c r="K23" i="18"/>
  <c r="K25" i="18"/>
  <c r="L23" i="18"/>
  <c r="L25" i="18"/>
  <c r="M23" i="18"/>
  <c r="M25" i="18"/>
  <c r="O23" i="18"/>
  <c r="T30" i="17"/>
  <c r="O11" i="18"/>
  <c r="AK62" i="2"/>
  <c r="T48" i="17"/>
  <c r="O12" i="18"/>
  <c r="O13" i="18"/>
  <c r="O14" i="18"/>
  <c r="O17" i="18"/>
  <c r="O21" i="18"/>
  <c r="O25" i="18"/>
  <c r="O7" i="18"/>
  <c r="O8" i="18"/>
  <c r="O9" i="18"/>
  <c r="G7" i="18"/>
  <c r="H7" i="18"/>
  <c r="I7" i="18"/>
  <c r="J7" i="18"/>
  <c r="K7" i="18"/>
  <c r="L7" i="18"/>
  <c r="M7" i="18"/>
  <c r="G8" i="18"/>
  <c r="H8" i="18"/>
  <c r="I8" i="18"/>
  <c r="J8" i="18"/>
  <c r="K8" i="18"/>
  <c r="L8" i="18"/>
  <c r="M8" i="18"/>
  <c r="G9" i="18"/>
  <c r="H9" i="18"/>
  <c r="I9" i="18"/>
  <c r="J9" i="18"/>
  <c r="K9" i="18"/>
  <c r="L9" i="18"/>
  <c r="M9" i="18"/>
  <c r="F7" i="18"/>
  <c r="F8" i="18"/>
  <c r="F9" i="18"/>
  <c r="R16" i="17"/>
  <c r="R25" i="17"/>
  <c r="R26" i="17"/>
  <c r="R27" i="17"/>
  <c r="R22" i="17"/>
  <c r="R28" i="17"/>
  <c r="R30" i="17"/>
  <c r="P13" i="17"/>
  <c r="P14" i="17"/>
  <c r="P16" i="17"/>
  <c r="P25" i="17"/>
  <c r="P26" i="17"/>
  <c r="P27" i="17"/>
  <c r="P22" i="17"/>
  <c r="P28" i="17"/>
  <c r="P30" i="17"/>
  <c r="D7" i="18"/>
  <c r="D8" i="18"/>
  <c r="D9" i="18"/>
  <c r="P21" i="17"/>
  <c r="P20" i="17"/>
  <c r="P19" i="17"/>
  <c r="R21" i="17"/>
  <c r="R19" i="17"/>
  <c r="R20" i="17"/>
  <c r="R36" i="17"/>
  <c r="R33" i="17"/>
  <c r="R34" i="17"/>
  <c r="R35" i="17"/>
  <c r="R38" i="17"/>
  <c r="P43" i="17"/>
  <c r="U9" i="11"/>
  <c r="U18" i="11"/>
  <c r="V9" i="11"/>
  <c r="V18" i="11"/>
  <c r="W9" i="11"/>
  <c r="W18" i="11"/>
  <c r="X9" i="11"/>
  <c r="X18" i="11"/>
  <c r="Y9" i="11"/>
  <c r="Y18" i="11"/>
  <c r="Z9" i="11"/>
  <c r="Z18" i="11"/>
  <c r="AA9" i="11"/>
  <c r="AA18" i="11"/>
  <c r="AB9" i="11"/>
  <c r="AB18" i="11"/>
  <c r="AC9" i="11"/>
  <c r="AC18" i="11"/>
  <c r="AD9" i="11"/>
  <c r="AD18" i="11"/>
  <c r="AE9" i="11"/>
  <c r="AE18" i="11"/>
  <c r="AF9" i="11"/>
  <c r="AF18" i="11"/>
  <c r="I9" i="11"/>
  <c r="I18" i="11"/>
  <c r="J9" i="11"/>
  <c r="J18" i="11"/>
  <c r="K9" i="11"/>
  <c r="K18" i="11"/>
  <c r="L9" i="11"/>
  <c r="L18" i="11"/>
  <c r="M9" i="11"/>
  <c r="M18" i="11"/>
  <c r="N9" i="11"/>
  <c r="N18" i="11"/>
  <c r="O9" i="11"/>
  <c r="O18" i="11"/>
  <c r="P9" i="11"/>
  <c r="P18" i="11"/>
  <c r="Q9" i="11"/>
  <c r="Q18" i="11"/>
  <c r="R9" i="11"/>
  <c r="R18" i="11"/>
  <c r="S9" i="11"/>
  <c r="S18" i="11"/>
  <c r="T9" i="11"/>
  <c r="T18" i="11"/>
  <c r="U28" i="11"/>
  <c r="U29" i="11"/>
  <c r="U33" i="11"/>
  <c r="V28" i="11"/>
  <c r="V29" i="11"/>
  <c r="V33" i="11"/>
  <c r="W28" i="11"/>
  <c r="W29" i="11"/>
  <c r="W33" i="11"/>
  <c r="X28" i="11"/>
  <c r="X29" i="11"/>
  <c r="X33" i="11"/>
  <c r="Y28" i="11"/>
  <c r="Y29" i="11"/>
  <c r="Y33" i="11"/>
  <c r="Z28" i="11"/>
  <c r="Z29" i="11"/>
  <c r="Z33" i="11"/>
  <c r="AA28" i="11"/>
  <c r="AA29" i="11"/>
  <c r="AA33" i="11"/>
  <c r="AB28" i="11"/>
  <c r="AB29" i="11"/>
  <c r="AB33" i="11"/>
  <c r="AC28" i="11"/>
  <c r="AC29" i="11"/>
  <c r="AC33" i="11"/>
  <c r="AD28" i="11"/>
  <c r="AD29" i="11"/>
  <c r="AD33" i="11"/>
  <c r="AE28" i="11"/>
  <c r="AE29" i="11"/>
  <c r="AE33" i="11"/>
  <c r="AF28" i="11"/>
  <c r="AF29" i="11"/>
  <c r="AF33" i="11"/>
  <c r="AK57" i="2"/>
  <c r="T28" i="11"/>
  <c r="T29" i="11"/>
  <c r="T33" i="11"/>
  <c r="S28" i="11"/>
  <c r="S29" i="11"/>
  <c r="S33" i="11"/>
  <c r="R28" i="11"/>
  <c r="R29" i="11"/>
  <c r="R33" i="11"/>
  <c r="Q28" i="11"/>
  <c r="Q29" i="11"/>
  <c r="Q33" i="11"/>
  <c r="P28" i="11"/>
  <c r="P29" i="11"/>
  <c r="P33" i="11"/>
  <c r="O28" i="11"/>
  <c r="O29" i="11"/>
  <c r="O33" i="11"/>
  <c r="N28" i="11"/>
  <c r="N29" i="11"/>
  <c r="N33" i="11"/>
  <c r="M28" i="11"/>
  <c r="M29" i="11"/>
  <c r="M33" i="11"/>
  <c r="L28" i="11"/>
  <c r="L29" i="11"/>
  <c r="L33" i="11"/>
  <c r="K28" i="11"/>
  <c r="K29" i="11"/>
  <c r="K33" i="11"/>
  <c r="J28" i="11"/>
  <c r="J29" i="11"/>
  <c r="J33" i="11"/>
  <c r="I28" i="11"/>
  <c r="I29" i="11"/>
  <c r="I33" i="11"/>
  <c r="H37" i="2"/>
  <c r="H39" i="2"/>
  <c r="H41" i="2"/>
  <c r="H42" i="2"/>
  <c r="H44" i="2"/>
  <c r="H45" i="2"/>
  <c r="H46" i="2"/>
  <c r="H47" i="2"/>
  <c r="H50" i="2"/>
  <c r="H51" i="2"/>
  <c r="H53" i="2"/>
  <c r="H52" i="2"/>
  <c r="H54" i="2"/>
  <c r="H55" i="2"/>
  <c r="H56" i="2"/>
  <c r="H49" i="2"/>
  <c r="H57" i="2"/>
  <c r="G57" i="2"/>
  <c r="W61" i="5"/>
  <c r="T61" i="5"/>
  <c r="Q61" i="5"/>
  <c r="N61" i="5"/>
  <c r="AC62" i="5"/>
  <c r="AC61" i="5"/>
  <c r="J28" i="5"/>
  <c r="Y61" i="5"/>
  <c r="V61" i="5"/>
  <c r="S61" i="5"/>
  <c r="O26" i="5"/>
  <c r="O27" i="5"/>
  <c r="O28" i="5"/>
  <c r="P61" i="5"/>
  <c r="Q26" i="5"/>
  <c r="Q27" i="5"/>
  <c r="Q28" i="5"/>
  <c r="M61" i="5"/>
  <c r="J61" i="5"/>
  <c r="AB61" i="5"/>
  <c r="Y63" i="5"/>
  <c r="V63" i="5"/>
  <c r="S63" i="5"/>
  <c r="O16" i="5"/>
  <c r="O20" i="5"/>
  <c r="O21" i="5"/>
  <c r="O19" i="5"/>
  <c r="O14" i="5"/>
  <c r="O22" i="5"/>
  <c r="O33" i="5"/>
  <c r="P63" i="5"/>
  <c r="Q16" i="5"/>
  <c r="Q20" i="5"/>
  <c r="Q21" i="5"/>
  <c r="Q19" i="5"/>
  <c r="Q14" i="5"/>
  <c r="Q22" i="5"/>
  <c r="Q33" i="5"/>
  <c r="M63" i="5"/>
  <c r="J63" i="5"/>
  <c r="AB63" i="5"/>
  <c r="Z56" i="5"/>
  <c r="Z63" i="5"/>
  <c r="Q56" i="5"/>
  <c r="Q63" i="5"/>
  <c r="N56" i="5"/>
  <c r="N63" i="5"/>
  <c r="AC63" i="5"/>
  <c r="AD63" i="5"/>
  <c r="J34" i="5"/>
  <c r="Y64" i="5"/>
  <c r="Y60" i="5"/>
  <c r="Y62" i="5"/>
  <c r="V64" i="5"/>
  <c r="V60" i="5"/>
  <c r="V62" i="5"/>
  <c r="S64" i="5"/>
  <c r="S60" i="5"/>
  <c r="S62" i="5"/>
  <c r="O29" i="5"/>
  <c r="O34" i="5"/>
  <c r="P64" i="5"/>
  <c r="P60" i="5"/>
  <c r="P62" i="5"/>
  <c r="Q29" i="5"/>
  <c r="Q34" i="5"/>
  <c r="M64" i="5"/>
  <c r="M60" i="5"/>
  <c r="M62" i="5"/>
  <c r="J64" i="5"/>
  <c r="J60" i="5"/>
  <c r="J62" i="5"/>
  <c r="AB62" i="5"/>
  <c r="AD62" i="5"/>
  <c r="AD61" i="5"/>
  <c r="AB60" i="5"/>
  <c r="AC60" i="5"/>
  <c r="AD60" i="5"/>
  <c r="AA63" i="5"/>
  <c r="AA62" i="5"/>
  <c r="AA61" i="5"/>
  <c r="AA60" i="5"/>
  <c r="X63" i="5"/>
  <c r="X62" i="5"/>
  <c r="X61" i="5"/>
  <c r="X60" i="5"/>
  <c r="U63" i="5"/>
  <c r="U62" i="5"/>
  <c r="U61" i="5"/>
  <c r="U60" i="5"/>
  <c r="R63" i="5"/>
  <c r="R62" i="5"/>
  <c r="R61" i="5"/>
  <c r="R60" i="5"/>
  <c r="O63" i="5"/>
  <c r="O62" i="5"/>
  <c r="O61" i="5"/>
  <c r="O60" i="5"/>
  <c r="L61" i="5"/>
  <c r="L62" i="5"/>
  <c r="Z57" i="5"/>
  <c r="W57" i="5"/>
  <c r="T57" i="5"/>
  <c r="Q57" i="5"/>
  <c r="N57" i="5"/>
  <c r="AC57" i="5"/>
  <c r="AC54" i="5"/>
  <c r="AC55" i="5"/>
  <c r="AC56" i="5"/>
  <c r="AC58" i="5"/>
  <c r="Y45" i="5"/>
  <c r="Y54" i="5"/>
  <c r="V45" i="5"/>
  <c r="V54" i="5"/>
  <c r="S45" i="5"/>
  <c r="S54" i="5"/>
  <c r="P45" i="5"/>
  <c r="P54" i="5"/>
  <c r="M45" i="5"/>
  <c r="M54" i="5"/>
  <c r="J45" i="5"/>
  <c r="J54" i="5"/>
  <c r="AB54" i="5"/>
  <c r="Y55" i="5"/>
  <c r="V55" i="5"/>
  <c r="S55" i="5"/>
  <c r="P55" i="5"/>
  <c r="M55" i="5"/>
  <c r="J55" i="5"/>
  <c r="AB55" i="5"/>
  <c r="AB56" i="5"/>
  <c r="J23" i="5"/>
  <c r="Y57" i="5"/>
  <c r="L23" i="5"/>
  <c r="V57" i="5"/>
  <c r="M23" i="5"/>
  <c r="S57" i="5"/>
  <c r="O23" i="5"/>
  <c r="P57" i="5"/>
  <c r="Q23" i="5"/>
  <c r="M57" i="5"/>
  <c r="J57" i="5"/>
  <c r="AB57" i="5"/>
  <c r="AB58" i="5"/>
  <c r="AD58" i="5"/>
  <c r="Z58" i="5"/>
  <c r="Y56" i="5"/>
  <c r="Y58" i="5"/>
  <c r="AA58" i="5"/>
  <c r="W58" i="5"/>
  <c r="V58" i="5"/>
  <c r="X58" i="5"/>
  <c r="T56" i="5"/>
  <c r="T58" i="5"/>
  <c r="S56" i="5"/>
  <c r="S58" i="5"/>
  <c r="U58" i="5"/>
  <c r="Q58" i="5"/>
  <c r="P56" i="5"/>
  <c r="P58" i="5"/>
  <c r="R58" i="5"/>
  <c r="N58" i="5"/>
  <c r="M56" i="5"/>
  <c r="M58" i="5"/>
  <c r="O58" i="5"/>
  <c r="J56" i="5"/>
  <c r="J58" i="5"/>
  <c r="L58" i="5"/>
  <c r="J38" i="5"/>
  <c r="Y68" i="5"/>
  <c r="J36" i="5"/>
  <c r="J37" i="5"/>
  <c r="Y67" i="5"/>
  <c r="Y66" i="5"/>
  <c r="Y52" i="5"/>
  <c r="Y51" i="5"/>
  <c r="L38" i="5"/>
  <c r="V68" i="5"/>
  <c r="V66" i="5"/>
  <c r="V52" i="5"/>
  <c r="V51" i="5"/>
  <c r="M38" i="5"/>
  <c r="S68" i="5"/>
  <c r="S66" i="5"/>
  <c r="S52" i="5"/>
  <c r="S51" i="5"/>
  <c r="O38" i="5"/>
  <c r="P68" i="5"/>
  <c r="O36" i="5"/>
  <c r="O37" i="5"/>
  <c r="P67" i="5"/>
  <c r="P66" i="5"/>
  <c r="P52" i="5"/>
  <c r="P51" i="5"/>
  <c r="Q38" i="5"/>
  <c r="M68" i="5"/>
  <c r="Q36" i="5"/>
  <c r="Q37" i="5"/>
  <c r="M67" i="5"/>
  <c r="M66" i="5"/>
  <c r="M52" i="5"/>
  <c r="M51" i="5"/>
  <c r="J68" i="5"/>
  <c r="J67" i="5"/>
  <c r="J66" i="5"/>
  <c r="T10" i="5"/>
  <c r="T17" i="5"/>
  <c r="T16" i="5"/>
  <c r="T20" i="5"/>
  <c r="T23" i="5"/>
  <c r="T21" i="5"/>
  <c r="T19" i="5"/>
  <c r="T14" i="5"/>
  <c r="T22" i="5"/>
  <c r="T24" i="5"/>
  <c r="S10" i="5"/>
  <c r="S17" i="5"/>
  <c r="S16" i="5"/>
  <c r="S12" i="5"/>
  <c r="S11" i="5"/>
  <c r="S20" i="5"/>
  <c r="S23" i="5"/>
  <c r="S21" i="5"/>
  <c r="S19" i="5"/>
  <c r="S14" i="5"/>
  <c r="S22" i="5"/>
  <c r="S24" i="5"/>
  <c r="R23" i="5"/>
  <c r="R24" i="5"/>
  <c r="Q24" i="5"/>
  <c r="P16" i="5"/>
  <c r="P11" i="5"/>
  <c r="P20" i="5"/>
  <c r="P23" i="5"/>
  <c r="P21" i="5"/>
  <c r="P19" i="5"/>
  <c r="P14" i="5"/>
  <c r="P22" i="5"/>
  <c r="P24" i="5"/>
  <c r="O24" i="5"/>
  <c r="N16" i="5"/>
  <c r="N11" i="5"/>
  <c r="N20" i="5"/>
  <c r="N23" i="5"/>
  <c r="N21" i="5"/>
  <c r="N19" i="5"/>
  <c r="N14" i="5"/>
  <c r="N22" i="5"/>
  <c r="N24" i="5"/>
  <c r="M24" i="5"/>
  <c r="L24" i="5"/>
  <c r="K16" i="5"/>
  <c r="K11" i="5"/>
  <c r="K20" i="5"/>
  <c r="K23" i="5"/>
  <c r="K21" i="5"/>
  <c r="K19" i="5"/>
  <c r="K14" i="5"/>
  <c r="K22" i="5"/>
  <c r="K24" i="5"/>
  <c r="J24" i="5"/>
  <c r="J8" i="5"/>
  <c r="K8" i="5"/>
  <c r="L8" i="5"/>
  <c r="M6" i="5"/>
  <c r="K6" i="5"/>
  <c r="L6" i="5"/>
  <c r="R9" i="5"/>
  <c r="L9" i="5"/>
  <c r="M8" i="5"/>
  <c r="N8" i="5"/>
  <c r="O6" i="5"/>
  <c r="N6" i="5"/>
  <c r="M9" i="5"/>
  <c r="O8" i="5"/>
  <c r="P6" i="5"/>
  <c r="O9" i="5"/>
  <c r="P8" i="5"/>
  <c r="Q6" i="5"/>
  <c r="Q8" i="5"/>
  <c r="Q9" i="5"/>
  <c r="J52" i="5"/>
  <c r="AB52" i="5"/>
  <c r="T33" i="5"/>
  <c r="T29" i="5"/>
  <c r="T26" i="5"/>
  <c r="T27" i="5"/>
  <c r="T28" i="5"/>
  <c r="T34" i="5"/>
  <c r="S9" i="5"/>
  <c r="S33" i="5"/>
  <c r="S29" i="5"/>
  <c r="S26" i="5"/>
  <c r="S27" i="5"/>
  <c r="S28" i="5"/>
  <c r="S34" i="5"/>
  <c r="P33" i="5"/>
  <c r="P29" i="5"/>
  <c r="P9" i="5"/>
  <c r="P26" i="5"/>
  <c r="P27" i="5"/>
  <c r="P28" i="5"/>
  <c r="P34" i="5"/>
  <c r="N33" i="5"/>
  <c r="N30" i="5"/>
  <c r="N29" i="5"/>
  <c r="N9" i="5"/>
  <c r="N26" i="5"/>
  <c r="N27" i="5"/>
  <c r="N28" i="5"/>
  <c r="N34" i="5"/>
  <c r="K33" i="5"/>
  <c r="K29" i="5"/>
  <c r="K9" i="5"/>
  <c r="K26" i="5"/>
  <c r="K27" i="5"/>
  <c r="K28" i="5"/>
  <c r="K34" i="5"/>
  <c r="H20" i="6"/>
  <c r="H21" i="6"/>
  <c r="H22" i="6"/>
  <c r="H23" i="6"/>
  <c r="H24" i="6"/>
  <c r="H25" i="6"/>
  <c r="H26" i="6"/>
  <c r="H27" i="6"/>
  <c r="H28" i="6"/>
  <c r="H29" i="6"/>
  <c r="H30" i="6"/>
  <c r="H31" i="6"/>
  <c r="H32" i="6"/>
  <c r="H33" i="6"/>
  <c r="H34" i="6"/>
  <c r="H35" i="6"/>
  <c r="H36" i="6"/>
  <c r="H37" i="6"/>
  <c r="H38" i="6"/>
  <c r="H39" i="6"/>
  <c r="H40" i="6"/>
  <c r="H41" i="6"/>
  <c r="H42" i="6"/>
  <c r="H16" i="6"/>
  <c r="H17" i="6"/>
  <c r="H18" i="6"/>
  <c r="H19" i="6"/>
  <c r="H12" i="6"/>
  <c r="H13" i="6"/>
  <c r="H14" i="6"/>
  <c r="H15" i="6"/>
  <c r="I31" i="11"/>
  <c r="I32" i="11"/>
  <c r="I8" i="11"/>
  <c r="I14" i="11"/>
  <c r="I22" i="11"/>
  <c r="I23" i="11"/>
  <c r="I20" i="6"/>
  <c r="I21" i="6"/>
  <c r="I22" i="6"/>
  <c r="I23" i="6"/>
  <c r="I24" i="6"/>
  <c r="I25" i="6"/>
  <c r="I26" i="6"/>
  <c r="I27" i="6"/>
  <c r="I28" i="6"/>
  <c r="I29" i="6"/>
  <c r="I30" i="6"/>
  <c r="I31" i="6"/>
  <c r="I32" i="6"/>
  <c r="I33" i="6"/>
  <c r="I34" i="6"/>
  <c r="I35" i="6"/>
  <c r="I36" i="6"/>
  <c r="I37" i="6"/>
  <c r="I38" i="6"/>
  <c r="I39" i="6"/>
  <c r="I40" i="6"/>
  <c r="I41" i="6"/>
  <c r="I42" i="6"/>
  <c r="I16" i="6"/>
  <c r="I17" i="6"/>
  <c r="I18" i="6"/>
  <c r="I19" i="6"/>
  <c r="I12" i="6"/>
  <c r="I13" i="6"/>
  <c r="I14" i="6"/>
  <c r="I15" i="6"/>
  <c r="J31" i="11"/>
  <c r="J32" i="11"/>
  <c r="J8" i="11"/>
  <c r="J14" i="11"/>
  <c r="J22" i="11"/>
  <c r="J23" i="11"/>
  <c r="J20" i="6"/>
  <c r="J21" i="6"/>
  <c r="J22" i="6"/>
  <c r="J23" i="6"/>
  <c r="J24" i="6"/>
  <c r="J25" i="6"/>
  <c r="J26" i="6"/>
  <c r="J27" i="6"/>
  <c r="J28" i="6"/>
  <c r="J29" i="6"/>
  <c r="J30" i="6"/>
  <c r="J31" i="6"/>
  <c r="J32" i="6"/>
  <c r="J33" i="6"/>
  <c r="J34" i="6"/>
  <c r="J35" i="6"/>
  <c r="J36" i="6"/>
  <c r="J37" i="6"/>
  <c r="J38" i="6"/>
  <c r="J39" i="6"/>
  <c r="J40" i="6"/>
  <c r="J41" i="6"/>
  <c r="J42" i="6"/>
  <c r="J16" i="6"/>
  <c r="J17" i="6"/>
  <c r="J18" i="6"/>
  <c r="J19" i="6"/>
  <c r="J12" i="6"/>
  <c r="J13" i="6"/>
  <c r="J14" i="6"/>
  <c r="J15" i="6"/>
  <c r="K31" i="11"/>
  <c r="K32" i="11"/>
  <c r="K8" i="11"/>
  <c r="K14" i="11"/>
  <c r="K22" i="11"/>
  <c r="K23" i="11"/>
  <c r="K20" i="6"/>
  <c r="K21" i="6"/>
  <c r="K22" i="6"/>
  <c r="K23" i="6"/>
  <c r="K24" i="6"/>
  <c r="K25" i="6"/>
  <c r="K26" i="6"/>
  <c r="K27" i="6"/>
  <c r="K28" i="6"/>
  <c r="K29" i="6"/>
  <c r="K30" i="6"/>
  <c r="K31" i="6"/>
  <c r="K32" i="6"/>
  <c r="K33" i="6"/>
  <c r="K34" i="6"/>
  <c r="K35" i="6"/>
  <c r="K36" i="6"/>
  <c r="K37" i="6"/>
  <c r="K38" i="6"/>
  <c r="K39" i="6"/>
  <c r="K40" i="6"/>
  <c r="K41" i="6"/>
  <c r="K42" i="6"/>
  <c r="K16" i="6"/>
  <c r="K17" i="6"/>
  <c r="K18" i="6"/>
  <c r="K19" i="6"/>
  <c r="K12" i="6"/>
  <c r="K13" i="6"/>
  <c r="K14" i="6"/>
  <c r="K15" i="6"/>
  <c r="L31" i="11"/>
  <c r="L32" i="11"/>
  <c r="L8" i="11"/>
  <c r="L14" i="11"/>
  <c r="L22" i="11"/>
  <c r="L23" i="11"/>
  <c r="L20" i="6"/>
  <c r="L21" i="6"/>
  <c r="L22" i="6"/>
  <c r="L23" i="6"/>
  <c r="L24" i="6"/>
  <c r="L25" i="6"/>
  <c r="L26" i="6"/>
  <c r="L27" i="6"/>
  <c r="L28" i="6"/>
  <c r="L29" i="6"/>
  <c r="L30" i="6"/>
  <c r="L31" i="6"/>
  <c r="L32" i="6"/>
  <c r="L33" i="6"/>
  <c r="L34" i="6"/>
  <c r="L35" i="6"/>
  <c r="L36" i="6"/>
  <c r="L37" i="6"/>
  <c r="L38" i="6"/>
  <c r="L39" i="6"/>
  <c r="L40" i="6"/>
  <c r="L41" i="6"/>
  <c r="L42" i="6"/>
  <c r="L16" i="6"/>
  <c r="L17" i="6"/>
  <c r="L18" i="6"/>
  <c r="L19" i="6"/>
  <c r="L12" i="6"/>
  <c r="L13" i="6"/>
  <c r="L14" i="6"/>
  <c r="L15" i="6"/>
  <c r="M31" i="11"/>
  <c r="M32" i="11"/>
  <c r="M8" i="11"/>
  <c r="M14" i="11"/>
  <c r="M22" i="11"/>
  <c r="M23" i="11"/>
  <c r="M20" i="6"/>
  <c r="M21" i="6"/>
  <c r="M22" i="6"/>
  <c r="M23" i="6"/>
  <c r="M24" i="6"/>
  <c r="M25" i="6"/>
  <c r="M26" i="6"/>
  <c r="M27" i="6"/>
  <c r="M28" i="6"/>
  <c r="M29" i="6"/>
  <c r="M30" i="6"/>
  <c r="M31" i="6"/>
  <c r="M32" i="6"/>
  <c r="M33" i="6"/>
  <c r="M34" i="6"/>
  <c r="M35" i="6"/>
  <c r="M36" i="6"/>
  <c r="M37" i="6"/>
  <c r="M38" i="6"/>
  <c r="M39" i="6"/>
  <c r="M40" i="6"/>
  <c r="M41" i="6"/>
  <c r="M42" i="6"/>
  <c r="M16" i="6"/>
  <c r="M17" i="6"/>
  <c r="M18" i="6"/>
  <c r="M19" i="6"/>
  <c r="M12" i="6"/>
  <c r="M13" i="6"/>
  <c r="M14" i="6"/>
  <c r="M15" i="6"/>
  <c r="N31" i="11"/>
  <c r="N32" i="11"/>
  <c r="N8" i="11"/>
  <c r="N14" i="11"/>
  <c r="N22" i="11"/>
  <c r="N23" i="11"/>
  <c r="N20" i="6"/>
  <c r="N21" i="6"/>
  <c r="N22" i="6"/>
  <c r="N23" i="6"/>
  <c r="N24" i="6"/>
  <c r="N25" i="6"/>
  <c r="N26" i="6"/>
  <c r="N27" i="6"/>
  <c r="N28" i="6"/>
  <c r="N29" i="6"/>
  <c r="N30" i="6"/>
  <c r="N31" i="6"/>
  <c r="N32" i="6"/>
  <c r="N33" i="6"/>
  <c r="N34" i="6"/>
  <c r="N35" i="6"/>
  <c r="N36" i="6"/>
  <c r="N37" i="6"/>
  <c r="N38" i="6"/>
  <c r="N39" i="6"/>
  <c r="N40" i="6"/>
  <c r="N41" i="6"/>
  <c r="N42" i="6"/>
  <c r="N16" i="6"/>
  <c r="N17" i="6"/>
  <c r="N18" i="6"/>
  <c r="N19" i="6"/>
  <c r="N12" i="6"/>
  <c r="N13" i="6"/>
  <c r="N14" i="6"/>
  <c r="N15" i="6"/>
  <c r="O31" i="11"/>
  <c r="O32" i="11"/>
  <c r="O8" i="11"/>
  <c r="O14" i="11"/>
  <c r="O22" i="11"/>
  <c r="O23" i="11"/>
  <c r="O20" i="6"/>
  <c r="O21" i="6"/>
  <c r="O22" i="6"/>
  <c r="O23" i="6"/>
  <c r="O24" i="6"/>
  <c r="O25" i="6"/>
  <c r="O26" i="6"/>
  <c r="O27" i="6"/>
  <c r="O28" i="6"/>
  <c r="O29" i="6"/>
  <c r="O30" i="6"/>
  <c r="O31" i="6"/>
  <c r="O32" i="6"/>
  <c r="O33" i="6"/>
  <c r="O34" i="6"/>
  <c r="O35" i="6"/>
  <c r="O36" i="6"/>
  <c r="O37" i="6"/>
  <c r="O38" i="6"/>
  <c r="O39" i="6"/>
  <c r="O40" i="6"/>
  <c r="O41" i="6"/>
  <c r="O42" i="6"/>
  <c r="O16" i="6"/>
  <c r="O17" i="6"/>
  <c r="O18" i="6"/>
  <c r="O19" i="6"/>
  <c r="O12" i="6"/>
  <c r="O13" i="6"/>
  <c r="O14" i="6"/>
  <c r="O15" i="6"/>
  <c r="P31" i="11"/>
  <c r="P32" i="11"/>
  <c r="P8" i="11"/>
  <c r="P14" i="11"/>
  <c r="P22" i="11"/>
  <c r="P23" i="11"/>
  <c r="P20" i="6"/>
  <c r="P21" i="6"/>
  <c r="P22" i="6"/>
  <c r="P23" i="6"/>
  <c r="P24" i="6"/>
  <c r="P25" i="6"/>
  <c r="P26" i="6"/>
  <c r="P27" i="6"/>
  <c r="P28" i="6"/>
  <c r="P29" i="6"/>
  <c r="P30" i="6"/>
  <c r="P31" i="6"/>
  <c r="P32" i="6"/>
  <c r="P33" i="6"/>
  <c r="P34" i="6"/>
  <c r="P35" i="6"/>
  <c r="P36" i="6"/>
  <c r="P37" i="6"/>
  <c r="P38" i="6"/>
  <c r="P39" i="6"/>
  <c r="P40" i="6"/>
  <c r="P41" i="6"/>
  <c r="P42" i="6"/>
  <c r="P16" i="6"/>
  <c r="P17" i="6"/>
  <c r="P18" i="6"/>
  <c r="P19" i="6"/>
  <c r="P12" i="6"/>
  <c r="P13" i="6"/>
  <c r="P14" i="6"/>
  <c r="P15" i="6"/>
  <c r="Q31" i="11"/>
  <c r="Q32" i="11"/>
  <c r="Q8" i="11"/>
  <c r="Q14" i="11"/>
  <c r="Q22" i="11"/>
  <c r="Q23" i="11"/>
  <c r="Q20" i="6"/>
  <c r="Q21" i="6"/>
  <c r="Q22" i="6"/>
  <c r="Q23" i="6"/>
  <c r="Q24" i="6"/>
  <c r="Q25" i="6"/>
  <c r="Q26" i="6"/>
  <c r="Q27" i="6"/>
  <c r="Q28" i="6"/>
  <c r="Q29" i="6"/>
  <c r="Q30" i="6"/>
  <c r="Q31" i="6"/>
  <c r="Q32" i="6"/>
  <c r="Q33" i="6"/>
  <c r="Q34" i="6"/>
  <c r="Q35" i="6"/>
  <c r="Q36" i="6"/>
  <c r="Q37" i="6"/>
  <c r="Q38" i="6"/>
  <c r="Q39" i="6"/>
  <c r="Q40" i="6"/>
  <c r="Q41" i="6"/>
  <c r="Q42" i="6"/>
  <c r="Q16" i="6"/>
  <c r="Q17" i="6"/>
  <c r="Q18" i="6"/>
  <c r="Q19" i="6"/>
  <c r="Q12" i="6"/>
  <c r="Q13" i="6"/>
  <c r="Q14" i="6"/>
  <c r="Q15" i="6"/>
  <c r="R31" i="11"/>
  <c r="R32" i="11"/>
  <c r="R8" i="11"/>
  <c r="R14" i="11"/>
  <c r="R22" i="11"/>
  <c r="R23" i="11"/>
  <c r="R20" i="6"/>
  <c r="R21" i="6"/>
  <c r="R22" i="6"/>
  <c r="R23" i="6"/>
  <c r="R24" i="6"/>
  <c r="R25" i="6"/>
  <c r="R26" i="6"/>
  <c r="R27" i="6"/>
  <c r="R28" i="6"/>
  <c r="R29" i="6"/>
  <c r="R30" i="6"/>
  <c r="R31" i="6"/>
  <c r="R32" i="6"/>
  <c r="R33" i="6"/>
  <c r="R34" i="6"/>
  <c r="R35" i="6"/>
  <c r="R36" i="6"/>
  <c r="R37" i="6"/>
  <c r="R38" i="6"/>
  <c r="R39" i="6"/>
  <c r="R40" i="6"/>
  <c r="R41" i="6"/>
  <c r="R42" i="6"/>
  <c r="R16" i="6"/>
  <c r="R17" i="6"/>
  <c r="R18" i="6"/>
  <c r="R19" i="6"/>
  <c r="R12" i="6"/>
  <c r="R13" i="6"/>
  <c r="R14" i="6"/>
  <c r="R15" i="6"/>
  <c r="S31" i="11"/>
  <c r="S32" i="11"/>
  <c r="S8" i="11"/>
  <c r="S14" i="11"/>
  <c r="S22" i="11"/>
  <c r="S23" i="11"/>
  <c r="S20" i="6"/>
  <c r="S21" i="6"/>
  <c r="S22" i="6"/>
  <c r="S23" i="6"/>
  <c r="S24" i="6"/>
  <c r="S25" i="6"/>
  <c r="S26" i="6"/>
  <c r="S27" i="6"/>
  <c r="S28" i="6"/>
  <c r="S29" i="6"/>
  <c r="S30" i="6"/>
  <c r="S31" i="6"/>
  <c r="S32" i="6"/>
  <c r="S33" i="6"/>
  <c r="S34" i="6"/>
  <c r="S35" i="6"/>
  <c r="S36" i="6"/>
  <c r="S37" i="6"/>
  <c r="S38" i="6"/>
  <c r="S39" i="6"/>
  <c r="S40" i="6"/>
  <c r="S41" i="6"/>
  <c r="S42" i="6"/>
  <c r="S16" i="6"/>
  <c r="S17" i="6"/>
  <c r="S18" i="6"/>
  <c r="S19" i="6"/>
  <c r="S12" i="6"/>
  <c r="S13" i="6"/>
  <c r="S14" i="6"/>
  <c r="S15" i="6"/>
  <c r="T31" i="11"/>
  <c r="T32" i="11"/>
  <c r="T8" i="11"/>
  <c r="T14" i="11"/>
  <c r="T22" i="11"/>
  <c r="T23" i="11"/>
  <c r="T20" i="6"/>
  <c r="T21" i="6"/>
  <c r="T22" i="6"/>
  <c r="T23" i="6"/>
  <c r="T24" i="6"/>
  <c r="T25" i="6"/>
  <c r="T26" i="6"/>
  <c r="T27" i="6"/>
  <c r="T28" i="6"/>
  <c r="T29" i="6"/>
  <c r="T30" i="6"/>
  <c r="T31" i="6"/>
  <c r="T32" i="6"/>
  <c r="T33" i="6"/>
  <c r="T34" i="6"/>
  <c r="T35" i="6"/>
  <c r="T36" i="6"/>
  <c r="T37" i="6"/>
  <c r="T38" i="6"/>
  <c r="T39" i="6"/>
  <c r="T40" i="6"/>
  <c r="T41" i="6"/>
  <c r="T42" i="6"/>
  <c r="T16" i="6"/>
  <c r="T17" i="6"/>
  <c r="T18" i="6"/>
  <c r="T19" i="6"/>
  <c r="T12" i="6"/>
  <c r="T13" i="6"/>
  <c r="T14" i="6"/>
  <c r="T15" i="6"/>
  <c r="U31" i="11"/>
  <c r="U32" i="11"/>
  <c r="U8" i="11"/>
  <c r="U14" i="11"/>
  <c r="U22" i="11"/>
  <c r="U23" i="11"/>
  <c r="U20" i="6"/>
  <c r="U21" i="6"/>
  <c r="U22" i="6"/>
  <c r="U23" i="6"/>
  <c r="U24" i="6"/>
  <c r="U25" i="6"/>
  <c r="U26" i="6"/>
  <c r="U27" i="6"/>
  <c r="U28" i="6"/>
  <c r="U29" i="6"/>
  <c r="U30" i="6"/>
  <c r="U31" i="6"/>
  <c r="U32" i="6"/>
  <c r="U33" i="6"/>
  <c r="U34" i="6"/>
  <c r="U35" i="6"/>
  <c r="U36" i="6"/>
  <c r="U37" i="6"/>
  <c r="U38" i="6"/>
  <c r="U39" i="6"/>
  <c r="U40" i="6"/>
  <c r="U41" i="6"/>
  <c r="U42" i="6"/>
  <c r="U16" i="6"/>
  <c r="U17" i="6"/>
  <c r="U18" i="6"/>
  <c r="U19" i="6"/>
  <c r="U12" i="6"/>
  <c r="U13" i="6"/>
  <c r="U14" i="6"/>
  <c r="U15" i="6"/>
  <c r="V31" i="11"/>
  <c r="V32" i="11"/>
  <c r="V8" i="11"/>
  <c r="V14" i="11"/>
  <c r="V22" i="11"/>
  <c r="V23" i="11"/>
  <c r="V20" i="6"/>
  <c r="V21" i="6"/>
  <c r="V22" i="6"/>
  <c r="V23" i="6"/>
  <c r="V24" i="6"/>
  <c r="V25" i="6"/>
  <c r="V26" i="6"/>
  <c r="V27" i="6"/>
  <c r="V28" i="6"/>
  <c r="V29" i="6"/>
  <c r="V30" i="6"/>
  <c r="V31" i="6"/>
  <c r="V32" i="6"/>
  <c r="V33" i="6"/>
  <c r="V34" i="6"/>
  <c r="V35" i="6"/>
  <c r="V36" i="6"/>
  <c r="V37" i="6"/>
  <c r="V38" i="6"/>
  <c r="V39" i="6"/>
  <c r="V40" i="6"/>
  <c r="V41" i="6"/>
  <c r="V42" i="6"/>
  <c r="V16" i="6"/>
  <c r="V17" i="6"/>
  <c r="V18" i="6"/>
  <c r="V19" i="6"/>
  <c r="V12" i="6"/>
  <c r="V13" i="6"/>
  <c r="V14" i="6"/>
  <c r="V15" i="6"/>
  <c r="W31" i="11"/>
  <c r="W32" i="11"/>
  <c r="W8" i="11"/>
  <c r="W14" i="11"/>
  <c r="W22" i="11"/>
  <c r="W23" i="11"/>
  <c r="W20" i="6"/>
  <c r="W21" i="6"/>
  <c r="W22" i="6"/>
  <c r="W23" i="6"/>
  <c r="W24" i="6"/>
  <c r="W25" i="6"/>
  <c r="W26" i="6"/>
  <c r="W27" i="6"/>
  <c r="W28" i="6"/>
  <c r="W29" i="6"/>
  <c r="W30" i="6"/>
  <c r="W31" i="6"/>
  <c r="W32" i="6"/>
  <c r="W33" i="6"/>
  <c r="W34" i="6"/>
  <c r="W35" i="6"/>
  <c r="W36" i="6"/>
  <c r="W37" i="6"/>
  <c r="W38" i="6"/>
  <c r="W39" i="6"/>
  <c r="W40" i="6"/>
  <c r="W41" i="6"/>
  <c r="W42" i="6"/>
  <c r="W16" i="6"/>
  <c r="W17" i="6"/>
  <c r="W18" i="6"/>
  <c r="W19" i="6"/>
  <c r="W12" i="6"/>
  <c r="W13" i="6"/>
  <c r="W14" i="6"/>
  <c r="W15" i="6"/>
  <c r="X31" i="11"/>
  <c r="X32" i="11"/>
  <c r="X8" i="11"/>
  <c r="X14" i="11"/>
  <c r="X22" i="11"/>
  <c r="X23" i="11"/>
  <c r="X20" i="6"/>
  <c r="X21" i="6"/>
  <c r="X22" i="6"/>
  <c r="X23" i="6"/>
  <c r="X24" i="6"/>
  <c r="X25" i="6"/>
  <c r="X26" i="6"/>
  <c r="X27" i="6"/>
  <c r="X28" i="6"/>
  <c r="X29" i="6"/>
  <c r="X30" i="6"/>
  <c r="X31" i="6"/>
  <c r="X32" i="6"/>
  <c r="X33" i="6"/>
  <c r="X34" i="6"/>
  <c r="X35" i="6"/>
  <c r="X36" i="6"/>
  <c r="X37" i="6"/>
  <c r="X38" i="6"/>
  <c r="X39" i="6"/>
  <c r="X40" i="6"/>
  <c r="X41" i="6"/>
  <c r="X42" i="6"/>
  <c r="X16" i="6"/>
  <c r="X17" i="6"/>
  <c r="X18" i="6"/>
  <c r="X19" i="6"/>
  <c r="X12" i="6"/>
  <c r="X13" i="6"/>
  <c r="X14" i="6"/>
  <c r="X15" i="6"/>
  <c r="Y31" i="11"/>
  <c r="Y32" i="11"/>
  <c r="Y8" i="11"/>
  <c r="Y14" i="11"/>
  <c r="Y22" i="11"/>
  <c r="Y23" i="11"/>
  <c r="Y20" i="6"/>
  <c r="Y21" i="6"/>
  <c r="Y22" i="6"/>
  <c r="Y23" i="6"/>
  <c r="Y24" i="6"/>
  <c r="Y25" i="6"/>
  <c r="Y26" i="6"/>
  <c r="Y27" i="6"/>
  <c r="Y28" i="6"/>
  <c r="Y29" i="6"/>
  <c r="Y30" i="6"/>
  <c r="Y31" i="6"/>
  <c r="Y32" i="6"/>
  <c r="Y33" i="6"/>
  <c r="Y34" i="6"/>
  <c r="Y35" i="6"/>
  <c r="Y36" i="6"/>
  <c r="Y37" i="6"/>
  <c r="Y38" i="6"/>
  <c r="Y39" i="6"/>
  <c r="Y40" i="6"/>
  <c r="Y41" i="6"/>
  <c r="Y42" i="6"/>
  <c r="Y16" i="6"/>
  <c r="Y17" i="6"/>
  <c r="Y18" i="6"/>
  <c r="Y19" i="6"/>
  <c r="Y12" i="6"/>
  <c r="Y13" i="6"/>
  <c r="Y14" i="6"/>
  <c r="Y15" i="6"/>
  <c r="Z31" i="11"/>
  <c r="Z32" i="11"/>
  <c r="Z8" i="11"/>
  <c r="Z14" i="11"/>
  <c r="Z22" i="11"/>
  <c r="Z23" i="11"/>
  <c r="Z20" i="6"/>
  <c r="Z21" i="6"/>
  <c r="Z22" i="6"/>
  <c r="Z23" i="6"/>
  <c r="Z24" i="6"/>
  <c r="Z25" i="6"/>
  <c r="Z26" i="6"/>
  <c r="Z27" i="6"/>
  <c r="Z28" i="6"/>
  <c r="Z29" i="6"/>
  <c r="Z30" i="6"/>
  <c r="Z31" i="6"/>
  <c r="Z32" i="6"/>
  <c r="Z33" i="6"/>
  <c r="Z34" i="6"/>
  <c r="Z35" i="6"/>
  <c r="Z36" i="6"/>
  <c r="Z37" i="6"/>
  <c r="Z38" i="6"/>
  <c r="Z39" i="6"/>
  <c r="Z40" i="6"/>
  <c r="Z41" i="6"/>
  <c r="Z42" i="6"/>
  <c r="Z16" i="6"/>
  <c r="Z17" i="6"/>
  <c r="Z18" i="6"/>
  <c r="Z19" i="6"/>
  <c r="Z12" i="6"/>
  <c r="Z13" i="6"/>
  <c r="Z14" i="6"/>
  <c r="Z15" i="6"/>
  <c r="AA31" i="11"/>
  <c r="AA32" i="11"/>
  <c r="AA8" i="11"/>
  <c r="AA14" i="11"/>
  <c r="AA22" i="11"/>
  <c r="AA23" i="11"/>
  <c r="AA20" i="6"/>
  <c r="AA21" i="6"/>
  <c r="AA22" i="6"/>
  <c r="AA23" i="6"/>
  <c r="AA24" i="6"/>
  <c r="AA25" i="6"/>
  <c r="AA26" i="6"/>
  <c r="AA27" i="6"/>
  <c r="AA28" i="6"/>
  <c r="AA29" i="6"/>
  <c r="AA30" i="6"/>
  <c r="AA31" i="6"/>
  <c r="AA32" i="6"/>
  <c r="AA33" i="6"/>
  <c r="AA34" i="6"/>
  <c r="AA35" i="6"/>
  <c r="AA36" i="6"/>
  <c r="AA37" i="6"/>
  <c r="AA38" i="6"/>
  <c r="AA39" i="6"/>
  <c r="AA40" i="6"/>
  <c r="AA41" i="6"/>
  <c r="AA42" i="6"/>
  <c r="AA16" i="6"/>
  <c r="AA17" i="6"/>
  <c r="AA18" i="6"/>
  <c r="AA19" i="6"/>
  <c r="AA12" i="6"/>
  <c r="AA13" i="6"/>
  <c r="AA14" i="6"/>
  <c r="AA15" i="6"/>
  <c r="AB31" i="11"/>
  <c r="AB32" i="11"/>
  <c r="AB8" i="11"/>
  <c r="AB14" i="11"/>
  <c r="AB22" i="11"/>
  <c r="AB23" i="11"/>
  <c r="AB20" i="6"/>
  <c r="AB21" i="6"/>
  <c r="AB22" i="6"/>
  <c r="AB23" i="6"/>
  <c r="AB24" i="6"/>
  <c r="AB25" i="6"/>
  <c r="AB26" i="6"/>
  <c r="AB27" i="6"/>
  <c r="AB28" i="6"/>
  <c r="AB29" i="6"/>
  <c r="AB30" i="6"/>
  <c r="AB31" i="6"/>
  <c r="AB32" i="6"/>
  <c r="AB33" i="6"/>
  <c r="AB34" i="6"/>
  <c r="AB35" i="6"/>
  <c r="AB36" i="6"/>
  <c r="AB37" i="6"/>
  <c r="AB38" i="6"/>
  <c r="AB39" i="6"/>
  <c r="AB40" i="6"/>
  <c r="AB41" i="6"/>
  <c r="AB42" i="6"/>
  <c r="AB16" i="6"/>
  <c r="AB17" i="6"/>
  <c r="AB18" i="6"/>
  <c r="AB19" i="6"/>
  <c r="AB12" i="6"/>
  <c r="AB13" i="6"/>
  <c r="AB14" i="6"/>
  <c r="AB15" i="6"/>
  <c r="AC31" i="11"/>
  <c r="AC32" i="11"/>
  <c r="AC8" i="11"/>
  <c r="AC14" i="11"/>
  <c r="AC22" i="11"/>
  <c r="AC23" i="11"/>
  <c r="AC20" i="6"/>
  <c r="AC21" i="6"/>
  <c r="AC22" i="6"/>
  <c r="AC23" i="6"/>
  <c r="AC24" i="6"/>
  <c r="AC25" i="6"/>
  <c r="AC26" i="6"/>
  <c r="AC27" i="6"/>
  <c r="AC28" i="6"/>
  <c r="AC29" i="6"/>
  <c r="AC30" i="6"/>
  <c r="AC31" i="6"/>
  <c r="AC32" i="6"/>
  <c r="AC33" i="6"/>
  <c r="AC34" i="6"/>
  <c r="AC35" i="6"/>
  <c r="AC36" i="6"/>
  <c r="AC37" i="6"/>
  <c r="AC38" i="6"/>
  <c r="AC39" i="6"/>
  <c r="AC40" i="6"/>
  <c r="AC41" i="6"/>
  <c r="AC42" i="6"/>
  <c r="AC16" i="6"/>
  <c r="AC17" i="6"/>
  <c r="AC18" i="6"/>
  <c r="AC19" i="6"/>
  <c r="AC12" i="6"/>
  <c r="AC13" i="6"/>
  <c r="AC14" i="6"/>
  <c r="AC15" i="6"/>
  <c r="AD31" i="11"/>
  <c r="AD32" i="11"/>
  <c r="AD8" i="11"/>
  <c r="AD14" i="11"/>
  <c r="AD22" i="11"/>
  <c r="AD23" i="11"/>
  <c r="AD20" i="6"/>
  <c r="AD21" i="6"/>
  <c r="AD22" i="6"/>
  <c r="AD23" i="6"/>
  <c r="AD24" i="6"/>
  <c r="AD25" i="6"/>
  <c r="AD26" i="6"/>
  <c r="AD27" i="6"/>
  <c r="AD28" i="6"/>
  <c r="AD29" i="6"/>
  <c r="AD30" i="6"/>
  <c r="AD31" i="6"/>
  <c r="AD32" i="6"/>
  <c r="AD33" i="6"/>
  <c r="AD34" i="6"/>
  <c r="AD35" i="6"/>
  <c r="AD36" i="6"/>
  <c r="AD37" i="6"/>
  <c r="AD38" i="6"/>
  <c r="AD39" i="6"/>
  <c r="AD40" i="6"/>
  <c r="AD41" i="6"/>
  <c r="AD42" i="6"/>
  <c r="AD16" i="6"/>
  <c r="AD17" i="6"/>
  <c r="AD18" i="6"/>
  <c r="AD19" i="6"/>
  <c r="AD12" i="6"/>
  <c r="AD13" i="6"/>
  <c r="AD14" i="6"/>
  <c r="AD15" i="6"/>
  <c r="AE31" i="11"/>
  <c r="AE32" i="11"/>
  <c r="AE8" i="11"/>
  <c r="AE14" i="11"/>
  <c r="AE22" i="11"/>
  <c r="AE23" i="11"/>
  <c r="AE20" i="6"/>
  <c r="AE21" i="6"/>
  <c r="AE22" i="6"/>
  <c r="AE23" i="6"/>
  <c r="AE24" i="6"/>
  <c r="AE25" i="6"/>
  <c r="AE26" i="6"/>
  <c r="AE27" i="6"/>
  <c r="AE28" i="6"/>
  <c r="AE29" i="6"/>
  <c r="AE30" i="6"/>
  <c r="AE31" i="6"/>
  <c r="AE32" i="6"/>
  <c r="AE33" i="6"/>
  <c r="AE34" i="6"/>
  <c r="AE35" i="6"/>
  <c r="AE36" i="6"/>
  <c r="AE37" i="6"/>
  <c r="AE38" i="6"/>
  <c r="AE39" i="6"/>
  <c r="AE40" i="6"/>
  <c r="AE41" i="6"/>
  <c r="AE42" i="6"/>
  <c r="AE16" i="6"/>
  <c r="AE17" i="6"/>
  <c r="AE18" i="6"/>
  <c r="AE19" i="6"/>
  <c r="AE12" i="6"/>
  <c r="AE13" i="6"/>
  <c r="AE14" i="6"/>
  <c r="AE15" i="6"/>
  <c r="AF31" i="11"/>
  <c r="AF32" i="11"/>
  <c r="AF8" i="11"/>
  <c r="AF14" i="11"/>
  <c r="AF22" i="11"/>
  <c r="AF23" i="11"/>
  <c r="AD56" i="5"/>
  <c r="F38" i="5"/>
  <c r="B50" i="17"/>
  <c r="I66" i="2"/>
  <c r="J66" i="2"/>
  <c r="K66" i="2"/>
  <c r="L66" i="2"/>
  <c r="M66" i="2"/>
  <c r="N66" i="2"/>
  <c r="O66" i="2"/>
  <c r="P66" i="2"/>
  <c r="Q66" i="2"/>
  <c r="R66" i="2"/>
  <c r="S66" i="2"/>
  <c r="T66" i="2"/>
  <c r="U66" i="2"/>
  <c r="V66" i="2"/>
  <c r="W66" i="2"/>
  <c r="X66" i="2"/>
  <c r="Y66" i="2"/>
  <c r="Z66" i="2"/>
  <c r="AA66" i="2"/>
  <c r="AB66" i="2"/>
  <c r="AC66" i="2"/>
  <c r="AD66" i="2"/>
  <c r="AE66" i="2"/>
  <c r="AF66" i="2"/>
  <c r="AC50" i="5"/>
  <c r="AB50" i="5"/>
  <c r="AD50" i="5"/>
  <c r="AC64" i="5"/>
  <c r="AB64" i="5"/>
  <c r="AD64" i="5"/>
  <c r="AC66" i="5"/>
  <c r="AB66" i="5"/>
  <c r="AD66" i="5"/>
  <c r="J51" i="5"/>
  <c r="AB51" i="5"/>
  <c r="AC51" i="5"/>
  <c r="AD51" i="5"/>
  <c r="AC52" i="5"/>
  <c r="AD52" i="5"/>
  <c r="AD54" i="5"/>
  <c r="AD55" i="5"/>
  <c r="AD57" i="5"/>
  <c r="AB67" i="5"/>
  <c r="AC67" i="5"/>
  <c r="AD67" i="5"/>
  <c r="AB68" i="5"/>
  <c r="AD68" i="5"/>
  <c r="AB45" i="5"/>
  <c r="AB47" i="5"/>
  <c r="G50" i="17"/>
  <c r="H50" i="17"/>
  <c r="I50" i="17"/>
  <c r="J50" i="17"/>
  <c r="K50" i="17"/>
  <c r="L50" i="17"/>
  <c r="M50" i="17"/>
  <c r="N50" i="17"/>
  <c r="R50" i="17"/>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T50" i="17"/>
  <c r="R48" i="17"/>
  <c r="P48" i="17"/>
  <c r="Z64" i="5"/>
  <c r="Z66" i="5"/>
  <c r="Z67" i="5"/>
  <c r="AA67" i="5"/>
  <c r="AA68" i="5"/>
  <c r="AA66" i="5"/>
  <c r="AA64" i="5"/>
  <c r="AA57" i="5"/>
  <c r="AA52" i="5"/>
  <c r="AA56" i="5"/>
  <c r="AA51" i="5"/>
  <c r="AA55" i="5"/>
  <c r="AA54" i="5"/>
  <c r="X68" i="5"/>
  <c r="X66" i="5"/>
  <c r="X64" i="5"/>
  <c r="X57" i="5"/>
  <c r="X52" i="5"/>
  <c r="X51" i="5"/>
  <c r="X55" i="5"/>
  <c r="X54" i="5"/>
  <c r="U68" i="5"/>
  <c r="U66" i="5"/>
  <c r="U64" i="5"/>
  <c r="U57" i="5"/>
  <c r="U52" i="5"/>
  <c r="U56" i="5"/>
  <c r="U51" i="5"/>
  <c r="U55" i="5"/>
  <c r="U54" i="5"/>
  <c r="R68" i="5"/>
  <c r="Q64" i="5"/>
  <c r="Q66" i="5"/>
  <c r="Q67" i="5"/>
  <c r="R67" i="5"/>
  <c r="R66" i="5"/>
  <c r="R64" i="5"/>
  <c r="R57" i="5"/>
  <c r="R52" i="5"/>
  <c r="R56" i="5"/>
  <c r="R51" i="5"/>
  <c r="R55" i="5"/>
  <c r="R54" i="5"/>
  <c r="O68" i="5"/>
  <c r="N64" i="5"/>
  <c r="N66" i="5"/>
  <c r="N67" i="5"/>
  <c r="O67" i="5"/>
  <c r="O66" i="5"/>
  <c r="O64" i="5"/>
  <c r="O57" i="5"/>
  <c r="O52" i="5"/>
  <c r="O56" i="5"/>
  <c r="O51" i="5"/>
  <c r="O55" i="5"/>
  <c r="O54" i="5"/>
  <c r="L68" i="5"/>
  <c r="L67" i="5"/>
  <c r="L66" i="5"/>
  <c r="L64" i="5"/>
  <c r="L63" i="5"/>
  <c r="L60" i="5"/>
  <c r="L57" i="5"/>
  <c r="L52" i="5"/>
  <c r="L51" i="5"/>
  <c r="L55" i="5"/>
  <c r="L56" i="5"/>
  <c r="L54" i="5"/>
  <c r="J10" i="5"/>
  <c r="K10" i="5"/>
  <c r="L10" i="5"/>
  <c r="M10" i="5"/>
  <c r="N10" i="5"/>
  <c r="O10" i="5"/>
  <c r="P10" i="5"/>
  <c r="Q10" i="5"/>
  <c r="J12" i="5"/>
  <c r="K12" i="5"/>
  <c r="L12" i="5"/>
  <c r="M12" i="5"/>
  <c r="N12" i="5"/>
  <c r="O12" i="5"/>
  <c r="P12" i="5"/>
  <c r="Q12" i="5"/>
  <c r="J13" i="5"/>
  <c r="K13" i="5"/>
  <c r="L13" i="5"/>
  <c r="M13" i="5"/>
  <c r="N13" i="5"/>
  <c r="O13" i="5"/>
  <c r="P13" i="5"/>
  <c r="Q13" i="5"/>
  <c r="J17" i="5"/>
  <c r="K17" i="5"/>
  <c r="L17" i="5"/>
  <c r="M17" i="5"/>
  <c r="N17" i="5"/>
  <c r="O17" i="5"/>
  <c r="P17" i="5"/>
  <c r="Q17" i="5"/>
  <c r="J18" i="5"/>
  <c r="K18" i="5"/>
  <c r="L18" i="5"/>
  <c r="M18" i="5"/>
  <c r="N18" i="5"/>
  <c r="O18" i="5"/>
  <c r="P18" i="5"/>
  <c r="Q18" i="5"/>
  <c r="K36" i="5"/>
  <c r="N36" i="5"/>
  <c r="P36" i="5"/>
  <c r="K37" i="5"/>
  <c r="N37" i="5"/>
  <c r="P37" i="5"/>
  <c r="K38" i="5"/>
  <c r="N38" i="5"/>
  <c r="P38" i="5"/>
  <c r="M46" i="5"/>
  <c r="P46" i="5"/>
  <c r="S46" i="5"/>
  <c r="V46" i="5"/>
  <c r="Y46" i="5"/>
  <c r="J46" i="5"/>
  <c r="T12" i="5"/>
  <c r="P50" i="17"/>
  <c r="R9" i="17"/>
  <c r="R10" i="17"/>
  <c r="R13" i="17"/>
  <c r="R14" i="17"/>
  <c r="R40" i="17"/>
  <c r="R39" i="17"/>
  <c r="R41" i="17"/>
  <c r="R42" i="17"/>
  <c r="R43" i="17"/>
  <c r="R45" i="17"/>
  <c r="R8" i="17"/>
  <c r="P34" i="17"/>
  <c r="P33" i="17"/>
  <c r="P38" i="17"/>
  <c r="P36" i="17"/>
  <c r="P40" i="17"/>
  <c r="P39" i="17"/>
  <c r="P35" i="17"/>
  <c r="P41" i="17"/>
  <c r="P42" i="17"/>
  <c r="P45" i="17"/>
  <c r="P9" i="17"/>
  <c r="P10" i="17"/>
  <c r="P8" i="17"/>
  <c r="T13" i="5"/>
  <c r="T18" i="5"/>
  <c r="T36" i="5"/>
  <c r="T37" i="5"/>
  <c r="T38" i="5"/>
  <c r="E45" i="17"/>
  <c r="AK14" i="2"/>
  <c r="AK19" i="2"/>
  <c r="G14" i="2"/>
  <c r="G19" i="2"/>
  <c r="H7" i="2"/>
  <c r="H11" i="2"/>
  <c r="H9" i="2"/>
  <c r="H14" i="2"/>
  <c r="H16" i="2"/>
  <c r="H17" i="2"/>
  <c r="H19" i="2"/>
  <c r="G25" i="2"/>
  <c r="G32" i="2"/>
  <c r="H28" i="2"/>
  <c r="H29" i="2"/>
  <c r="H30" i="2"/>
  <c r="H31" i="2"/>
  <c r="H23" i="2"/>
  <c r="H24" i="2"/>
  <c r="H22" i="2"/>
  <c r="H25" i="2"/>
  <c r="H32" i="2"/>
  <c r="AI17" i="2"/>
  <c r="AJ17" i="2"/>
  <c r="AJ16" i="2"/>
  <c r="AI16" i="2"/>
  <c r="AK13" i="2"/>
  <c r="AG10" i="2"/>
  <c r="AF10" i="2"/>
  <c r="AK10" i="2"/>
  <c r="AJ8" i="2"/>
  <c r="AI8" i="2"/>
  <c r="AG8" i="2"/>
  <c r="AK8" i="2"/>
  <c r="AG14" i="2"/>
  <c r="AG19" i="2"/>
  <c r="G34" i="2"/>
  <c r="H34" i="2"/>
  <c r="AJ19" i="2"/>
  <c r="AI19" i="2"/>
  <c r="R8" i="5"/>
  <c r="AJ62" i="2"/>
  <c r="AI62" i="2"/>
  <c r="AJ9" i="2"/>
  <c r="U10" i="2"/>
  <c r="V10" i="2"/>
  <c r="W10" i="2"/>
  <c r="X10" i="2"/>
  <c r="Y10" i="2"/>
  <c r="Z10" i="2"/>
  <c r="AA10" i="2"/>
  <c r="AB10" i="2"/>
  <c r="AC10" i="2"/>
  <c r="AD10" i="2"/>
  <c r="AE10" i="2"/>
  <c r="AJ10" i="2"/>
  <c r="AJ11" i="2"/>
  <c r="AJ12" i="2"/>
  <c r="AJ13" i="2"/>
  <c r="AJ14" i="2"/>
  <c r="AJ57" i="2"/>
  <c r="AJ7" i="2"/>
  <c r="G59" i="2"/>
  <c r="H59" i="2"/>
  <c r="G10" i="2"/>
  <c r="H10" i="2"/>
  <c r="AI9" i="2"/>
  <c r="I10" i="2"/>
  <c r="J10" i="2"/>
  <c r="K10" i="2"/>
  <c r="L10" i="2"/>
  <c r="M10" i="2"/>
  <c r="N10" i="2"/>
  <c r="O10" i="2"/>
  <c r="P10" i="2"/>
  <c r="Q10" i="2"/>
  <c r="R10" i="2"/>
  <c r="S10" i="2"/>
  <c r="T10" i="2"/>
  <c r="AI10" i="2"/>
  <c r="AI11" i="2"/>
  <c r="AI12" i="2"/>
  <c r="AI13" i="2"/>
  <c r="AI14" i="2"/>
  <c r="AI38" i="2"/>
  <c r="AI39" i="2"/>
  <c r="AI44" i="2"/>
  <c r="AI45" i="2"/>
  <c r="AI54" i="2"/>
  <c r="AI55" i="2"/>
  <c r="AI46" i="2"/>
  <c r="AI56" i="2"/>
  <c r="AI53" i="2"/>
  <c r="AI47" i="2"/>
  <c r="AI57" i="2"/>
  <c r="AI7" i="2"/>
  <c r="E36" i="11"/>
  <c r="J36" i="11"/>
  <c r="J37" i="11"/>
  <c r="E38" i="11"/>
  <c r="J38" i="11"/>
  <c r="J39" i="11"/>
  <c r="K36" i="11"/>
  <c r="K37" i="11"/>
  <c r="K38" i="11"/>
  <c r="K39" i="11"/>
  <c r="L36" i="11"/>
  <c r="L37" i="11"/>
  <c r="L38" i="11"/>
  <c r="L39" i="11"/>
  <c r="M36" i="11"/>
  <c r="M37" i="11"/>
  <c r="M38" i="11"/>
  <c r="M39" i="11"/>
  <c r="N36" i="11"/>
  <c r="N37" i="11"/>
  <c r="N38" i="11"/>
  <c r="N39" i="11"/>
  <c r="O36" i="11"/>
  <c r="O37" i="11"/>
  <c r="O38" i="11"/>
  <c r="O39" i="11"/>
  <c r="P36" i="11"/>
  <c r="P37" i="11"/>
  <c r="P38" i="11"/>
  <c r="P39" i="11"/>
  <c r="Q36" i="11"/>
  <c r="Q37" i="11"/>
  <c r="Q38" i="11"/>
  <c r="Q39" i="11"/>
  <c r="R36" i="11"/>
  <c r="R37" i="11"/>
  <c r="R38" i="11"/>
  <c r="R39" i="11"/>
  <c r="S36" i="11"/>
  <c r="S37" i="11"/>
  <c r="S38" i="11"/>
  <c r="S39" i="11"/>
  <c r="T36" i="11"/>
  <c r="T37" i="11"/>
  <c r="T38" i="11"/>
  <c r="T39" i="11"/>
  <c r="U36" i="11"/>
  <c r="U37" i="11"/>
  <c r="U38" i="11"/>
  <c r="U39" i="11"/>
  <c r="V36" i="11"/>
  <c r="V37" i="11"/>
  <c r="V38" i="11"/>
  <c r="V39" i="11"/>
  <c r="W36" i="11"/>
  <c r="W37" i="11"/>
  <c r="W38" i="11"/>
  <c r="W39" i="11"/>
  <c r="X36" i="11"/>
  <c r="X37" i="11"/>
  <c r="X38" i="11"/>
  <c r="X39" i="11"/>
  <c r="Y36" i="11"/>
  <c r="Y37" i="11"/>
  <c r="Y38" i="11"/>
  <c r="Y39" i="11"/>
  <c r="Z36" i="11"/>
  <c r="Z37" i="11"/>
  <c r="Z38" i="11"/>
  <c r="Z39" i="11"/>
  <c r="AA36" i="11"/>
  <c r="AA37" i="11"/>
  <c r="AA38" i="11"/>
  <c r="AA39" i="11"/>
  <c r="AB36" i="11"/>
  <c r="AB37" i="11"/>
  <c r="AB38" i="11"/>
  <c r="AB39" i="11"/>
  <c r="AC36" i="11"/>
  <c r="AC37" i="11"/>
  <c r="AC38" i="11"/>
  <c r="AC39" i="11"/>
  <c r="AD36" i="11"/>
  <c r="AD37" i="11"/>
  <c r="AD38" i="11"/>
  <c r="AD39" i="11"/>
  <c r="AE36" i="11"/>
  <c r="AE37" i="11"/>
  <c r="AE38" i="11"/>
  <c r="AE39" i="11"/>
  <c r="AF36" i="11"/>
  <c r="AF37" i="11"/>
  <c r="AF38" i="11"/>
  <c r="AF39" i="11"/>
  <c r="I36" i="11"/>
  <c r="I37" i="11"/>
  <c r="I38" i="11"/>
  <c r="I39" i="11"/>
  <c r="J7" i="8"/>
  <c r="E18" i="8"/>
  <c r="E17" i="8"/>
  <c r="J9" i="8"/>
  <c r="J10" i="8"/>
  <c r="J11" i="8"/>
  <c r="J13" i="8"/>
  <c r="E5" i="8"/>
  <c r="E7" i="8"/>
  <c r="J14" i="8"/>
  <c r="R13" i="5"/>
  <c r="R18" i="5"/>
  <c r="S13" i="5"/>
  <c r="S18" i="5"/>
  <c r="S36" i="5"/>
  <c r="S37" i="5"/>
  <c r="S38" i="5"/>
  <c r="C22" i="9"/>
  <c r="D22" i="9"/>
  <c r="E22" i="9"/>
  <c r="F22" i="9"/>
  <c r="G22" i="9"/>
  <c r="H22" i="9"/>
  <c r="I22" i="9"/>
  <c r="J22" i="9"/>
  <c r="K22" i="9"/>
  <c r="L22" i="9"/>
  <c r="B22" i="9"/>
  <c r="C21" i="9"/>
  <c r="D21" i="9"/>
  <c r="E21" i="9"/>
  <c r="F21" i="9"/>
  <c r="G21" i="9"/>
  <c r="H21" i="9"/>
  <c r="I21" i="9"/>
  <c r="J21" i="9"/>
  <c r="K21" i="9"/>
  <c r="L21" i="9"/>
  <c r="B21" i="9"/>
  <c r="D22" i="10"/>
  <c r="E22" i="10"/>
  <c r="F22" i="10"/>
  <c r="G22" i="10"/>
  <c r="H22" i="10"/>
  <c r="D23" i="10"/>
  <c r="E23" i="10"/>
  <c r="F23" i="10"/>
  <c r="G23" i="10"/>
  <c r="H23" i="10"/>
  <c r="C23" i="10"/>
  <c r="C22" i="10"/>
  <c r="AK25" i="2"/>
  <c r="AK32" i="2"/>
  <c r="AK34" i="2"/>
  <c r="AK59" i="2"/>
  <c r="AK64" i="2"/>
  <c r="AJ66" i="2"/>
  <c r="AK66" i="2"/>
  <c r="AJ64" i="2"/>
  <c r="AI66" i="2"/>
  <c r="AI64" i="2"/>
  <c r="AJ22" i="2"/>
  <c r="AJ25" i="2"/>
  <c r="AJ32" i="2"/>
  <c r="AJ34" i="2"/>
  <c r="AJ59" i="2"/>
  <c r="AI22" i="2"/>
  <c r="AI25" i="2"/>
  <c r="AI32" i="2"/>
  <c r="AI34" i="2"/>
  <c r="AI59" i="2"/>
</calcChain>
</file>

<file path=xl/sharedStrings.xml><?xml version="1.0" encoding="utf-8"?>
<sst xmlns="http://schemas.openxmlformats.org/spreadsheetml/2006/main" count="393" uniqueCount="300">
  <si>
    <t>Assumptions</t>
  </si>
  <si>
    <t>Build-out Cost</t>
  </si>
  <si>
    <t>Bookable Hours per Chair</t>
  </si>
  <si>
    <t>Days per Month</t>
  </si>
  <si>
    <t>Avg. Allocated Benefit Visits per Month</t>
  </si>
  <si>
    <t>Average Hourly Stylist Rate</t>
  </si>
  <si>
    <t>Average Membership Sales Commission</t>
  </si>
  <si>
    <t>Avg. Treatment Time (in Mins)</t>
  </si>
  <si>
    <t>Benefit /Paid Bookings Ratio</t>
  </si>
  <si>
    <t>Utilization Rate</t>
  </si>
  <si>
    <t>Payroll</t>
  </si>
  <si>
    <t>Member Count</t>
  </si>
  <si>
    <t>Member Dues Revenue</t>
  </si>
  <si>
    <t>Paid Appointment Revenue</t>
  </si>
  <si>
    <t>% of Max. Capacity</t>
  </si>
  <si>
    <t>Date</t>
  </si>
  <si>
    <t>85th &amp; Madison</t>
  </si>
  <si>
    <t>980 Madison</t>
  </si>
  <si>
    <t>61st St</t>
  </si>
  <si>
    <t>Astor Place</t>
  </si>
  <si>
    <t>Downtown Miami (Brickell)</t>
  </si>
  <si>
    <t>Viacom</t>
  </si>
  <si>
    <t>Miami Beach</t>
  </si>
  <si>
    <t>Wall St.</t>
  </si>
  <si>
    <t>Times Square</t>
  </si>
  <si>
    <t>West Village</t>
  </si>
  <si>
    <t>Dumbo</t>
  </si>
  <si>
    <t>Paid Appointment Count</t>
  </si>
  <si>
    <t xml:space="preserve"> 61st St</t>
  </si>
  <si>
    <t xml:space="preserve"> 980 Madison</t>
  </si>
  <si>
    <t xml:space="preserve"> Astor Place</t>
  </si>
  <si>
    <t xml:space="preserve"> Dumbo</t>
  </si>
  <si>
    <t xml:space="preserve"> Times Square</t>
  </si>
  <si>
    <t xml:space="preserve"> West Village</t>
  </si>
  <si>
    <t>Max</t>
  </si>
  <si>
    <t>Avg</t>
  </si>
  <si>
    <t>Active Chairs</t>
  </si>
  <si>
    <t>Max Capacity</t>
  </si>
  <si>
    <t>Staffed Hours</t>
  </si>
  <si>
    <t>Non-productive Staffed Hours per Day</t>
  </si>
  <si>
    <t>COGS</t>
  </si>
  <si>
    <t>Marginal COGS</t>
  </si>
  <si>
    <t>Product Revenue per Appointment</t>
  </si>
  <si>
    <t>Product Revenue</t>
  </si>
  <si>
    <t>Total Appointments</t>
  </si>
  <si>
    <t>Revenue Share Rate</t>
  </si>
  <si>
    <t>Revenue Share</t>
  </si>
  <si>
    <t>Y1-Q2</t>
  </si>
  <si>
    <t>Y1-Q3</t>
  </si>
  <si>
    <t>Y1-Q4</t>
  </si>
  <si>
    <t>Y2-Q2</t>
  </si>
  <si>
    <t>Y2-Q1</t>
  </si>
  <si>
    <t>Net Profit</t>
  </si>
  <si>
    <t>Margin</t>
  </si>
  <si>
    <t>Maximum Chairs</t>
  </si>
  <si>
    <t>Target</t>
  </si>
  <si>
    <t>Targets</t>
  </si>
  <si>
    <t>Member Capacity</t>
  </si>
  <si>
    <t>Paid Appointment Capacity</t>
  </si>
  <si>
    <t>Chairs</t>
  </si>
  <si>
    <t>Location Name</t>
  </si>
  <si>
    <t>Launch Date</t>
  </si>
  <si>
    <t>Y2-Q3</t>
  </si>
  <si>
    <t>Y2-Q4</t>
  </si>
  <si>
    <t>Count of Open Salons</t>
  </si>
  <si>
    <t>Membership Dues Revenue</t>
  </si>
  <si>
    <t>Paid Appointments Revenue</t>
  </si>
  <si>
    <t>Active Members</t>
  </si>
  <si>
    <t>Paid Appointments</t>
  </si>
  <si>
    <t>Event Revenue</t>
  </si>
  <si>
    <t>Number of Stylists</t>
  </si>
  <si>
    <t>Transportation</t>
  </si>
  <si>
    <t>Marketing Collateral</t>
  </si>
  <si>
    <t>Number Treatments</t>
  </si>
  <si>
    <t>Member Conversion Rate</t>
  </si>
  <si>
    <t>Event Length (hrs)</t>
  </si>
  <si>
    <t>Average Treatment Time (mins)</t>
  </si>
  <si>
    <t>Product Cost per Treatment</t>
  </si>
  <si>
    <t>Maximum Customer Reach</t>
  </si>
  <si>
    <t>New Members</t>
  </si>
  <si>
    <t>Wages</t>
  </si>
  <si>
    <t>SG &amp; A</t>
  </si>
  <si>
    <t>Materials &amp; Supplies</t>
  </si>
  <si>
    <t>Production &amp; Management (hrs)</t>
  </si>
  <si>
    <t>Production &amp; Management Wages</t>
  </si>
  <si>
    <t>Event Cost</t>
  </si>
  <si>
    <t>Stylist Wages</t>
  </si>
  <si>
    <t>Contractors</t>
  </si>
  <si>
    <t>Operating Expenses</t>
  </si>
  <si>
    <t>Utilities</t>
  </si>
  <si>
    <t>Appointment Management Expense</t>
  </si>
  <si>
    <t>Merchant Fees</t>
  </si>
  <si>
    <t>Uniforms</t>
  </si>
  <si>
    <t>Operating Profits</t>
  </si>
  <si>
    <t>General &amp; Administrative</t>
  </si>
  <si>
    <t>Technology</t>
  </si>
  <si>
    <t>Advertising</t>
  </si>
  <si>
    <t>Marketing &amp; Promotion</t>
  </si>
  <si>
    <t>Office Expenses</t>
  </si>
  <si>
    <t>Travel</t>
  </si>
  <si>
    <t>Meals &amp; Entertainment</t>
  </si>
  <si>
    <t>Office Supplies</t>
  </si>
  <si>
    <t>Postage &amp; Delivery</t>
  </si>
  <si>
    <t>Recruiting Fees</t>
  </si>
  <si>
    <t>Dues &amp; Subscriptions</t>
  </si>
  <si>
    <t>Storage</t>
  </si>
  <si>
    <t>Training</t>
  </si>
  <si>
    <t>Total General &amp; Administrative</t>
  </si>
  <si>
    <t>EBITDA</t>
  </si>
  <si>
    <t>Revenue</t>
  </si>
  <si>
    <t>Total Revenue</t>
  </si>
  <si>
    <t>Corporate Salaries</t>
  </si>
  <si>
    <t>CEO</t>
  </si>
  <si>
    <t>CTO</t>
  </si>
  <si>
    <t>Workers Comp</t>
  </si>
  <si>
    <t>Payroll Taxes &amp; Fees</t>
  </si>
  <si>
    <t>Event Count</t>
  </si>
  <si>
    <t>Event Minimum</t>
  </si>
  <si>
    <t>First Hour Rate / Stylist</t>
  </si>
  <si>
    <t>Additional Hours / Stylist</t>
  </si>
  <si>
    <t>Minimum Length (hrs)</t>
  </si>
  <si>
    <t>Corporate</t>
  </si>
  <si>
    <t>Staff</t>
  </si>
  <si>
    <t>CMO</t>
  </si>
  <si>
    <t>Director of Operations</t>
  </si>
  <si>
    <t>Director of Corporate Partnerships</t>
  </si>
  <si>
    <t>Customer Service</t>
  </si>
  <si>
    <t>Salary</t>
  </si>
  <si>
    <t>Development</t>
  </si>
  <si>
    <t>Executive</t>
  </si>
  <si>
    <t>Sales &amp; Marketing</t>
  </si>
  <si>
    <t>Business Development Associate</t>
  </si>
  <si>
    <t>Average Event Wage  (Total)</t>
  </si>
  <si>
    <t>Representative</t>
  </si>
  <si>
    <t>iOS Developer</t>
  </si>
  <si>
    <t>Android Developer</t>
  </si>
  <si>
    <t>Accounting</t>
  </si>
  <si>
    <t>Professional Services</t>
  </si>
  <si>
    <t>Design</t>
  </si>
  <si>
    <t>Legal</t>
  </si>
  <si>
    <t>HR</t>
  </si>
  <si>
    <t>Administrative</t>
  </si>
  <si>
    <t>Office Manager</t>
  </si>
  <si>
    <t>Operations</t>
  </si>
  <si>
    <t>Manager of Operations</t>
  </si>
  <si>
    <t>Visual Design, Branding and Marketing</t>
  </si>
  <si>
    <t>UI/ UX Design</t>
  </si>
  <si>
    <t>Lead Backend Developer</t>
  </si>
  <si>
    <t>Lead Frontend/Mobile Developer</t>
  </si>
  <si>
    <t>Annual Increase %</t>
  </si>
  <si>
    <t>Start</t>
  </si>
  <si>
    <t>Total Staff Salaries</t>
  </si>
  <si>
    <t>Total Professional Services</t>
  </si>
  <si>
    <t>Total Contractors</t>
  </si>
  <si>
    <t>YTD August 2016</t>
  </si>
  <si>
    <t>FY 2016 (est)</t>
  </si>
  <si>
    <t>CAC</t>
  </si>
  <si>
    <t>Capital Expenditure</t>
  </si>
  <si>
    <t>Leasehold Improvements</t>
  </si>
  <si>
    <t>Net Cashflow</t>
  </si>
  <si>
    <t>Dec-16 (est)</t>
  </si>
  <si>
    <t>Cash Position</t>
  </si>
  <si>
    <t>FY 2017</t>
  </si>
  <si>
    <t>FY 2018</t>
  </si>
  <si>
    <t>Adjustment</t>
  </si>
  <si>
    <t>Growth Rate</t>
  </si>
  <si>
    <t>Operating Profit (Loss)</t>
  </si>
  <si>
    <t>Glam&amp;Go</t>
  </si>
  <si>
    <t>Cost of Services</t>
  </si>
  <si>
    <t>Gross Profit</t>
  </si>
  <si>
    <t>Average Ramp %</t>
  </si>
  <si>
    <t>Q1</t>
  </si>
  <si>
    <t>Q2</t>
  </si>
  <si>
    <t>Q3</t>
  </si>
  <si>
    <t>Q4</t>
  </si>
  <si>
    <t>Glam &amp; Go Staffing</t>
  </si>
  <si>
    <t>Glam &amp; Go Rollout Schedule</t>
  </si>
  <si>
    <t>Glam &amp; Go Salon Model</t>
  </si>
  <si>
    <t>Member Churn</t>
  </si>
  <si>
    <t>Glam &amp; Go Event Model</t>
  </si>
  <si>
    <t>Glam &amp; Go Financial Projections</t>
  </si>
  <si>
    <t>New Memberships</t>
  </si>
  <si>
    <t>Marketing &amp; Promotions</t>
  </si>
  <si>
    <t>Commissions</t>
  </si>
  <si>
    <t>Acquisition Spend</t>
  </si>
  <si>
    <t>Promotional Discounts</t>
  </si>
  <si>
    <t>Ramp Duration (months)</t>
  </si>
  <si>
    <t>FY 2019</t>
  </si>
  <si>
    <t>Membership Revenue</t>
  </si>
  <si>
    <t>Services Revenue</t>
  </si>
  <si>
    <t>Other Revenue</t>
  </si>
  <si>
    <t>Operating Expense</t>
  </si>
  <si>
    <t>Rent &amp; Utilities</t>
  </si>
  <si>
    <t>Booking &amp; Merchant Fees</t>
  </si>
  <si>
    <t>Salon Maintenance</t>
  </si>
  <si>
    <t>Other</t>
  </si>
  <si>
    <t>Marketing, Advertising &amp; Promotion</t>
  </si>
  <si>
    <t>Travel, Meals &amp; Entertainment</t>
  </si>
  <si>
    <t>Total Operating Expense</t>
  </si>
  <si>
    <t>FY 2016</t>
  </si>
  <si>
    <t>FY2017</t>
  </si>
  <si>
    <t>FY2018</t>
  </si>
  <si>
    <t>FY2019</t>
  </si>
  <si>
    <t>Y1 - Q1</t>
  </si>
  <si>
    <t/>
  </si>
  <si>
    <t>Series Seed:</t>
  </si>
  <si>
    <t>Goal</t>
  </si>
  <si>
    <t>Actual</t>
  </si>
  <si>
    <t>% Diff</t>
  </si>
  <si>
    <t>Actual as of:</t>
  </si>
  <si>
    <t>Break Even</t>
  </si>
  <si>
    <t>Reality Check</t>
  </si>
  <si>
    <t>Max Daily Capacity (in Treatments)</t>
  </si>
  <si>
    <t>Monthly Salon Performance at End of Period</t>
  </si>
  <si>
    <t>Brand Revenue vs. Plan (%)</t>
  </si>
  <si>
    <t>Glam &amp; Go Summary Projections</t>
  </si>
  <si>
    <t>Glam &amp; Go CAC Estimate</t>
  </si>
  <si>
    <t>Average Monthly Membership Dues</t>
  </si>
  <si>
    <t>Average Paid Booking</t>
  </si>
  <si>
    <t>Store Revenue</t>
  </si>
  <si>
    <t xml:space="preserve">Store </t>
  </si>
  <si>
    <t>Pre-opening</t>
  </si>
  <si>
    <t>Total EBITDA</t>
  </si>
  <si>
    <t>CAPEX</t>
  </si>
  <si>
    <t xml:space="preserve">  - Buildouts</t>
  </si>
  <si>
    <t>Financing</t>
  </si>
  <si>
    <t xml:space="preserve"> - Series A</t>
  </si>
  <si>
    <t>Net Cash Flow</t>
  </si>
  <si>
    <t>Beginning Cash</t>
  </si>
  <si>
    <t>Ending Cash</t>
  </si>
  <si>
    <t>New Salon #1</t>
  </si>
  <si>
    <t>New Salon #2</t>
  </si>
  <si>
    <t>New Salon #3</t>
  </si>
  <si>
    <t>New Salon #4</t>
  </si>
  <si>
    <t>New Salon #5</t>
  </si>
  <si>
    <t>New Salon #6</t>
  </si>
  <si>
    <t>New Salon #7</t>
  </si>
  <si>
    <t>New Salon #8</t>
  </si>
  <si>
    <t>New Salon #9</t>
  </si>
  <si>
    <t>New Salon #10</t>
  </si>
  <si>
    <t>New Salon #11</t>
  </si>
  <si>
    <t>New Salon #12</t>
  </si>
  <si>
    <t>New Salon #13</t>
  </si>
  <si>
    <t>New Salon #14</t>
  </si>
  <si>
    <t>New Salon #15</t>
  </si>
  <si>
    <t>New Salon #16</t>
  </si>
  <si>
    <t>New Salon #17</t>
  </si>
  <si>
    <t>New Salon #18</t>
  </si>
  <si>
    <t>New Salon #19</t>
  </si>
  <si>
    <t>New Salon #20</t>
  </si>
  <si>
    <t>New Salon #21</t>
  </si>
  <si>
    <t>New Salon #22</t>
  </si>
  <si>
    <t>New Salon #23</t>
  </si>
  <si>
    <t>New Salon #24</t>
  </si>
  <si>
    <t>New Salon #25</t>
  </si>
  <si>
    <t>New Salon #26</t>
  </si>
  <si>
    <t>New Salon #27</t>
  </si>
  <si>
    <t>New Salon #28</t>
  </si>
  <si>
    <t>New Salon #29</t>
  </si>
  <si>
    <t>New Salon #30</t>
  </si>
  <si>
    <t>Payroll Taxes &amp; Workers Comp.</t>
  </si>
  <si>
    <t>Cleaning, Décor, Repairs</t>
  </si>
  <si>
    <t xml:space="preserve">Merchant Fees </t>
  </si>
  <si>
    <t>Total Operating Expenses</t>
  </si>
  <si>
    <r>
      <t>Other Operating Expenses</t>
    </r>
    <r>
      <rPr>
        <vertAlign val="superscript"/>
        <sz val="12"/>
        <color theme="1"/>
        <rFont val="Calibri"/>
        <scheme val="minor"/>
      </rPr>
      <t>1</t>
    </r>
  </si>
  <si>
    <t>1) Actuals based on Aug 2016</t>
  </si>
  <si>
    <t>Payroll Taxes &amp; Workers Comp</t>
  </si>
  <si>
    <t>Operating Labor</t>
  </si>
  <si>
    <t>Total Operating Labor</t>
  </si>
  <si>
    <t>Salaries</t>
  </si>
  <si>
    <t>Office Rent</t>
  </si>
  <si>
    <t xml:space="preserve">We are expecting revenue to grow by </t>
  </si>
  <si>
    <t>in 2017 and</t>
  </si>
  <si>
    <t>in 2018</t>
  </si>
  <si>
    <t xml:space="preserve">Our best performing store is at </t>
  </si>
  <si>
    <t>We will open</t>
  </si>
  <si>
    <t xml:space="preserve">We are targeting a staff utilization rate of </t>
  </si>
  <si>
    <t xml:space="preserve">Our current utilization rate is </t>
  </si>
  <si>
    <t>We are looking to raise</t>
  </si>
  <si>
    <t>We will be profitable</t>
  </si>
  <si>
    <t>Our operating margins will be</t>
  </si>
  <si>
    <t>Glam &amp; Go Estimates</t>
  </si>
  <si>
    <r>
      <rPr>
        <b/>
        <sz val="12"/>
        <color rgb="FFFF0000"/>
        <rFont val="Calibri"/>
        <scheme val="minor"/>
      </rPr>
      <t>Notice:</t>
    </r>
    <r>
      <rPr>
        <sz val="12"/>
        <color theme="1"/>
        <rFont val="Calibri"/>
        <family val="2"/>
        <scheme val="minor"/>
      </rPr>
      <t xml:space="preserve"> Prudence along with Terms of Confidentiality and Nondisclosure Agreements prevent me from sharing actual company data. The numbers herewithin are indicative and have been purposely obscured for the purpose of sharing </t>
    </r>
    <r>
      <rPr>
        <b/>
        <i/>
        <sz val="12"/>
        <color theme="1"/>
        <rFont val="Calibri"/>
        <scheme val="minor"/>
      </rPr>
      <t>only</t>
    </r>
    <r>
      <rPr>
        <i/>
        <sz val="12"/>
        <color theme="1"/>
        <rFont val="Calibri"/>
        <scheme val="minor"/>
      </rPr>
      <t xml:space="preserve"> my thought process and methods.</t>
    </r>
  </si>
  <si>
    <t>"NYC - Loc. 1"</t>
  </si>
  <si>
    <t>"NYC - Loc. 3"</t>
  </si>
  <si>
    <t>"NYC - Loc. 2"</t>
  </si>
  <si>
    <t>"Miami - Loc. 1"</t>
  </si>
  <si>
    <t>"LA - Loc. 1"</t>
  </si>
  <si>
    <t>"LA - Loc. 2"</t>
  </si>
  <si>
    <t>NYC - Loc. 1</t>
  </si>
  <si>
    <t>NYC - Loc. 2</t>
  </si>
  <si>
    <t>NYC - Loc. 3</t>
  </si>
  <si>
    <t>Miami - Loc. 1</t>
  </si>
  <si>
    <t>LA - Loc. 1</t>
  </si>
  <si>
    <t>LA - Loc. 2</t>
  </si>
  <si>
    <t>LA - Loc. 3</t>
  </si>
  <si>
    <t>LA Loc.1 Revenue vs. Plan (%)</t>
  </si>
  <si>
    <t>Sample Financial Model</t>
  </si>
  <si>
    <t>new salons by EOY 2018.</t>
  </si>
  <si>
    <t>of the level it must be in order to meet projections.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</si>
</sst>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_);\(&quot;$&quot;#,##0\)"/>
    <numFmt numFmtId="6" formatCode="&quot;$&quot;#,##0_);[Red]\(&quot;$&quot;#,##0\)"/>
    <numFmt numFmtId="8" formatCode="&quot;$&quot;#,##0.00_);[Red]\(&quot;$&quot;#,##0.00\)"/>
    <numFmt numFmtId="41" formatCode="_(* #,##0_);_(* \(#,##0\);_(* &quot;-&quot;_);_(@_)"/>
    <numFmt numFmtId="43" formatCode="_(* #,##0.00_);_(* \(#,##0.00\);_(* &quot;-&quot;??_);_(@_)"/>
    <numFmt numFmtId="164" formatCode="[$-409]mmm\-yy;@"/>
    <numFmt numFmtId="165" formatCode="0.0%"/>
    <numFmt numFmtId="166" formatCode="0.0%;\(0.0%\);\-"/>
    <numFmt numFmtId="167" formatCode="0.0"/>
    <numFmt numFmtId="168" formatCode="_(* #,##0_);_(* \(#,##0\);_(* &quot;-&quot;??_);_(@_)"/>
    <numFmt numFmtId="169" formatCode="&quot;$&quot;#,##0.00"/>
    <numFmt numFmtId="170" formatCode="&quot;$&quot;#,##0"/>
    <numFmt numFmtId="171" formatCode="[$-409]mmmm\ d\,\ yyyy;@"/>
    <numFmt numFmtId="172" formatCode="&quot;Cash @ Seed:&quot;\ &quot;$&quot;#,##0"/>
    <numFmt numFmtId="173" formatCode="&quot;$&quot;#,##0.0,,&quot; M&quot;"/>
  </numFmts>
  <fonts count="42" x14ac:knownFonts="1">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b/>
      <sz val="12"/>
      <color theme="0"/>
      <name val="Calibri"/>
      <family val="2"/>
      <charset val="134"/>
      <scheme val="minor"/>
    </font>
    <font>
      <b/>
      <sz val="12"/>
      <color theme="1"/>
      <name val="Calibri"/>
      <family val="2"/>
      <charset val="134"/>
      <scheme val="minor"/>
    </font>
    <font>
      <sz val="12"/>
      <color theme="0"/>
      <name val="Calibri"/>
      <family val="2"/>
      <charset val="134"/>
      <scheme val="minor"/>
    </font>
    <font>
      <u/>
      <sz val="12"/>
      <color theme="10"/>
      <name val="Calibri"/>
      <family val="2"/>
      <charset val="134"/>
      <scheme val="minor"/>
    </font>
    <font>
      <u/>
      <sz val="12"/>
      <color theme="11"/>
      <name val="Calibri"/>
      <family val="2"/>
      <charset val="134"/>
      <scheme val="minor"/>
    </font>
    <font>
      <b/>
      <i/>
      <sz val="12"/>
      <color theme="1"/>
      <name val="Calibri"/>
      <scheme val="minor"/>
    </font>
    <font>
      <sz val="12"/>
      <name val="Calibri"/>
      <scheme val="minor"/>
    </font>
    <font>
      <sz val="12"/>
      <color rgb="FF3366FF"/>
      <name val="Calibri"/>
      <scheme val="minor"/>
    </font>
    <font>
      <sz val="12"/>
      <color rgb="FF0000FF"/>
      <name val="Calibri"/>
      <scheme val="minor"/>
    </font>
    <font>
      <i/>
      <sz val="10"/>
      <color theme="1"/>
      <name val="Calibri"/>
      <scheme val="minor"/>
    </font>
    <font>
      <sz val="10"/>
      <color theme="1"/>
      <name val="Calibri"/>
      <scheme val="minor"/>
    </font>
    <font>
      <i/>
      <sz val="10"/>
      <name val="Calibri"/>
      <scheme val="minor"/>
    </font>
    <font>
      <sz val="10"/>
      <color rgb="FF000000"/>
      <name val="Calibri"/>
      <scheme val="minor"/>
    </font>
    <font>
      <i/>
      <sz val="12"/>
      <color theme="1"/>
      <name val="Calibri"/>
      <scheme val="minor"/>
    </font>
    <font>
      <b/>
      <sz val="12"/>
      <color rgb="FF3366FF"/>
      <name val="Calibri"/>
      <scheme val="minor"/>
    </font>
    <font>
      <b/>
      <sz val="16"/>
      <color theme="1"/>
      <name val="Calibri"/>
      <scheme val="minor"/>
    </font>
    <font>
      <sz val="18"/>
      <color theme="0" tint="-0.14999847407452621"/>
      <name val="Calibri"/>
      <scheme val="minor"/>
    </font>
    <font>
      <b/>
      <sz val="16"/>
      <color rgb="FF000000"/>
      <name val="Calibri"/>
      <scheme val="minor"/>
    </font>
    <font>
      <sz val="18"/>
      <color rgb="FFD9D9D9"/>
      <name val="Calibri"/>
      <scheme val="minor"/>
    </font>
    <font>
      <i/>
      <sz val="12"/>
      <color theme="0"/>
      <name val="Calibri"/>
      <scheme val="minor"/>
    </font>
    <font>
      <sz val="14"/>
      <color theme="1"/>
      <name val="Calibri"/>
      <scheme val="minor"/>
    </font>
    <font>
      <b/>
      <sz val="14"/>
      <color theme="1"/>
      <name val="Calibri"/>
      <scheme val="minor"/>
    </font>
    <font>
      <u/>
      <sz val="12"/>
      <color theme="1"/>
      <name val="Calibri"/>
      <scheme val="minor"/>
    </font>
    <font>
      <b/>
      <u/>
      <sz val="12"/>
      <color theme="1"/>
      <name val="Calibri"/>
      <scheme val="minor"/>
    </font>
    <font>
      <b/>
      <sz val="14"/>
      <color theme="1" tint="4.9989318521683403E-2"/>
      <name val="Calibri"/>
      <scheme val="minor"/>
    </font>
    <font>
      <b/>
      <sz val="12"/>
      <color rgb="FF660066"/>
      <name val="Calibri"/>
      <scheme val="minor"/>
    </font>
    <font>
      <sz val="12"/>
      <color rgb="FF660066"/>
      <name val="Calibri"/>
      <scheme val="minor"/>
    </font>
    <font>
      <sz val="11"/>
      <color theme="1"/>
      <name val="Calibri"/>
      <family val="2"/>
      <scheme val="minor"/>
    </font>
    <font>
      <b/>
      <sz val="11"/>
      <color theme="1"/>
      <name val="Calibri"/>
      <family val="2"/>
      <scheme val="minor"/>
    </font>
    <font>
      <sz val="10"/>
      <color rgb="FF000000"/>
      <name val="Arial"/>
    </font>
    <font>
      <vertAlign val="superscript"/>
      <sz val="12"/>
      <color theme="1"/>
      <name val="Calibri"/>
      <scheme val="minor"/>
    </font>
    <font>
      <sz val="12"/>
      <color rgb="FF000000"/>
      <name val="Calibri"/>
      <family val="2"/>
      <scheme val="minor"/>
    </font>
    <font>
      <b/>
      <sz val="12"/>
      <color rgb="FF000000"/>
      <name val="Calibri"/>
      <family val="2"/>
      <scheme val="minor"/>
    </font>
    <font>
      <b/>
      <sz val="12"/>
      <color rgb="FFFFFFFF"/>
      <name val="Calibri"/>
      <family val="2"/>
      <scheme val="minor"/>
    </font>
    <font>
      <sz val="18"/>
      <color theme="0" tint="-0.34998626667073579"/>
      <name val="Calibri"/>
      <scheme val="minor"/>
    </font>
    <font>
      <b/>
      <sz val="12"/>
      <color rgb="FFFF0000"/>
      <name val="Calibri"/>
      <scheme val="minor"/>
    </font>
    <font>
      <b/>
      <sz val="18"/>
      <color theme="1"/>
      <name val="Calibri"/>
      <scheme val="minor"/>
    </font>
    <font>
      <b/>
      <sz val="14"/>
      <color rgb="FF0D0D0D"/>
      <name val="Calibri"/>
      <scheme val="minor"/>
    </font>
  </fonts>
  <fills count="16">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66006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404040"/>
        <bgColor rgb="FF000000"/>
      </patternFill>
    </fill>
    <fill>
      <patternFill patternType="solid">
        <fgColor rgb="FFF2F2F2"/>
        <bgColor rgb="FF000000"/>
      </patternFill>
    </fill>
  </fills>
  <borders count="62">
    <border>
      <left/>
      <right/>
      <top/>
      <bottom/>
      <diagonal/>
    </border>
    <border>
      <left/>
      <right/>
      <top/>
      <bottom style="thin">
        <color auto="1"/>
      </bottom>
      <diagonal/>
    </border>
    <border>
      <left style="medium">
        <color auto="1"/>
      </left>
      <right/>
      <top/>
      <bottom/>
      <diagonal/>
    </border>
    <border>
      <left/>
      <right style="thin">
        <color auto="1"/>
      </right>
      <top/>
      <bottom/>
      <diagonal/>
    </border>
    <border>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theme="0" tint="-0.14999847407452621"/>
      </left>
      <right/>
      <top/>
      <bottom/>
      <diagonal/>
    </border>
    <border>
      <left style="thick">
        <color rgb="FFD9D9D9"/>
      </left>
      <right/>
      <top/>
      <bottom/>
      <diagonal/>
    </border>
    <border>
      <left style="thin">
        <color theme="0" tint="-0.34998626667073579"/>
      </left>
      <right/>
      <top/>
      <bottom/>
      <diagonal/>
    </border>
    <border>
      <left style="thin">
        <color theme="0" tint="-0.34998626667073579"/>
      </left>
      <right/>
      <top/>
      <bottom style="thin">
        <color auto="1"/>
      </bottom>
      <diagonal/>
    </border>
    <border>
      <left style="thin">
        <color theme="0" tint="-0.34998626667073579"/>
      </left>
      <right/>
      <top/>
      <bottom style="double">
        <color auto="1"/>
      </bottom>
      <diagonal/>
    </border>
    <border>
      <left/>
      <right style="thin">
        <color theme="1" tint="0.34998626667073579"/>
      </right>
      <top/>
      <bottom/>
      <diagonal/>
    </border>
    <border>
      <left/>
      <right style="thin">
        <color theme="1" tint="0.34998626667073579"/>
      </right>
      <top/>
      <bottom style="thin">
        <color auto="1"/>
      </bottom>
      <diagonal/>
    </border>
    <border>
      <left/>
      <right style="thin">
        <color theme="1" tint="0.34998626667073579"/>
      </right>
      <top/>
      <bottom style="double">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medium">
        <color auto="1"/>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bottom style="thin">
        <color theme="1" tint="0.499984740745262"/>
      </bottom>
      <diagonal/>
    </border>
    <border>
      <left style="thin">
        <color auto="1"/>
      </left>
      <right/>
      <top/>
      <bottom/>
      <diagonal/>
    </border>
    <border>
      <left style="thin">
        <color auto="1"/>
      </left>
      <right/>
      <top/>
      <bottom style="medium">
        <color auto="1"/>
      </bottom>
      <diagonal/>
    </border>
    <border>
      <left style="thin">
        <color auto="1"/>
      </left>
      <right/>
      <top/>
      <bottom style="thin">
        <color auto="1"/>
      </bottom>
      <diagonal/>
    </border>
    <border>
      <left/>
      <right style="medium">
        <color auto="1"/>
      </right>
      <top/>
      <bottom style="double">
        <color auto="1"/>
      </bottom>
      <diagonal/>
    </border>
    <border>
      <left style="thin">
        <color auto="1"/>
      </left>
      <right/>
      <top/>
      <bottom style="double">
        <color auto="1"/>
      </bottom>
      <diagonal/>
    </border>
    <border>
      <left style="thin">
        <color theme="1" tint="0.499984740745262"/>
      </left>
      <right style="thin">
        <color theme="1" tint="0.499984740745262"/>
      </right>
      <top/>
      <bottom style="double">
        <color auto="1"/>
      </bottom>
      <diagonal/>
    </border>
    <border>
      <left style="medium">
        <color auto="1"/>
      </left>
      <right style="medium">
        <color auto="1"/>
      </right>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249977111117893"/>
      </left>
      <right/>
      <top/>
      <bottom/>
      <diagonal/>
    </border>
    <border>
      <left style="thin">
        <color theme="0" tint="-0.249977111117893"/>
      </left>
      <right/>
      <top style="thin">
        <color auto="1"/>
      </top>
      <bottom style="thin">
        <color auto="1"/>
      </bottom>
      <diagonal/>
    </border>
    <border>
      <left style="thin">
        <color theme="0" tint="-0.249977111117893"/>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double">
        <color auto="1"/>
      </bottom>
      <diagonal/>
    </border>
    <border>
      <left style="thin">
        <color theme="1" tint="0.34998626667073579"/>
      </left>
      <right/>
      <top/>
      <bottom/>
      <diagonal/>
    </border>
    <border>
      <left style="thin">
        <color theme="1" tint="0.34998626667073579"/>
      </left>
      <right/>
      <top/>
      <bottom style="medium">
        <color auto="1"/>
      </bottom>
      <diagonal/>
    </border>
    <border>
      <left style="thin">
        <color theme="1" tint="0.34998626667073579"/>
      </left>
      <right/>
      <top/>
      <bottom style="thin">
        <color auto="1"/>
      </bottom>
      <diagonal/>
    </border>
    <border>
      <left style="thin">
        <color theme="1" tint="0.34998626667073579"/>
      </left>
      <right/>
      <top/>
      <bottom style="double">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theme="1" tint="0.34998626667073579"/>
      </left>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theme="1" tint="0.34998626667073579"/>
      </right>
      <top style="thin">
        <color auto="1"/>
      </top>
      <bottom/>
      <diagonal/>
    </border>
    <border>
      <left style="thin">
        <color theme="0" tint="-0.34998626667073579"/>
      </left>
      <right/>
      <top style="thin">
        <color auto="1"/>
      </top>
      <bottom/>
      <diagonal/>
    </border>
  </borders>
  <cellStyleXfs count="663">
    <xf numFmtId="0" fontId="0" fillId="0" borderId="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31" fillId="0" borderId="0" applyFont="0" applyFill="0" applyBorder="0" applyAlignment="0" applyProtection="0"/>
    <xf numFmtId="0" fontId="31" fillId="0" borderId="0"/>
    <xf numFmtId="0" fontId="33" fillId="0" borderId="0"/>
    <xf numFmtId="9" fontId="3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61">
    <xf numFmtId="0" fontId="0" fillId="0" borderId="0" xfId="0"/>
    <xf numFmtId="0" fontId="5" fillId="0" borderId="0" xfId="0" applyFont="1"/>
    <xf numFmtId="0" fontId="9" fillId="0" borderId="0" xfId="0" applyFont="1"/>
    <xf numFmtId="0" fontId="6" fillId="2" borderId="0" xfId="0" applyFont="1" applyFill="1"/>
    <xf numFmtId="10" fontId="0" fillId="0" borderId="0" xfId="0" applyNumberFormat="1"/>
    <xf numFmtId="43" fontId="0" fillId="0" borderId="0" xfId="0" applyNumberFormat="1"/>
    <xf numFmtId="9" fontId="11" fillId="0" borderId="0" xfId="0" applyNumberFormat="1" applyFont="1"/>
    <xf numFmtId="0" fontId="11" fillId="0" borderId="0" xfId="0" applyFont="1"/>
    <xf numFmtId="0" fontId="5"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13" fillId="0" borderId="0" xfId="0" applyFont="1"/>
    <xf numFmtId="164" fontId="0" fillId="0" borderId="0" xfId="0" applyNumberFormat="1"/>
    <xf numFmtId="0" fontId="0" fillId="0" borderId="0" xfId="0" applyAlignment="1">
      <alignment horizontal="center" wrapText="1"/>
    </xf>
    <xf numFmtId="0" fontId="14" fillId="0" borderId="0" xfId="0" applyFont="1"/>
    <xf numFmtId="0" fontId="0" fillId="0" borderId="1" xfId="0" applyBorder="1"/>
    <xf numFmtId="0" fontId="0" fillId="0" borderId="0" xfId="0" applyBorder="1"/>
    <xf numFmtId="0" fontId="0" fillId="4" borderId="0" xfId="0" applyFill="1"/>
    <xf numFmtId="0" fontId="4" fillId="4" borderId="0" xfId="0" applyFont="1" applyFill="1" applyAlignment="1">
      <alignment horizontal="left"/>
    </xf>
    <xf numFmtId="14" fontId="0" fillId="0" borderId="0" xfId="0" applyNumberFormat="1"/>
    <xf numFmtId="166" fontId="0" fillId="0" borderId="0" xfId="0" applyNumberFormat="1"/>
    <xf numFmtId="168" fontId="0" fillId="0" borderId="0" xfId="16" applyNumberFormat="1" applyFont="1"/>
    <xf numFmtId="168" fontId="0" fillId="0" borderId="1" xfId="16" applyNumberFormat="1" applyFont="1" applyBorder="1"/>
    <xf numFmtId="168" fontId="0" fillId="0" borderId="0" xfId="16" applyNumberFormat="1" applyFont="1" applyBorder="1"/>
    <xf numFmtId="168" fontId="0" fillId="0" borderId="0" xfId="0" applyNumberFormat="1"/>
    <xf numFmtId="43" fontId="0" fillId="0" borderId="0" xfId="16" applyNumberFormat="1" applyFont="1"/>
    <xf numFmtId="164" fontId="6" fillId="5" borderId="0" xfId="0" applyNumberFormat="1" applyFont="1" applyFill="1"/>
    <xf numFmtId="17" fontId="6" fillId="5" borderId="0" xfId="0" applyNumberFormat="1" applyFont="1" applyFill="1" applyAlignment="1">
      <alignment horizontal="center"/>
    </xf>
    <xf numFmtId="0" fontId="6" fillId="5" borderId="0" xfId="0" applyFont="1" applyFill="1" applyAlignment="1">
      <alignment horizontal="center"/>
    </xf>
    <xf numFmtId="168" fontId="14" fillId="0" borderId="0" xfId="16" applyNumberFormat="1" applyFont="1"/>
    <xf numFmtId="168" fontId="14" fillId="0" borderId="0" xfId="0" applyNumberFormat="1" applyFont="1"/>
    <xf numFmtId="168" fontId="16" fillId="0" borderId="0" xfId="16" applyNumberFormat="1" applyFont="1"/>
    <xf numFmtId="0" fontId="14" fillId="0" borderId="1" xfId="0" applyFont="1" applyBorder="1"/>
    <xf numFmtId="168" fontId="14" fillId="0" borderId="1" xfId="16" applyNumberFormat="1" applyFont="1" applyBorder="1"/>
    <xf numFmtId="168" fontId="5" fillId="0" borderId="0" xfId="16" applyNumberFormat="1" applyFont="1"/>
    <xf numFmtId="168" fontId="5" fillId="0" borderId="0" xfId="0" applyNumberFormat="1" applyFont="1"/>
    <xf numFmtId="168" fontId="5" fillId="0" borderId="0" xfId="16" applyNumberFormat="1" applyFont="1" applyBorder="1"/>
    <xf numFmtId="168" fontId="5" fillId="0" borderId="3" xfId="16" applyNumberFormat="1" applyFont="1" applyBorder="1"/>
    <xf numFmtId="0" fontId="5" fillId="0" borderId="4" xfId="0" applyFont="1" applyBorder="1"/>
    <xf numFmtId="168" fontId="5" fillId="0" borderId="4" xfId="16" applyNumberFormat="1" applyFont="1" applyBorder="1"/>
    <xf numFmtId="168" fontId="5" fillId="0" borderId="4" xfId="0" applyNumberFormat="1" applyFont="1" applyBorder="1"/>
    <xf numFmtId="0" fontId="4" fillId="5" borderId="0" xfId="0" applyFont="1" applyFill="1"/>
    <xf numFmtId="0" fontId="4" fillId="5" borderId="0" xfId="0" applyFont="1" applyFill="1" applyAlignment="1">
      <alignment horizontal="center"/>
    </xf>
    <xf numFmtId="0" fontId="4" fillId="6" borderId="0" xfId="0" applyFont="1" applyFill="1" applyAlignment="1">
      <alignment horizontal="left"/>
    </xf>
    <xf numFmtId="0" fontId="0" fillId="6" borderId="0" xfId="0" applyFill="1"/>
    <xf numFmtId="14" fontId="0" fillId="0" borderId="0" xfId="0" applyNumberFormat="1" applyBorder="1"/>
    <xf numFmtId="166" fontId="0" fillId="0" borderId="0" xfId="1" applyNumberFormat="1" applyFont="1" applyBorder="1"/>
    <xf numFmtId="166" fontId="0" fillId="0" borderId="1" xfId="1" applyNumberFormat="1" applyFont="1" applyBorder="1"/>
    <xf numFmtId="169" fontId="0" fillId="0" borderId="0" xfId="0" applyNumberFormat="1"/>
    <xf numFmtId="170" fontId="0" fillId="0" borderId="0" xfId="0" applyNumberFormat="1"/>
    <xf numFmtId="0" fontId="0" fillId="0" borderId="0" xfId="0" applyAlignment="1">
      <alignment horizontal="center"/>
    </xf>
    <xf numFmtId="0" fontId="17" fillId="0" borderId="0" xfId="0" applyFont="1"/>
    <xf numFmtId="9" fontId="17" fillId="0" borderId="0" xfId="0" applyNumberFormat="1" applyFont="1"/>
    <xf numFmtId="169" fontId="0" fillId="0" borderId="1" xfId="0" applyNumberFormat="1" applyBorder="1"/>
    <xf numFmtId="170" fontId="0" fillId="0" borderId="1" xfId="0" applyNumberFormat="1" applyBorder="1"/>
    <xf numFmtId="41" fontId="0" fillId="0" borderId="0" xfId="0" applyNumberFormat="1"/>
    <xf numFmtId="41" fontId="0" fillId="0" borderId="1" xfId="0" applyNumberFormat="1" applyBorder="1"/>
    <xf numFmtId="170" fontId="5" fillId="0" borderId="0" xfId="0" applyNumberFormat="1" applyFont="1"/>
    <xf numFmtId="41" fontId="5" fillId="0" borderId="0" xfId="0" applyNumberFormat="1" applyFont="1"/>
    <xf numFmtId="0" fontId="0" fillId="7" borderId="0" xfId="0" applyFill="1"/>
    <xf numFmtId="14" fontId="0" fillId="7" borderId="0" xfId="0" applyNumberFormat="1" applyFill="1"/>
    <xf numFmtId="14" fontId="0" fillId="7" borderId="1" xfId="0" applyNumberFormat="1" applyFill="1" applyBorder="1"/>
    <xf numFmtId="14" fontId="5" fillId="7" borderId="0" xfId="0" applyNumberFormat="1" applyFont="1" applyFill="1"/>
    <xf numFmtId="170" fontId="11" fillId="7" borderId="0" xfId="0" applyNumberFormat="1" applyFont="1" applyFill="1"/>
    <xf numFmtId="10" fontId="11" fillId="7" borderId="0" xfId="0" applyNumberFormat="1" applyFont="1" applyFill="1"/>
    <xf numFmtId="14" fontId="11" fillId="7" borderId="0" xfId="0" applyNumberFormat="1" applyFont="1" applyFill="1"/>
    <xf numFmtId="0" fontId="11" fillId="7" borderId="0" xfId="0" applyFont="1" applyFill="1"/>
    <xf numFmtId="9" fontId="11" fillId="7" borderId="0" xfId="0" applyNumberFormat="1" applyFont="1" applyFill="1"/>
    <xf numFmtId="170" fontId="11" fillId="7" borderId="1" xfId="0" applyNumberFormat="1" applyFont="1" applyFill="1" applyBorder="1"/>
    <xf numFmtId="10" fontId="11" fillId="7" borderId="1" xfId="0" applyNumberFormat="1" applyFont="1" applyFill="1" applyBorder="1"/>
    <xf numFmtId="14" fontId="11" fillId="7" borderId="1" xfId="0" applyNumberFormat="1" applyFont="1" applyFill="1" applyBorder="1"/>
    <xf numFmtId="170" fontId="18" fillId="7" borderId="0" xfId="0" applyNumberFormat="1" applyFont="1" applyFill="1"/>
    <xf numFmtId="10" fontId="18" fillId="7" borderId="0" xfId="0" applyNumberFormat="1" applyFont="1" applyFill="1"/>
    <xf numFmtId="14" fontId="18" fillId="7" borderId="0" xfId="0" applyNumberFormat="1" applyFont="1" applyFill="1"/>
    <xf numFmtId="0" fontId="18" fillId="7" borderId="0" xfId="0" applyFont="1" applyFill="1"/>
    <xf numFmtId="9" fontId="11" fillId="7" borderId="1" xfId="0" applyNumberFormat="1" applyFont="1" applyFill="1" applyBorder="1"/>
    <xf numFmtId="0" fontId="5" fillId="3" borderId="0" xfId="0" applyFont="1" applyFill="1"/>
    <xf numFmtId="14" fontId="5" fillId="3" borderId="0" xfId="0" applyNumberFormat="1" applyFont="1" applyFill="1"/>
    <xf numFmtId="0" fontId="6" fillId="2" borderId="0" xfId="0" applyFont="1" applyFill="1" applyAlignment="1">
      <alignment horizontal="center" wrapText="1"/>
    </xf>
    <xf numFmtId="14" fontId="6" fillId="2" borderId="0" xfId="0" applyNumberFormat="1" applyFont="1" applyFill="1" applyAlignment="1">
      <alignment horizontal="center" wrapText="1"/>
    </xf>
    <xf numFmtId="0" fontId="0" fillId="0" borderId="2" xfId="0" applyBorder="1"/>
    <xf numFmtId="0" fontId="0" fillId="0" borderId="8" xfId="0" applyBorder="1"/>
    <xf numFmtId="0" fontId="11" fillId="0" borderId="8" xfId="0" applyFont="1" applyBorder="1"/>
    <xf numFmtId="6" fontId="11" fillId="0" borderId="8" xfId="0" applyNumberFormat="1" applyFont="1" applyBorder="1"/>
    <xf numFmtId="0" fontId="0" fillId="0" borderId="9" xfId="0" applyBorder="1"/>
    <xf numFmtId="0" fontId="0" fillId="0" borderId="10" xfId="0" applyBorder="1"/>
    <xf numFmtId="0" fontId="0" fillId="5" borderId="0" xfId="0" applyFill="1" applyBorder="1"/>
    <xf numFmtId="0" fontId="4" fillId="5" borderId="2" xfId="0" applyFont="1" applyFill="1" applyBorder="1"/>
    <xf numFmtId="0" fontId="4" fillId="5" borderId="5" xfId="0" applyFont="1" applyFill="1" applyBorder="1"/>
    <xf numFmtId="0" fontId="4" fillId="5" borderId="6" xfId="0" applyFont="1" applyFill="1" applyBorder="1"/>
    <xf numFmtId="0" fontId="4" fillId="5" borderId="7" xfId="0" applyFont="1" applyFill="1" applyBorder="1"/>
    <xf numFmtId="14" fontId="11" fillId="0" borderId="0" xfId="0" applyNumberFormat="1" applyFont="1"/>
    <xf numFmtId="0" fontId="11" fillId="0" borderId="0" xfId="0" applyFont="1" applyBorder="1"/>
    <xf numFmtId="14" fontId="11" fillId="0" borderId="0" xfId="0" applyNumberFormat="1" applyFont="1" applyBorder="1"/>
    <xf numFmtId="9" fontId="11" fillId="0" borderId="0" xfId="0" applyNumberFormat="1" applyFont="1" applyBorder="1"/>
    <xf numFmtId="0" fontId="11" fillId="0" borderId="1" xfId="0" applyFont="1" applyBorder="1"/>
    <xf numFmtId="14" fontId="11" fillId="0" borderId="1" xfId="0" applyNumberFormat="1" applyFont="1" applyBorder="1"/>
    <xf numFmtId="9" fontId="11" fillId="0" borderId="1" xfId="0" applyNumberFormat="1" applyFont="1" applyBorder="1"/>
    <xf numFmtId="0" fontId="0" fillId="0" borderId="12" xfId="0" applyBorder="1"/>
    <xf numFmtId="0" fontId="5" fillId="0" borderId="0" xfId="0" applyFont="1" applyAlignment="1">
      <alignment horizontal="centerContinuous"/>
    </xf>
    <xf numFmtId="0" fontId="19" fillId="0" borderId="15" xfId="0" applyFont="1" applyBorder="1"/>
    <xf numFmtId="0" fontId="20" fillId="0" borderId="0" xfId="0" applyFont="1"/>
    <xf numFmtId="0" fontId="19" fillId="0" borderId="0" xfId="0" applyFont="1" applyBorder="1"/>
    <xf numFmtId="0" fontId="4" fillId="5" borderId="0" xfId="0" applyFont="1" applyFill="1" applyBorder="1"/>
    <xf numFmtId="0" fontId="21" fillId="0" borderId="16" xfId="0" applyFont="1" applyBorder="1"/>
    <xf numFmtId="0" fontId="22" fillId="0" borderId="0" xfId="0" applyFont="1"/>
    <xf numFmtId="169" fontId="5" fillId="0" borderId="0" xfId="0" applyNumberFormat="1" applyFont="1"/>
    <xf numFmtId="0" fontId="4" fillId="5" borderId="10" xfId="0" applyFont="1" applyFill="1" applyBorder="1" applyAlignment="1">
      <alignment horizontal="center"/>
    </xf>
    <xf numFmtId="8" fontId="11" fillId="0" borderId="0" xfId="0" applyNumberFormat="1" applyFont="1" applyBorder="1"/>
    <xf numFmtId="167" fontId="0" fillId="0" borderId="0" xfId="0" applyNumberFormat="1" applyBorder="1"/>
    <xf numFmtId="167" fontId="0" fillId="0" borderId="8" xfId="0" applyNumberFormat="1" applyBorder="1"/>
    <xf numFmtId="6" fontId="11" fillId="0" borderId="0" xfId="0" applyNumberFormat="1" applyFont="1" applyBorder="1"/>
    <xf numFmtId="8" fontId="11" fillId="0" borderId="8" xfId="0" applyNumberFormat="1" applyFont="1" applyBorder="1"/>
    <xf numFmtId="6" fontId="0" fillId="0" borderId="8" xfId="0" applyNumberFormat="1" applyBorder="1"/>
    <xf numFmtId="0" fontId="6" fillId="5" borderId="5" xfId="0" applyFont="1" applyFill="1" applyBorder="1"/>
    <xf numFmtId="0" fontId="6" fillId="5" borderId="6" xfId="0" applyFont="1" applyFill="1" applyBorder="1"/>
    <xf numFmtId="0" fontId="6" fillId="5" borderId="7" xfId="0" applyFont="1" applyFill="1" applyBorder="1"/>
    <xf numFmtId="8" fontId="11" fillId="0" borderId="10" xfId="0" applyNumberFormat="1" applyFont="1" applyBorder="1"/>
    <xf numFmtId="9" fontId="11" fillId="0" borderId="11" xfId="0" applyNumberFormat="1" applyFont="1" applyBorder="1"/>
    <xf numFmtId="169" fontId="5" fillId="0" borderId="4" xfId="0" applyNumberFormat="1" applyFont="1" applyBorder="1"/>
    <xf numFmtId="6" fontId="0" fillId="0" borderId="14" xfId="0" applyNumberFormat="1" applyBorder="1"/>
    <xf numFmtId="6" fontId="5" fillId="0" borderId="0" xfId="0" applyNumberFormat="1" applyFont="1"/>
    <xf numFmtId="6" fontId="5" fillId="0" borderId="0" xfId="16" applyNumberFormat="1" applyFont="1" applyBorder="1"/>
    <xf numFmtId="0" fontId="0" fillId="9" borderId="0" xfId="0" applyFill="1"/>
    <xf numFmtId="0" fontId="14" fillId="9" borderId="0" xfId="0" applyFont="1" applyFill="1"/>
    <xf numFmtId="0" fontId="5" fillId="9" borderId="0" xfId="0" applyFont="1" applyFill="1"/>
    <xf numFmtId="0" fontId="5" fillId="9" borderId="4" xfId="0" applyFont="1" applyFill="1" applyBorder="1"/>
    <xf numFmtId="6" fontId="5" fillId="9" borderId="0" xfId="0" applyNumberFormat="1" applyFont="1" applyFill="1"/>
    <xf numFmtId="164" fontId="6" fillId="5" borderId="0" xfId="0" applyNumberFormat="1" applyFont="1" applyFill="1" applyAlignment="1">
      <alignment horizontal="center"/>
    </xf>
    <xf numFmtId="0" fontId="0" fillId="0" borderId="17" xfId="0" applyBorder="1"/>
    <xf numFmtId="164" fontId="6" fillId="5" borderId="17" xfId="0" applyNumberFormat="1" applyFont="1" applyFill="1" applyBorder="1"/>
    <xf numFmtId="14" fontId="0" fillId="0" borderId="17" xfId="0" applyNumberFormat="1" applyBorder="1"/>
    <xf numFmtId="168" fontId="0" fillId="0" borderId="17" xfId="16" applyNumberFormat="1" applyFont="1" applyBorder="1"/>
    <xf numFmtId="168" fontId="14" fillId="0" borderId="17" xfId="16" applyNumberFormat="1" applyFont="1" applyBorder="1"/>
    <xf numFmtId="168" fontId="14" fillId="0" borderId="18" xfId="16" applyNumberFormat="1" applyFont="1" applyBorder="1"/>
    <xf numFmtId="168" fontId="5" fillId="0" borderId="17" xfId="16" applyNumberFormat="1" applyFont="1" applyBorder="1"/>
    <xf numFmtId="168" fontId="0" fillId="0" borderId="18" xfId="16" applyNumberFormat="1" applyFont="1" applyBorder="1"/>
    <xf numFmtId="168" fontId="5" fillId="0" borderId="19" xfId="16" applyNumberFormat="1" applyFont="1" applyBorder="1"/>
    <xf numFmtId="168" fontId="0" fillId="0" borderId="17" xfId="0" applyNumberFormat="1" applyBorder="1"/>
    <xf numFmtId="0" fontId="4" fillId="0" borderId="2" xfId="0" applyFont="1" applyFill="1" applyBorder="1"/>
    <xf numFmtId="0" fontId="4" fillId="0" borderId="0" xfId="0" applyFont="1" applyFill="1" applyBorder="1"/>
    <xf numFmtId="0" fontId="0" fillId="0" borderId="0" xfId="0" applyFill="1" applyBorder="1"/>
    <xf numFmtId="0" fontId="6" fillId="10" borderId="0" xfId="0" applyFont="1" applyFill="1"/>
    <xf numFmtId="168" fontId="14" fillId="0" borderId="0" xfId="16" applyNumberFormat="1" applyFont="1" applyBorder="1"/>
    <xf numFmtId="164" fontId="6" fillId="5" borderId="0" xfId="0" applyNumberFormat="1" applyFont="1" applyFill="1" applyBorder="1"/>
    <xf numFmtId="168" fontId="0" fillId="0" borderId="0" xfId="0" applyNumberFormat="1" applyBorder="1"/>
    <xf numFmtId="0" fontId="0" fillId="0" borderId="20" xfId="0" applyBorder="1"/>
    <xf numFmtId="17" fontId="6" fillId="5" borderId="20" xfId="0" applyNumberFormat="1" applyFont="1" applyFill="1" applyBorder="1" applyAlignment="1">
      <alignment horizontal="center"/>
    </xf>
    <xf numFmtId="43" fontId="0" fillId="0" borderId="20" xfId="16" applyNumberFormat="1" applyFont="1" applyBorder="1"/>
    <xf numFmtId="168" fontId="14" fillId="0" borderId="20" xfId="16" applyNumberFormat="1" applyFont="1" applyBorder="1"/>
    <xf numFmtId="43" fontId="14" fillId="0" borderId="20" xfId="16" applyNumberFormat="1" applyFont="1" applyBorder="1"/>
    <xf numFmtId="168" fontId="0" fillId="0" borderId="20" xfId="16" applyNumberFormat="1" applyFont="1" applyBorder="1"/>
    <xf numFmtId="168" fontId="14" fillId="0" borderId="21" xfId="16" applyNumberFormat="1" applyFont="1" applyBorder="1"/>
    <xf numFmtId="168" fontId="5" fillId="0" borderId="20" xfId="16" applyNumberFormat="1" applyFont="1" applyBorder="1"/>
    <xf numFmtId="43" fontId="5" fillId="0" borderId="20" xfId="16" applyNumberFormat="1" applyFont="1" applyBorder="1"/>
    <xf numFmtId="168" fontId="5" fillId="0" borderId="22" xfId="16" applyNumberFormat="1" applyFont="1" applyBorder="1"/>
    <xf numFmtId="0" fontId="23" fillId="5" borderId="0" xfId="0" applyFont="1" applyFill="1" applyAlignment="1">
      <alignment horizontal="center" wrapText="1"/>
    </xf>
    <xf numFmtId="9" fontId="13" fillId="0" borderId="1" xfId="0" applyNumberFormat="1" applyFont="1" applyBorder="1"/>
    <xf numFmtId="9" fontId="17" fillId="0" borderId="1" xfId="0" applyNumberFormat="1" applyFont="1" applyBorder="1"/>
    <xf numFmtId="0" fontId="9" fillId="0" borderId="4" xfId="0" applyFont="1" applyBorder="1"/>
    <xf numFmtId="168" fontId="0" fillId="0" borderId="1" xfId="0" applyNumberFormat="1" applyBorder="1"/>
    <xf numFmtId="168" fontId="14" fillId="0" borderId="1" xfId="0" applyNumberFormat="1" applyFont="1" applyBorder="1"/>
    <xf numFmtId="168" fontId="0" fillId="9" borderId="0" xfId="0" applyNumberFormat="1" applyFill="1"/>
    <xf numFmtId="168" fontId="0" fillId="0" borderId="21" xfId="16" applyNumberFormat="1" applyFont="1" applyBorder="1"/>
    <xf numFmtId="0" fontId="0" fillId="0" borderId="23" xfId="0" applyBorder="1"/>
    <xf numFmtId="0" fontId="4" fillId="5" borderId="24" xfId="0" applyFont="1" applyFill="1" applyBorder="1" applyAlignment="1">
      <alignment horizontal="center"/>
    </xf>
    <xf numFmtId="0" fontId="0" fillId="0" borderId="24" xfId="0" applyBorder="1"/>
    <xf numFmtId="0" fontId="4" fillId="5" borderId="28" xfId="0" applyFont="1" applyFill="1" applyBorder="1" applyAlignment="1">
      <alignment horizontal="center"/>
    </xf>
    <xf numFmtId="0" fontId="0" fillId="7" borderId="29" xfId="0" applyFill="1" applyBorder="1"/>
    <xf numFmtId="0" fontId="0" fillId="7" borderId="27" xfId="0" applyFill="1" applyBorder="1"/>
    <xf numFmtId="0" fontId="0" fillId="0" borderId="32" xfId="0" applyBorder="1"/>
    <xf numFmtId="0" fontId="0" fillId="0" borderId="0" xfId="0" applyFill="1"/>
    <xf numFmtId="168" fontId="5" fillId="0" borderId="32" xfId="0" applyNumberFormat="1" applyFont="1" applyBorder="1"/>
    <xf numFmtId="0" fontId="5" fillId="0" borderId="0" xfId="0" applyFont="1" applyFill="1" applyAlignment="1">
      <alignment horizontal="center"/>
    </xf>
    <xf numFmtId="0" fontId="5" fillId="0" borderId="0" xfId="0" applyFont="1" applyFill="1"/>
    <xf numFmtId="0" fontId="4" fillId="0" borderId="0" xfId="0" applyFont="1" applyFill="1" applyAlignment="1">
      <alignment horizontal="center"/>
    </xf>
    <xf numFmtId="168" fontId="0" fillId="0" borderId="0" xfId="16" applyNumberFormat="1" applyFont="1" applyFill="1"/>
    <xf numFmtId="168" fontId="5" fillId="0" borderId="0" xfId="16" applyNumberFormat="1" applyFont="1" applyFill="1"/>
    <xf numFmtId="168" fontId="0" fillId="0" borderId="0" xfId="0" applyNumberFormat="1" applyFill="1"/>
    <xf numFmtId="168" fontId="5" fillId="0" borderId="0" xfId="0" applyNumberFormat="1" applyFont="1" applyFill="1"/>
    <xf numFmtId="0" fontId="5" fillId="3" borderId="0" xfId="0" applyFont="1" applyFill="1" applyAlignment="1">
      <alignment horizontal="centerContinuous"/>
    </xf>
    <xf numFmtId="0" fontId="4" fillId="2" borderId="39" xfId="0" applyFont="1" applyFill="1" applyBorder="1" applyAlignment="1">
      <alignment horizontal="center"/>
    </xf>
    <xf numFmtId="0" fontId="4" fillId="2" borderId="40" xfId="0" applyFont="1" applyFill="1" applyBorder="1" applyAlignment="1">
      <alignment horizontal="center"/>
    </xf>
    <xf numFmtId="0" fontId="4" fillId="2" borderId="41" xfId="0" applyFont="1" applyFill="1" applyBorder="1" applyAlignment="1">
      <alignment horizontal="center"/>
    </xf>
    <xf numFmtId="0" fontId="4" fillId="2" borderId="42" xfId="0" applyFont="1" applyFill="1" applyBorder="1" applyAlignment="1">
      <alignment horizontal="center"/>
    </xf>
    <xf numFmtId="0" fontId="4" fillId="11" borderId="0" xfId="0" applyFont="1" applyFill="1"/>
    <xf numFmtId="0" fontId="5" fillId="11" borderId="0" xfId="0" applyFont="1" applyFill="1"/>
    <xf numFmtId="168" fontId="0" fillId="11" borderId="0" xfId="16" applyNumberFormat="1" applyFont="1" applyFill="1"/>
    <xf numFmtId="168" fontId="0" fillId="11" borderId="0" xfId="16" applyNumberFormat="1" applyFont="1" applyFill="1" applyBorder="1"/>
    <xf numFmtId="168" fontId="5" fillId="11" borderId="0" xfId="16" applyNumberFormat="1" applyFont="1" applyFill="1"/>
    <xf numFmtId="0" fontId="0" fillId="11" borderId="0" xfId="0" applyFill="1"/>
    <xf numFmtId="170" fontId="5" fillId="0" borderId="0" xfId="16" applyNumberFormat="1" applyFont="1"/>
    <xf numFmtId="170" fontId="5" fillId="11" borderId="0" xfId="16" applyNumberFormat="1" applyFont="1" applyFill="1"/>
    <xf numFmtId="170" fontId="5" fillId="0" borderId="0" xfId="16" applyNumberFormat="1" applyFont="1" applyFill="1"/>
    <xf numFmtId="170" fontId="5" fillId="0" borderId="0" xfId="0" applyNumberFormat="1" applyFont="1" applyFill="1"/>
    <xf numFmtId="6" fontId="5" fillId="11" borderId="0" xfId="0" applyNumberFormat="1" applyFont="1" applyFill="1"/>
    <xf numFmtId="6" fontId="5" fillId="0" borderId="0" xfId="0" applyNumberFormat="1" applyFont="1" applyFill="1"/>
    <xf numFmtId="0" fontId="0" fillId="0" borderId="0" xfId="0" quotePrefix="1"/>
    <xf numFmtId="168" fontId="5" fillId="0" borderId="0" xfId="0" applyNumberFormat="1" applyFont="1" applyBorder="1"/>
    <xf numFmtId="0" fontId="5" fillId="0" borderId="0" xfId="0" applyFont="1" applyAlignment="1">
      <alignment horizontal="right"/>
    </xf>
    <xf numFmtId="170" fontId="5" fillId="0" borderId="0" xfId="0" applyNumberFormat="1" applyFont="1" applyAlignment="1">
      <alignment horizontal="left"/>
    </xf>
    <xf numFmtId="0" fontId="21" fillId="0" borderId="0" xfId="0" applyFont="1" applyBorder="1"/>
    <xf numFmtId="9" fontId="0" fillId="0" borderId="0" xfId="1" applyFont="1"/>
    <xf numFmtId="14" fontId="0" fillId="0" borderId="32" xfId="0" applyNumberFormat="1" applyBorder="1"/>
    <xf numFmtId="0" fontId="24" fillId="0" borderId="0" xfId="0" applyFont="1" applyBorder="1"/>
    <xf numFmtId="0" fontId="25" fillId="0" borderId="0" xfId="0" applyFont="1" applyBorder="1"/>
    <xf numFmtId="14" fontId="25" fillId="0" borderId="0" xfId="0" applyNumberFormat="1" applyFont="1" applyBorder="1" applyAlignment="1">
      <alignment horizontal="left"/>
    </xf>
    <xf numFmtId="0" fontId="6" fillId="5" borderId="10" xfId="0" applyFont="1" applyFill="1" applyBorder="1" applyAlignment="1">
      <alignment horizontal="center"/>
    </xf>
    <xf numFmtId="0" fontId="6" fillId="5" borderId="33" xfId="0" applyFont="1" applyFill="1" applyBorder="1" applyAlignment="1">
      <alignment horizontal="center"/>
    </xf>
    <xf numFmtId="1" fontId="0" fillId="7" borderId="0" xfId="0" applyNumberFormat="1" applyFill="1" applyAlignment="1">
      <alignment horizontal="center"/>
    </xf>
    <xf numFmtId="165" fontId="0" fillId="7" borderId="0" xfId="1" applyNumberFormat="1" applyFont="1" applyFill="1" applyAlignment="1">
      <alignment horizontal="center"/>
    </xf>
    <xf numFmtId="1" fontId="0" fillId="7" borderId="1" xfId="0" applyNumberFormat="1" applyFill="1" applyBorder="1" applyAlignment="1">
      <alignment horizontal="center"/>
    </xf>
    <xf numFmtId="165" fontId="5" fillId="7" borderId="0" xfId="1" applyNumberFormat="1" applyFont="1" applyFill="1" applyAlignment="1">
      <alignment horizontal="center"/>
    </xf>
    <xf numFmtId="170" fontId="0" fillId="7" borderId="0" xfId="0" applyNumberFormat="1" applyFill="1" applyAlignment="1">
      <alignment horizontal="center"/>
    </xf>
    <xf numFmtId="170" fontId="5" fillId="7" borderId="0" xfId="0" applyNumberFormat="1" applyFont="1" applyFill="1" applyAlignment="1">
      <alignment horizontal="center"/>
    </xf>
    <xf numFmtId="170" fontId="5" fillId="7" borderId="4" xfId="0" applyNumberFormat="1" applyFont="1" applyFill="1" applyBorder="1" applyAlignment="1">
      <alignment horizontal="center"/>
    </xf>
    <xf numFmtId="1" fontId="0" fillId="7" borderId="32" xfId="0" applyNumberFormat="1" applyFill="1" applyBorder="1" applyAlignment="1">
      <alignment horizontal="center"/>
    </xf>
    <xf numFmtId="170" fontId="0" fillId="7" borderId="32" xfId="0" applyNumberFormat="1" applyFill="1" applyBorder="1" applyAlignment="1">
      <alignment horizontal="center"/>
    </xf>
    <xf numFmtId="1" fontId="0" fillId="7" borderId="34" xfId="0" applyNumberFormat="1" applyFill="1" applyBorder="1" applyAlignment="1">
      <alignment horizontal="center"/>
    </xf>
    <xf numFmtId="170" fontId="5" fillId="7" borderId="32" xfId="0" applyNumberFormat="1" applyFont="1" applyFill="1" applyBorder="1" applyAlignment="1">
      <alignment horizontal="center"/>
    </xf>
    <xf numFmtId="170" fontId="5" fillId="7" borderId="36" xfId="0" applyNumberFormat="1" applyFont="1" applyFill="1" applyBorder="1" applyAlignment="1">
      <alignment horizontal="center"/>
    </xf>
    <xf numFmtId="165" fontId="0" fillId="7" borderId="32" xfId="1" applyNumberFormat="1" applyFont="1" applyFill="1" applyBorder="1" applyAlignment="1">
      <alignment horizontal="center"/>
    </xf>
    <xf numFmtId="165" fontId="5" fillId="7" borderId="32" xfId="1" applyNumberFormat="1" applyFont="1" applyFill="1" applyBorder="1" applyAlignment="1">
      <alignment horizontal="center"/>
    </xf>
    <xf numFmtId="1" fontId="0" fillId="0" borderId="0" xfId="0" applyNumberFormat="1" applyAlignment="1"/>
    <xf numFmtId="170" fontId="0" fillId="0" borderId="0" xfId="0" applyNumberFormat="1" applyAlignment="1"/>
    <xf numFmtId="1" fontId="0" fillId="0" borderId="1" xfId="0" applyNumberFormat="1" applyBorder="1" applyAlignment="1"/>
    <xf numFmtId="0" fontId="0" fillId="0" borderId="0" xfId="0" applyAlignment="1"/>
    <xf numFmtId="165" fontId="5" fillId="0" borderId="0" xfId="1" applyNumberFormat="1" applyFont="1" applyAlignment="1"/>
    <xf numFmtId="1" fontId="0" fillId="10" borderId="0" xfId="0" applyNumberFormat="1" applyFill="1" applyAlignment="1">
      <alignment horizontal="center"/>
    </xf>
    <xf numFmtId="170" fontId="0" fillId="10" borderId="0" xfId="0" applyNumberFormat="1" applyFill="1" applyAlignment="1">
      <alignment horizontal="center"/>
    </xf>
    <xf numFmtId="1" fontId="0" fillId="10" borderId="1" xfId="0" applyNumberFormat="1" applyFill="1" applyBorder="1" applyAlignment="1">
      <alignment horizontal="center"/>
    </xf>
    <xf numFmtId="170" fontId="5" fillId="10" borderId="0" xfId="0" applyNumberFormat="1" applyFont="1" applyFill="1" applyAlignment="1">
      <alignment horizontal="center"/>
    </xf>
    <xf numFmtId="170" fontId="5" fillId="10" borderId="4" xfId="0" applyNumberFormat="1" applyFont="1" applyFill="1" applyBorder="1" applyAlignment="1">
      <alignment horizontal="center"/>
    </xf>
    <xf numFmtId="165" fontId="0" fillId="10" borderId="0" xfId="1" applyNumberFormat="1" applyFont="1" applyFill="1" applyAlignment="1">
      <alignment horizontal="center"/>
    </xf>
    <xf numFmtId="165" fontId="5" fillId="10" borderId="0" xfId="1" applyNumberFormat="1" applyFont="1" applyFill="1" applyAlignment="1">
      <alignment horizontal="center"/>
    </xf>
    <xf numFmtId="9" fontId="0" fillId="12" borderId="0" xfId="1" applyFont="1" applyFill="1" applyAlignment="1">
      <alignment horizontal="center"/>
    </xf>
    <xf numFmtId="9" fontId="0" fillId="12" borderId="1" xfId="1" applyFont="1" applyFill="1" applyBorder="1" applyAlignment="1">
      <alignment horizontal="center"/>
    </xf>
    <xf numFmtId="9" fontId="5" fillId="12" borderId="0" xfId="1" applyFont="1" applyFill="1" applyAlignment="1">
      <alignment horizontal="center"/>
    </xf>
    <xf numFmtId="9" fontId="5" fillId="12" borderId="4" xfId="1" applyFont="1" applyFill="1" applyBorder="1" applyAlignment="1">
      <alignment horizontal="center"/>
    </xf>
    <xf numFmtId="9" fontId="0" fillId="12" borderId="0" xfId="1" applyNumberFormat="1" applyFont="1" applyFill="1" applyAlignment="1">
      <alignment horizontal="center"/>
    </xf>
    <xf numFmtId="0" fontId="11" fillId="0" borderId="0" xfId="0" applyFont="1" applyFill="1"/>
    <xf numFmtId="0" fontId="6" fillId="0" borderId="0" xfId="0" applyFont="1" applyFill="1" applyBorder="1" applyAlignment="1">
      <alignment horizontal="center"/>
    </xf>
    <xf numFmtId="0" fontId="6" fillId="0" borderId="32" xfId="0" applyFont="1" applyFill="1" applyBorder="1" applyAlignment="1">
      <alignment horizontal="center"/>
    </xf>
    <xf numFmtId="0" fontId="28" fillId="0" borderId="0" xfId="0" applyFont="1" applyAlignment="1">
      <alignment horizontal="centerContinuous"/>
    </xf>
    <xf numFmtId="0" fontId="4" fillId="8" borderId="0" xfId="0" applyFont="1" applyFill="1" applyAlignment="1">
      <alignment horizontal="centerContinuous"/>
    </xf>
    <xf numFmtId="0" fontId="4" fillId="8" borderId="32" xfId="0" applyFont="1" applyFill="1" applyBorder="1" applyAlignment="1">
      <alignment horizontal="centerContinuous"/>
    </xf>
    <xf numFmtId="0" fontId="6" fillId="8" borderId="0" xfId="0" applyFont="1" applyFill="1" applyAlignment="1">
      <alignment horizontal="centerContinuous"/>
    </xf>
    <xf numFmtId="0" fontId="5" fillId="3" borderId="43" xfId="0" applyFont="1" applyFill="1" applyBorder="1" applyAlignment="1">
      <alignment horizontal="centerContinuous"/>
    </xf>
    <xf numFmtId="0" fontId="4" fillId="2" borderId="44" xfId="0" applyFont="1" applyFill="1" applyBorder="1" applyAlignment="1">
      <alignment horizontal="center"/>
    </xf>
    <xf numFmtId="0" fontId="5" fillId="0" borderId="43" xfId="0" applyFont="1" applyBorder="1"/>
    <xf numFmtId="168" fontId="0" fillId="0" borderId="43" xfId="16" applyNumberFormat="1" applyFont="1" applyBorder="1"/>
    <xf numFmtId="168" fontId="0" fillId="0" borderId="45" xfId="16" applyNumberFormat="1" applyFont="1" applyBorder="1"/>
    <xf numFmtId="168" fontId="5" fillId="0" borderId="43" xfId="16" applyNumberFormat="1" applyFont="1" applyBorder="1"/>
    <xf numFmtId="170" fontId="5" fillId="0" borderId="43" xfId="16" applyNumberFormat="1" applyFont="1" applyBorder="1"/>
    <xf numFmtId="0" fontId="0" fillId="0" borderId="43" xfId="0" applyBorder="1"/>
    <xf numFmtId="6" fontId="5" fillId="0" borderId="43" xfId="0" applyNumberFormat="1" applyFont="1" applyBorder="1"/>
    <xf numFmtId="170" fontId="12" fillId="0" borderId="8" xfId="0" applyNumberFormat="1" applyFont="1" applyBorder="1" applyAlignment="1">
      <alignment horizontal="left"/>
    </xf>
    <xf numFmtId="0" fontId="11" fillId="0" borderId="8" xfId="0" applyFont="1" applyBorder="1" applyAlignment="1">
      <alignment horizontal="left"/>
    </xf>
    <xf numFmtId="1" fontId="11" fillId="0" borderId="8" xfId="0" applyNumberFormat="1" applyFont="1" applyBorder="1" applyAlignment="1">
      <alignment horizontal="left"/>
    </xf>
    <xf numFmtId="9" fontId="11" fillId="0" borderId="8" xfId="0" applyNumberFormat="1" applyFont="1" applyBorder="1" applyAlignment="1">
      <alignment horizontal="left"/>
    </xf>
    <xf numFmtId="169" fontId="11" fillId="0" borderId="8" xfId="0" applyNumberFormat="1" applyFont="1" applyBorder="1" applyAlignment="1">
      <alignment horizontal="left"/>
    </xf>
    <xf numFmtId="8" fontId="11" fillId="0" borderId="8" xfId="1" applyNumberFormat="1" applyFont="1" applyBorder="1" applyAlignment="1">
      <alignment horizontal="left"/>
    </xf>
    <xf numFmtId="9" fontId="11" fillId="0" borderId="8" xfId="1" applyNumberFormat="1" applyFont="1" applyBorder="1" applyAlignment="1">
      <alignment horizontal="left"/>
    </xf>
    <xf numFmtId="0" fontId="0" fillId="5" borderId="8" xfId="0" applyFill="1" applyBorder="1" applyAlignment="1">
      <alignment horizontal="left"/>
    </xf>
    <xf numFmtId="0" fontId="11" fillId="0" borderId="8" xfId="0" applyFont="1" applyFill="1" applyBorder="1" applyAlignment="1">
      <alignment horizontal="left"/>
    </xf>
    <xf numFmtId="0" fontId="11" fillId="0" borderId="8" xfId="1" applyNumberFormat="1" applyFont="1" applyBorder="1" applyAlignment="1">
      <alignment horizontal="left" vertical="top"/>
    </xf>
    <xf numFmtId="0" fontId="0" fillId="0" borderId="8" xfId="0" applyFill="1" applyBorder="1" applyAlignment="1">
      <alignment horizontal="left"/>
    </xf>
    <xf numFmtId="0" fontId="29" fillId="0" borderId="0" xfId="0" applyFont="1"/>
    <xf numFmtId="0" fontId="30" fillId="0" borderId="0" xfId="0" applyFont="1"/>
    <xf numFmtId="171" fontId="29" fillId="0" borderId="0" xfId="0" applyNumberFormat="1" applyFont="1" applyBorder="1" applyAlignment="1">
      <alignment horizontal="left"/>
    </xf>
    <xf numFmtId="9" fontId="0" fillId="0" borderId="0" xfId="0" applyNumberFormat="1" applyFont="1"/>
    <xf numFmtId="0" fontId="0" fillId="0" borderId="5" xfId="0" applyBorder="1"/>
    <xf numFmtId="0" fontId="0" fillId="0" borderId="6" xfId="0" applyBorder="1"/>
    <xf numFmtId="0" fontId="0" fillId="0" borderId="7" xfId="0" applyBorder="1"/>
    <xf numFmtId="0" fontId="28" fillId="0" borderId="2" xfId="0" applyFont="1" applyBorder="1" applyAlignment="1">
      <alignment horizontal="centerContinuous"/>
    </xf>
    <xf numFmtId="0" fontId="28" fillId="0" borderId="0" xfId="0" applyFont="1" applyBorder="1" applyAlignment="1">
      <alignment horizontal="centerContinuous"/>
    </xf>
    <xf numFmtId="0" fontId="5" fillId="0" borderId="8" xfId="0" applyFont="1" applyBorder="1" applyAlignment="1">
      <alignment horizontal="centerContinuous"/>
    </xf>
    <xf numFmtId="14" fontId="0" fillId="0" borderId="2" xfId="0" applyNumberFormat="1" applyBorder="1"/>
    <xf numFmtId="0" fontId="4" fillId="8" borderId="2" xfId="0" applyFont="1" applyFill="1" applyBorder="1" applyAlignment="1"/>
    <xf numFmtId="0" fontId="6" fillId="8" borderId="0" xfId="0" applyFont="1" applyFill="1" applyBorder="1" applyAlignment="1"/>
    <xf numFmtId="0" fontId="6" fillId="8" borderId="8" xfId="0" applyFont="1" applyFill="1" applyBorder="1" applyAlignment="1"/>
    <xf numFmtId="0" fontId="6" fillId="5" borderId="9" xfId="0" applyFont="1" applyFill="1" applyBorder="1" applyAlignment="1">
      <alignment horizontal="center"/>
    </xf>
    <xf numFmtId="0" fontId="6" fillId="5" borderId="11" xfId="0" applyFont="1" applyFill="1" applyBorder="1" applyAlignment="1">
      <alignment horizontal="center"/>
    </xf>
    <xf numFmtId="0" fontId="6" fillId="0" borderId="2" xfId="0" applyFont="1" applyFill="1" applyBorder="1" applyAlignment="1">
      <alignment horizontal="center"/>
    </xf>
    <xf numFmtId="0" fontId="6" fillId="0" borderId="8" xfId="0" applyFont="1" applyFill="1" applyBorder="1" applyAlignment="1">
      <alignment horizontal="center"/>
    </xf>
    <xf numFmtId="1" fontId="0" fillId="7" borderId="2" xfId="0" applyNumberFormat="1" applyFill="1" applyBorder="1" applyAlignment="1">
      <alignment horizontal="center"/>
    </xf>
    <xf numFmtId="1" fontId="0" fillId="10" borderId="0" xfId="0" applyNumberFormat="1" applyFill="1" applyBorder="1" applyAlignment="1">
      <alignment horizontal="center"/>
    </xf>
    <xf numFmtId="9" fontId="0" fillId="12" borderId="8" xfId="1" applyFont="1" applyFill="1" applyBorder="1" applyAlignment="1">
      <alignment horizontal="center"/>
    </xf>
    <xf numFmtId="170" fontId="0" fillId="7" borderId="2" xfId="0" applyNumberFormat="1" applyFill="1" applyBorder="1" applyAlignment="1">
      <alignment horizontal="center"/>
    </xf>
    <xf numFmtId="170" fontId="0" fillId="10" borderId="0" xfId="0" applyNumberFormat="1" applyFill="1" applyBorder="1" applyAlignment="1">
      <alignment horizontal="center"/>
    </xf>
    <xf numFmtId="1" fontId="0" fillId="7" borderId="46" xfId="0" applyNumberFormat="1" applyFill="1" applyBorder="1" applyAlignment="1">
      <alignment horizontal="center"/>
    </xf>
    <xf numFmtId="9" fontId="0" fillId="12" borderId="47" xfId="1" applyFont="1" applyFill="1" applyBorder="1" applyAlignment="1">
      <alignment horizontal="center"/>
    </xf>
    <xf numFmtId="170" fontId="5" fillId="7" borderId="2" xfId="0" applyNumberFormat="1" applyFont="1" applyFill="1" applyBorder="1" applyAlignment="1">
      <alignment horizontal="center"/>
    </xf>
    <xf numFmtId="170" fontId="5" fillId="10" borderId="0" xfId="0" applyNumberFormat="1" applyFont="1" applyFill="1" applyBorder="1" applyAlignment="1">
      <alignment horizontal="center"/>
    </xf>
    <xf numFmtId="9" fontId="5" fillId="12" borderId="8" xfId="1" applyFont="1" applyFill="1" applyBorder="1" applyAlignment="1">
      <alignment horizontal="center"/>
    </xf>
    <xf numFmtId="170" fontId="5" fillId="7" borderId="48" xfId="0" applyNumberFormat="1" applyFont="1" applyFill="1" applyBorder="1" applyAlignment="1">
      <alignment horizontal="center"/>
    </xf>
    <xf numFmtId="9" fontId="5" fillId="12" borderId="35" xfId="1" applyFont="1" applyFill="1" applyBorder="1" applyAlignment="1">
      <alignment horizontal="center"/>
    </xf>
    <xf numFmtId="165" fontId="0" fillId="7" borderId="2" xfId="1" applyNumberFormat="1" applyFont="1" applyFill="1" applyBorder="1" applyAlignment="1">
      <alignment horizontal="center"/>
    </xf>
    <xf numFmtId="165" fontId="0" fillId="10" borderId="0" xfId="1" applyNumberFormat="1" applyFont="1" applyFill="1" applyBorder="1" applyAlignment="1">
      <alignment horizontal="center"/>
    </xf>
    <xf numFmtId="165" fontId="5" fillId="7" borderId="2" xfId="1" applyNumberFormat="1" applyFont="1" applyFill="1" applyBorder="1" applyAlignment="1">
      <alignment horizontal="center"/>
    </xf>
    <xf numFmtId="165" fontId="5" fillId="10" borderId="0" xfId="1" applyNumberFormat="1" applyFont="1" applyFill="1" applyBorder="1" applyAlignment="1">
      <alignment horizontal="center"/>
    </xf>
    <xf numFmtId="0" fontId="0" fillId="0" borderId="11" xfId="0" applyBorder="1"/>
    <xf numFmtId="0" fontId="5" fillId="0" borderId="10" xfId="0" applyFont="1" applyBorder="1"/>
    <xf numFmtId="9" fontId="5" fillId="0" borderId="11" xfId="0" applyNumberFormat="1" applyFont="1" applyBorder="1" applyAlignment="1">
      <alignment horizontal="left"/>
    </xf>
    <xf numFmtId="0" fontId="6" fillId="8" borderId="2" xfId="0" applyFont="1" applyFill="1" applyBorder="1"/>
    <xf numFmtId="0" fontId="6" fillId="8" borderId="0" xfId="0" applyFont="1" applyFill="1" applyBorder="1"/>
    <xf numFmtId="0" fontId="6" fillId="8" borderId="8" xfId="0" applyFont="1" applyFill="1" applyBorder="1" applyAlignment="1">
      <alignment horizontal="left"/>
    </xf>
    <xf numFmtId="167" fontId="12" fillId="0" borderId="0" xfId="0" applyNumberFormat="1" applyFont="1" applyAlignment="1"/>
    <xf numFmtId="167" fontId="10" fillId="0" borderId="0" xfId="0" applyNumberFormat="1" applyFont="1" applyAlignment="1"/>
    <xf numFmtId="0" fontId="10" fillId="7" borderId="29" xfId="0" applyFont="1" applyFill="1" applyBorder="1" applyAlignment="1"/>
    <xf numFmtId="0" fontId="10" fillId="0" borderId="0" xfId="0" applyFont="1" applyAlignment="1"/>
    <xf numFmtId="0" fontId="10" fillId="0" borderId="24" xfId="0" applyFont="1" applyBorder="1" applyAlignment="1"/>
    <xf numFmtId="1" fontId="10" fillId="7" borderId="29" xfId="0" applyNumberFormat="1" applyFont="1" applyFill="1" applyBorder="1" applyAlignment="1"/>
    <xf numFmtId="1" fontId="0" fillId="0" borderId="24" xfId="0" applyNumberFormat="1" applyBorder="1" applyAlignment="1"/>
    <xf numFmtId="1" fontId="12" fillId="0" borderId="0" xfId="0" applyNumberFormat="1" applyFont="1" applyAlignment="1"/>
    <xf numFmtId="1" fontId="10" fillId="0" borderId="0" xfId="0" applyNumberFormat="1" applyFont="1" applyAlignment="1"/>
    <xf numFmtId="0" fontId="11" fillId="0" borderId="24" xfId="0" applyFont="1" applyBorder="1" applyAlignment="1"/>
    <xf numFmtId="168" fontId="0" fillId="0" borderId="0" xfId="0" applyNumberFormat="1" applyAlignment="1"/>
    <xf numFmtId="168" fontId="10" fillId="7" borderId="29" xfId="0" applyNumberFormat="1" applyFont="1" applyFill="1" applyBorder="1" applyAlignment="1"/>
    <xf numFmtId="168" fontId="0" fillId="0" borderId="24" xfId="0" applyNumberFormat="1" applyBorder="1" applyAlignment="1"/>
    <xf numFmtId="9" fontId="13" fillId="0" borderId="0" xfId="1" applyFont="1" applyAlignment="1"/>
    <xf numFmtId="9" fontId="15" fillId="7" borderId="29" xfId="1" applyFont="1" applyFill="1" applyBorder="1" applyAlignment="1"/>
    <xf numFmtId="9" fontId="13" fillId="0" borderId="24" xfId="1" applyFont="1" applyBorder="1" applyAlignment="1"/>
    <xf numFmtId="170" fontId="0" fillId="0" borderId="0" xfId="16" applyNumberFormat="1" applyFont="1" applyAlignment="1"/>
    <xf numFmtId="170" fontId="10" fillId="7" borderId="29" xfId="16" applyNumberFormat="1" applyFont="1" applyFill="1" applyBorder="1" applyAlignment="1"/>
    <xf numFmtId="170" fontId="0" fillId="0" borderId="24" xfId="16" applyNumberFormat="1" applyFont="1" applyBorder="1" applyAlignment="1"/>
    <xf numFmtId="0" fontId="0" fillId="0" borderId="24" xfId="0" applyBorder="1" applyAlignment="1"/>
    <xf numFmtId="170" fontId="10" fillId="7" borderId="29" xfId="0" applyNumberFormat="1" applyFont="1" applyFill="1" applyBorder="1" applyAlignment="1"/>
    <xf numFmtId="170" fontId="0" fillId="0" borderId="24" xfId="0" applyNumberFormat="1" applyBorder="1" applyAlignment="1"/>
    <xf numFmtId="170" fontId="0" fillId="0" borderId="1" xfId="0" applyNumberFormat="1" applyBorder="1" applyAlignment="1"/>
    <xf numFmtId="170" fontId="0" fillId="7" borderId="30" xfId="0" applyNumberFormat="1" applyFill="1" applyBorder="1" applyAlignment="1"/>
    <xf numFmtId="170" fontId="0" fillId="0" borderId="25" xfId="0" applyNumberFormat="1" applyBorder="1" applyAlignment="1"/>
    <xf numFmtId="0" fontId="0" fillId="7" borderId="29" xfId="0" applyFill="1" applyBorder="1" applyAlignment="1"/>
    <xf numFmtId="1" fontId="0" fillId="7" borderId="29" xfId="0" applyNumberFormat="1" applyFill="1" applyBorder="1" applyAlignment="1"/>
    <xf numFmtId="1" fontId="0" fillId="0" borderId="0" xfId="0" applyNumberFormat="1" applyBorder="1" applyAlignment="1"/>
    <xf numFmtId="1" fontId="0" fillId="7" borderId="30" xfId="0" applyNumberFormat="1" applyFill="1" applyBorder="1" applyAlignment="1"/>
    <xf numFmtId="1" fontId="0" fillId="0" borderId="25" xfId="0" applyNumberFormat="1" applyBorder="1" applyAlignment="1"/>
    <xf numFmtId="168" fontId="5" fillId="0" borderId="0" xfId="0" applyNumberFormat="1" applyFont="1" applyAlignment="1"/>
    <xf numFmtId="1" fontId="5" fillId="7" borderId="29" xfId="0" applyNumberFormat="1" applyFont="1" applyFill="1" applyBorder="1" applyAlignment="1"/>
    <xf numFmtId="1" fontId="5" fillId="0" borderId="0" xfId="0" applyNumberFormat="1" applyFont="1" applyAlignment="1"/>
    <xf numFmtId="1" fontId="5" fillId="0" borderId="24" xfId="0" applyNumberFormat="1" applyFont="1" applyBorder="1" applyAlignment="1"/>
    <xf numFmtId="43" fontId="0" fillId="0" borderId="0" xfId="0" applyNumberFormat="1" applyAlignment="1"/>
    <xf numFmtId="43" fontId="0" fillId="7" borderId="29" xfId="0" applyNumberFormat="1" applyFill="1" applyBorder="1" applyAlignment="1"/>
    <xf numFmtId="43" fontId="0" fillId="0" borderId="24" xfId="0" applyNumberFormat="1" applyBorder="1" applyAlignment="1"/>
    <xf numFmtId="5" fontId="5" fillId="0" borderId="4" xfId="0" applyNumberFormat="1" applyFont="1" applyBorder="1" applyAlignment="1"/>
    <xf numFmtId="5" fontId="5" fillId="7" borderId="37" xfId="0" applyNumberFormat="1" applyFont="1" applyFill="1" applyBorder="1" applyAlignment="1"/>
    <xf numFmtId="5" fontId="5" fillId="0" borderId="38" xfId="0" applyNumberFormat="1" applyFont="1" applyBorder="1" applyAlignment="1"/>
    <xf numFmtId="9" fontId="13" fillId="7" borderId="29" xfId="1" applyFont="1" applyFill="1" applyBorder="1" applyAlignment="1"/>
    <xf numFmtId="165" fontId="5" fillId="7" borderId="29" xfId="1" applyNumberFormat="1" applyFont="1" applyFill="1" applyBorder="1" applyAlignment="1"/>
    <xf numFmtId="165" fontId="5" fillId="0" borderId="24" xfId="1" applyNumberFormat="1" applyFont="1" applyBorder="1" applyAlignment="1"/>
    <xf numFmtId="0" fontId="0" fillId="7" borderId="31" xfId="0" applyFill="1" applyBorder="1" applyAlignment="1"/>
    <xf numFmtId="0" fontId="0" fillId="0" borderId="26" xfId="0" applyBorder="1" applyAlignment="1"/>
    <xf numFmtId="0" fontId="27" fillId="0" borderId="0" xfId="0" applyFont="1"/>
    <xf numFmtId="0" fontId="26" fillId="0" borderId="0" xfId="0" applyFont="1"/>
    <xf numFmtId="0" fontId="0" fillId="0" borderId="49" xfId="0" applyBorder="1"/>
    <xf numFmtId="0" fontId="0" fillId="0" borderId="49" xfId="0" applyFill="1" applyBorder="1"/>
    <xf numFmtId="0" fontId="4" fillId="5" borderId="50" xfId="0" applyFont="1" applyFill="1" applyBorder="1" applyAlignment="1">
      <alignment horizontal="center"/>
    </xf>
    <xf numFmtId="167" fontId="10" fillId="0" borderId="49" xfId="0" applyNumberFormat="1" applyFont="1" applyBorder="1" applyAlignment="1"/>
    <xf numFmtId="1" fontId="0" fillId="0" borderId="49" xfId="0" applyNumberFormat="1" applyBorder="1" applyAlignment="1"/>
    <xf numFmtId="1" fontId="10" fillId="0" borderId="49" xfId="0" applyNumberFormat="1" applyFont="1" applyBorder="1" applyAlignment="1"/>
    <xf numFmtId="9" fontId="13" fillId="0" borderId="49" xfId="1" applyFont="1" applyBorder="1" applyAlignment="1"/>
    <xf numFmtId="170" fontId="0" fillId="0" borderId="49" xfId="16" applyNumberFormat="1" applyFont="1" applyBorder="1" applyAlignment="1"/>
    <xf numFmtId="0" fontId="0" fillId="0" borderId="49" xfId="0" applyBorder="1" applyAlignment="1"/>
    <xf numFmtId="170" fontId="0" fillId="0" borderId="49" xfId="0" applyNumberFormat="1" applyBorder="1" applyAlignment="1"/>
    <xf numFmtId="168" fontId="0" fillId="0" borderId="49" xfId="0" applyNumberFormat="1" applyBorder="1" applyAlignment="1"/>
    <xf numFmtId="170" fontId="0" fillId="0" borderId="51" xfId="0" applyNumberFormat="1" applyBorder="1" applyAlignment="1"/>
    <xf numFmtId="1" fontId="0" fillId="0" borderId="51" xfId="0" applyNumberFormat="1" applyBorder="1" applyAlignment="1"/>
    <xf numFmtId="168" fontId="5" fillId="0" borderId="49" xfId="0" applyNumberFormat="1" applyFont="1" applyBorder="1" applyAlignment="1"/>
    <xf numFmtId="43" fontId="0" fillId="0" borderId="49" xfId="0" applyNumberFormat="1" applyBorder="1" applyAlignment="1"/>
    <xf numFmtId="5" fontId="5" fillId="0" borderId="52" xfId="0" applyNumberFormat="1" applyFont="1" applyBorder="1" applyAlignment="1"/>
    <xf numFmtId="165" fontId="5" fillId="0" borderId="49" xfId="1" applyNumberFormat="1" applyFont="1" applyBorder="1" applyAlignment="1"/>
    <xf numFmtId="0" fontId="4" fillId="8" borderId="0" xfId="0" applyFont="1" applyFill="1" applyBorder="1"/>
    <xf numFmtId="168" fontId="5" fillId="0" borderId="17" xfId="0" applyNumberFormat="1" applyFont="1" applyBorder="1"/>
    <xf numFmtId="165" fontId="11" fillId="0" borderId="8" xfId="1" applyNumberFormat="1" applyFont="1" applyBorder="1" applyAlignment="1">
      <alignment horizontal="left"/>
    </xf>
    <xf numFmtId="0" fontId="0" fillId="0" borderId="13" xfId="0" applyBorder="1"/>
    <xf numFmtId="0" fontId="5" fillId="0" borderId="0" xfId="0" applyFont="1" applyAlignment="1">
      <alignment horizontal="center"/>
    </xf>
    <xf numFmtId="168" fontId="32" fillId="3" borderId="0" xfId="407" applyNumberFormat="1" applyFont="1" applyFill="1"/>
    <xf numFmtId="168" fontId="0" fillId="3" borderId="0" xfId="407" applyNumberFormat="1" applyFont="1" applyFill="1"/>
    <xf numFmtId="0" fontId="31" fillId="3" borderId="0" xfId="408" applyFont="1" applyFill="1"/>
    <xf numFmtId="0" fontId="0" fillId="0" borderId="53" xfId="0" applyBorder="1"/>
    <xf numFmtId="0" fontId="0" fillId="3" borderId="0" xfId="0" applyFont="1" applyFill="1" applyBorder="1"/>
    <xf numFmtId="0" fontId="0" fillId="0" borderId="0" xfId="0" applyFont="1"/>
    <xf numFmtId="0" fontId="5" fillId="0" borderId="41" xfId="0" applyFont="1" applyBorder="1"/>
    <xf numFmtId="170" fontId="5" fillId="0" borderId="41" xfId="0" applyNumberFormat="1" applyFont="1" applyBorder="1" applyAlignment="1"/>
    <xf numFmtId="170" fontId="5" fillId="0" borderId="56" xfId="0" applyNumberFormat="1" applyFont="1" applyBorder="1" applyAlignment="1"/>
    <xf numFmtId="170" fontId="5" fillId="7" borderId="57" xfId="0" applyNumberFormat="1" applyFont="1" applyFill="1" applyBorder="1" applyAlignment="1"/>
    <xf numFmtId="170" fontId="5" fillId="0" borderId="58" xfId="0" applyNumberFormat="1" applyFont="1" applyBorder="1" applyAlignment="1"/>
    <xf numFmtId="1" fontId="0" fillId="0" borderId="0" xfId="0" applyNumberFormat="1" applyFont="1" applyAlignment="1"/>
    <xf numFmtId="1" fontId="0" fillId="0" borderId="49" xfId="0" applyNumberFormat="1" applyFont="1" applyBorder="1" applyAlignment="1"/>
    <xf numFmtId="1" fontId="0" fillId="7" borderId="29" xfId="0" applyNumberFormat="1" applyFont="1" applyFill="1" applyBorder="1" applyAlignment="1"/>
    <xf numFmtId="1" fontId="0" fillId="0" borderId="24" xfId="0" applyNumberFormat="1" applyFont="1" applyBorder="1" applyAlignment="1"/>
    <xf numFmtId="168" fontId="5" fillId="0" borderId="0" xfId="16" applyNumberFormat="1" applyFont="1" applyAlignment="1"/>
    <xf numFmtId="168" fontId="5" fillId="0" borderId="49" xfId="16" applyNumberFormat="1" applyFont="1" applyBorder="1" applyAlignment="1"/>
    <xf numFmtId="168" fontId="5" fillId="7" borderId="29" xfId="16" applyNumberFormat="1" applyFont="1" applyFill="1" applyBorder="1" applyAlignment="1"/>
    <xf numFmtId="168" fontId="5" fillId="0" borderId="24" xfId="16" applyNumberFormat="1" applyFont="1" applyBorder="1" applyAlignment="1"/>
    <xf numFmtId="170" fontId="5" fillId="7" borderId="41" xfId="0" applyNumberFormat="1" applyFont="1" applyFill="1" applyBorder="1" applyAlignment="1">
      <alignment horizontal="center"/>
    </xf>
    <xf numFmtId="170" fontId="5" fillId="10" borderId="41" xfId="0" applyNumberFormat="1" applyFont="1" applyFill="1" applyBorder="1" applyAlignment="1">
      <alignment horizontal="center"/>
    </xf>
    <xf numFmtId="170" fontId="5" fillId="7" borderId="40" xfId="0" applyNumberFormat="1" applyFont="1" applyFill="1" applyBorder="1" applyAlignment="1">
      <alignment horizontal="center"/>
    </xf>
    <xf numFmtId="1" fontId="5" fillId="10" borderId="41" xfId="0" applyNumberFormat="1" applyFont="1" applyFill="1" applyBorder="1" applyAlignment="1">
      <alignment horizontal="center"/>
    </xf>
    <xf numFmtId="9" fontId="5" fillId="12" borderId="41" xfId="1" applyFont="1" applyFill="1" applyBorder="1" applyAlignment="1">
      <alignment horizontal="center"/>
    </xf>
    <xf numFmtId="1" fontId="5" fillId="7" borderId="59" xfId="0" applyNumberFormat="1" applyFont="1" applyFill="1" applyBorder="1" applyAlignment="1">
      <alignment horizontal="center"/>
    </xf>
    <xf numFmtId="9" fontId="5" fillId="12" borderId="55" xfId="1" applyFont="1" applyFill="1" applyBorder="1" applyAlignment="1">
      <alignment horizontal="center"/>
    </xf>
    <xf numFmtId="9" fontId="17" fillId="0" borderId="0" xfId="0" applyNumberFormat="1" applyFont="1" applyBorder="1"/>
    <xf numFmtId="0" fontId="0" fillId="9" borderId="0" xfId="0" applyFill="1" applyBorder="1"/>
    <xf numFmtId="0" fontId="5" fillId="0" borderId="53" xfId="0" applyFont="1" applyBorder="1"/>
    <xf numFmtId="0" fontId="9" fillId="0" borderId="53" xfId="0" applyFont="1" applyBorder="1"/>
    <xf numFmtId="168" fontId="5" fillId="0" borderId="53" xfId="16" applyNumberFormat="1" applyFont="1" applyBorder="1"/>
    <xf numFmtId="168" fontId="5" fillId="0" borderId="60" xfId="16" applyNumberFormat="1" applyFont="1" applyBorder="1"/>
    <xf numFmtId="168" fontId="5" fillId="0" borderId="61" xfId="16" applyNumberFormat="1" applyFont="1" applyBorder="1"/>
    <xf numFmtId="0" fontId="5" fillId="9" borderId="53" xfId="0" applyFont="1" applyFill="1" applyBorder="1"/>
    <xf numFmtId="168" fontId="5" fillId="0" borderId="53" xfId="0" applyNumberFormat="1" applyFont="1" applyBorder="1"/>
    <xf numFmtId="165" fontId="17" fillId="0" borderId="0" xfId="0" applyNumberFormat="1" applyFont="1"/>
    <xf numFmtId="165" fontId="17" fillId="0" borderId="1" xfId="0" applyNumberFormat="1" applyFont="1" applyBorder="1"/>
    <xf numFmtId="168" fontId="5" fillId="0" borderId="54" xfId="16" applyNumberFormat="1" applyFont="1" applyBorder="1"/>
    <xf numFmtId="168" fontId="1" fillId="0" borderId="0" xfId="16" applyNumberFormat="1" applyFont="1"/>
    <xf numFmtId="168" fontId="1" fillId="11" borderId="0" xfId="16" applyNumberFormat="1" applyFont="1" applyFill="1"/>
    <xf numFmtId="168" fontId="1" fillId="0" borderId="43" xfId="16" applyNumberFormat="1" applyFont="1" applyBorder="1"/>
    <xf numFmtId="168" fontId="1" fillId="0" borderId="0" xfId="16" applyNumberFormat="1" applyFont="1" applyFill="1"/>
    <xf numFmtId="168" fontId="0" fillId="0" borderId="0" xfId="0" applyNumberFormat="1" applyFont="1"/>
    <xf numFmtId="168" fontId="0" fillId="0" borderId="0" xfId="0" applyNumberFormat="1" applyFont="1" applyFill="1"/>
    <xf numFmtId="0" fontId="35" fillId="0" borderId="0" xfId="0" applyFont="1"/>
    <xf numFmtId="0" fontId="36" fillId="0" borderId="0" xfId="0" applyFont="1" applyAlignment="1">
      <alignment horizontal="center"/>
    </xf>
    <xf numFmtId="0" fontId="36" fillId="13" borderId="0" xfId="0" applyFont="1" applyFill="1" applyAlignment="1">
      <alignment horizontal="centerContinuous"/>
    </xf>
    <xf numFmtId="0" fontId="37" fillId="14" borderId="39" xfId="0" applyFont="1" applyFill="1" applyBorder="1" applyAlignment="1">
      <alignment horizontal="center"/>
    </xf>
    <xf numFmtId="0" fontId="37" fillId="15" borderId="0" xfId="0" applyFont="1" applyFill="1"/>
    <xf numFmtId="0" fontId="37" fillId="14" borderId="40" xfId="0" applyFont="1" applyFill="1" applyBorder="1" applyAlignment="1">
      <alignment horizontal="center"/>
    </xf>
    <xf numFmtId="0" fontId="37" fillId="14" borderId="41" xfId="0" applyFont="1" applyFill="1" applyBorder="1" applyAlignment="1">
      <alignment horizontal="center"/>
    </xf>
    <xf numFmtId="0" fontId="37" fillId="14" borderId="42" xfId="0" applyFont="1" applyFill="1" applyBorder="1" applyAlignment="1">
      <alignment horizontal="center"/>
    </xf>
    <xf numFmtId="0" fontId="36" fillId="13" borderId="43" xfId="0" applyFont="1" applyFill="1" applyBorder="1" applyAlignment="1">
      <alignment horizontal="centerContinuous"/>
    </xf>
    <xf numFmtId="0" fontId="37" fillId="14" borderId="44" xfId="0" applyFont="1" applyFill="1" applyBorder="1" applyAlignment="1">
      <alignment horizontal="center"/>
    </xf>
    <xf numFmtId="0" fontId="35" fillId="0" borderId="43" xfId="0" applyFont="1" applyBorder="1"/>
    <xf numFmtId="0" fontId="36" fillId="0" borderId="43" xfId="0" applyFont="1" applyBorder="1" applyAlignment="1">
      <alignment horizontal="center"/>
    </xf>
    <xf numFmtId="0" fontId="37" fillId="15" borderId="43" xfId="0" applyFont="1" applyFill="1" applyBorder="1"/>
    <xf numFmtId="168" fontId="32" fillId="3" borderId="41" xfId="16" applyNumberFormat="1" applyFont="1" applyFill="1" applyBorder="1" applyAlignment="1">
      <alignment horizontal="right" vertical="top"/>
    </xf>
    <xf numFmtId="168" fontId="32" fillId="3" borderId="44" xfId="16" applyNumberFormat="1" applyFont="1" applyFill="1" applyBorder="1" applyAlignment="1">
      <alignment horizontal="right" vertical="top"/>
    </xf>
    <xf numFmtId="168" fontId="32" fillId="3" borderId="0" xfId="16" applyNumberFormat="1" applyFont="1" applyFill="1" applyAlignment="1">
      <alignment horizontal="right" vertical="top"/>
    </xf>
    <xf numFmtId="168" fontId="32" fillId="3" borderId="43" xfId="16" applyNumberFormat="1" applyFont="1" applyFill="1" applyBorder="1" applyAlignment="1">
      <alignment horizontal="right" vertical="top"/>
    </xf>
    <xf numFmtId="168" fontId="31" fillId="3" borderId="0" xfId="16" applyNumberFormat="1" applyFont="1" applyFill="1" applyAlignment="1">
      <alignment horizontal="right" vertical="top"/>
    </xf>
    <xf numFmtId="168" fontId="31" fillId="3" borderId="43" xfId="16" applyNumberFormat="1" applyFont="1" applyFill="1" applyBorder="1" applyAlignment="1">
      <alignment horizontal="right" vertical="top"/>
    </xf>
    <xf numFmtId="168" fontId="31" fillId="3" borderId="0" xfId="407" applyNumberFormat="1" applyFont="1" applyFill="1"/>
    <xf numFmtId="0" fontId="31" fillId="0" borderId="0" xfId="0" applyFont="1"/>
    <xf numFmtId="170" fontId="32" fillId="3" borderId="41" xfId="407" applyNumberFormat="1" applyFont="1" applyFill="1" applyBorder="1" applyAlignment="1">
      <alignment horizontal="right" vertical="top"/>
    </xf>
    <xf numFmtId="170" fontId="32" fillId="3" borderId="44" xfId="407" applyNumberFormat="1" applyFont="1" applyFill="1" applyBorder="1" applyAlignment="1">
      <alignment horizontal="right" vertical="top"/>
    </xf>
    <xf numFmtId="49" fontId="31" fillId="3" borderId="0" xfId="407" applyNumberFormat="1" applyFont="1" applyFill="1" applyAlignment="1">
      <alignment horizontal="left"/>
    </xf>
    <xf numFmtId="49" fontId="32" fillId="3" borderId="0" xfId="407" applyNumberFormat="1" applyFont="1" applyFill="1" applyAlignment="1">
      <alignment horizontal="left"/>
    </xf>
    <xf numFmtId="0" fontId="0" fillId="0" borderId="0" xfId="0" applyFont="1" applyBorder="1"/>
    <xf numFmtId="9" fontId="0" fillId="0" borderId="8" xfId="0" applyNumberFormat="1" applyFont="1" applyBorder="1" applyAlignment="1">
      <alignment horizontal="left"/>
    </xf>
    <xf numFmtId="0" fontId="0" fillId="0" borderId="0" xfId="0" applyAlignment="1">
      <alignment horizontal="right"/>
    </xf>
    <xf numFmtId="9" fontId="5" fillId="0" borderId="0" xfId="1" applyFont="1" applyAlignment="1">
      <alignment horizontal="center"/>
    </xf>
    <xf numFmtId="9" fontId="5" fillId="0" borderId="0" xfId="0" applyNumberFormat="1" applyFont="1" applyAlignment="1">
      <alignment horizontal="center"/>
    </xf>
    <xf numFmtId="165" fontId="5" fillId="0" borderId="0" xfId="1" applyNumberFormat="1" applyFont="1" applyAlignment="1">
      <alignment horizontal="center"/>
    </xf>
    <xf numFmtId="173" fontId="5" fillId="0" borderId="0" xfId="0" applyNumberFormat="1" applyFont="1" applyAlignment="1">
      <alignment horizontal="center"/>
    </xf>
    <xf numFmtId="0" fontId="38" fillId="3" borderId="0" xfId="0" applyFont="1" applyFill="1"/>
    <xf numFmtId="172" fontId="5" fillId="0" borderId="0" xfId="0" applyNumberFormat="1" applyFont="1" applyAlignment="1">
      <alignment horizontal="left"/>
    </xf>
    <xf numFmtId="172" fontId="0" fillId="0" borderId="0" xfId="0" applyNumberFormat="1" applyAlignment="1">
      <alignment horizontal="left"/>
    </xf>
    <xf numFmtId="0" fontId="40" fillId="0" borderId="32" xfId="0" applyFont="1" applyBorder="1"/>
    <xf numFmtId="0" fontId="0" fillId="0" borderId="32" xfId="0" applyBorder="1" applyAlignment="1">
      <alignment horizontal="left" wrapText="1"/>
    </xf>
    <xf numFmtId="0" fontId="0" fillId="0" borderId="0" xfId="0" applyBorder="1" applyAlignment="1">
      <alignment horizontal="left" wrapText="1"/>
    </xf>
    <xf numFmtId="0" fontId="41" fillId="0" borderId="0" xfId="0" applyFont="1" applyAlignment="1">
      <alignment horizontal="centerContinuous"/>
    </xf>
    <xf numFmtId="168" fontId="0" fillId="0" borderId="0" xfId="16" applyNumberFormat="1" applyFont="1" applyBorder="1" applyAlignment="1">
      <alignment horizontal="right"/>
    </xf>
    <xf numFmtId="168" fontId="0" fillId="0" borderId="3" xfId="16" applyNumberFormat="1" applyFont="1" applyBorder="1" applyAlignment="1">
      <alignment horizontal="right"/>
    </xf>
  </cellXfs>
  <cellStyles count="663">
    <cellStyle name="Comma" xfId="16" builtinId="3"/>
    <cellStyle name="Comma 2" xfId="40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Normal" xfId="0" builtinId="0"/>
    <cellStyle name="Normal 2" xfId="408"/>
    <cellStyle name="Normal 3" xfId="409"/>
    <cellStyle name="Percent" xfId="1" builtinId="5"/>
    <cellStyle name="Percent 2" xfId="41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showGridLines="0" tabSelected="1" workbookViewId="0"/>
  </sheetViews>
  <sheetFormatPr baseColWidth="10" defaultRowHeight="15" x14ac:dyDescent="0"/>
  <sheetData>
    <row r="1" spans="2:6" ht="102" customHeight="1"/>
    <row r="2" spans="2:6" ht="23">
      <c r="B2" s="455" t="s">
        <v>297</v>
      </c>
      <c r="C2" s="16"/>
      <c r="D2" s="16"/>
      <c r="E2" s="16"/>
      <c r="F2" s="16"/>
    </row>
    <row r="3" spans="2:6" ht="17" customHeight="1">
      <c r="B3" s="456" t="s">
        <v>282</v>
      </c>
      <c r="C3" s="457"/>
      <c r="D3" s="457"/>
      <c r="E3" s="457"/>
      <c r="F3" s="457"/>
    </row>
    <row r="4" spans="2:6">
      <c r="B4" s="456"/>
      <c r="C4" s="457"/>
      <c r="D4" s="457"/>
      <c r="E4" s="457"/>
      <c r="F4" s="457"/>
    </row>
    <row r="5" spans="2:6">
      <c r="B5" s="456"/>
      <c r="C5" s="457"/>
      <c r="D5" s="457"/>
      <c r="E5" s="457"/>
      <c r="F5" s="457"/>
    </row>
    <row r="6" spans="2:6">
      <c r="B6" s="456"/>
      <c r="C6" s="457"/>
      <c r="D6" s="457"/>
      <c r="E6" s="457"/>
      <c r="F6" s="457"/>
    </row>
    <row r="7" spans="2:6">
      <c r="B7" s="456"/>
      <c r="C7" s="457"/>
      <c r="D7" s="457"/>
      <c r="E7" s="457"/>
      <c r="F7" s="457"/>
    </row>
  </sheetData>
  <mergeCells count="1">
    <mergeCell ref="B3:F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A1:L22"/>
  <sheetViews>
    <sheetView zoomScale="85" zoomScaleNormal="85" zoomScalePageLayoutView="85" workbookViewId="0">
      <selection activeCell="V64" sqref="V64"/>
    </sheetView>
  </sheetViews>
  <sheetFormatPr baseColWidth="10" defaultRowHeight="15" x14ac:dyDescent="0"/>
  <sheetData>
    <row r="1" spans="1:12" ht="45">
      <c r="A1" s="8" t="s">
        <v>15</v>
      </c>
      <c r="B1" s="8" t="s">
        <v>16</v>
      </c>
      <c r="C1" s="8" t="s">
        <v>17</v>
      </c>
      <c r="D1" s="8" t="s">
        <v>18</v>
      </c>
      <c r="E1" s="8" t="s">
        <v>19</v>
      </c>
      <c r="F1" s="8" t="s">
        <v>20</v>
      </c>
      <c r="G1" s="8" t="s">
        <v>21</v>
      </c>
      <c r="H1" s="8" t="s">
        <v>22</v>
      </c>
      <c r="I1" s="8" t="s">
        <v>23</v>
      </c>
      <c r="J1" s="8" t="s">
        <v>24</v>
      </c>
      <c r="K1" s="8" t="s">
        <v>25</v>
      </c>
      <c r="L1" s="8" t="s">
        <v>26</v>
      </c>
    </row>
    <row r="2" spans="1:12">
      <c r="A2" s="9">
        <v>42125</v>
      </c>
      <c r="B2" s="10">
        <v>3</v>
      </c>
      <c r="C2" s="10">
        <v>5</v>
      </c>
      <c r="D2" s="10">
        <v>9</v>
      </c>
      <c r="E2" s="10">
        <v>10</v>
      </c>
      <c r="F2" s="10">
        <v>1</v>
      </c>
      <c r="G2" s="10">
        <v>1</v>
      </c>
      <c r="H2" s="10">
        <v>2</v>
      </c>
      <c r="I2" s="10"/>
      <c r="J2" s="10"/>
      <c r="K2" s="10"/>
      <c r="L2" s="10"/>
    </row>
    <row r="3" spans="1:12">
      <c r="A3" s="9">
        <v>42156</v>
      </c>
      <c r="B3" s="10"/>
      <c r="C3" s="10">
        <v>11</v>
      </c>
      <c r="D3" s="10">
        <v>12</v>
      </c>
      <c r="E3" s="10">
        <v>15</v>
      </c>
      <c r="F3" s="10">
        <v>3</v>
      </c>
      <c r="G3" s="10">
        <v>2</v>
      </c>
      <c r="H3" s="10">
        <v>1</v>
      </c>
      <c r="I3" s="10">
        <v>2</v>
      </c>
      <c r="J3" s="10">
        <v>1</v>
      </c>
      <c r="K3" s="10"/>
      <c r="L3" s="10"/>
    </row>
    <row r="4" spans="1:12">
      <c r="A4" s="9">
        <v>42186</v>
      </c>
      <c r="B4" s="10">
        <v>4</v>
      </c>
      <c r="C4" s="10"/>
      <c r="D4" s="10">
        <v>18</v>
      </c>
      <c r="E4" s="10">
        <v>14</v>
      </c>
      <c r="F4" s="10">
        <v>6</v>
      </c>
      <c r="G4" s="10"/>
      <c r="H4" s="10"/>
      <c r="I4" s="10">
        <v>1</v>
      </c>
      <c r="J4" s="10">
        <v>3</v>
      </c>
      <c r="K4" s="10"/>
      <c r="L4" s="10"/>
    </row>
    <row r="5" spans="1:12">
      <c r="A5" s="9">
        <v>42217</v>
      </c>
      <c r="B5" s="10"/>
      <c r="C5" s="10"/>
      <c r="D5" s="10">
        <v>19</v>
      </c>
      <c r="E5" s="10">
        <v>15</v>
      </c>
      <c r="F5" s="10">
        <v>6</v>
      </c>
      <c r="G5" s="10">
        <v>3</v>
      </c>
      <c r="H5" s="10">
        <v>2</v>
      </c>
      <c r="I5" s="10">
        <v>2</v>
      </c>
      <c r="J5" s="10">
        <v>3</v>
      </c>
      <c r="K5" s="10"/>
      <c r="L5" s="10"/>
    </row>
    <row r="6" spans="1:12">
      <c r="A6" s="9">
        <v>42248</v>
      </c>
      <c r="B6" s="10"/>
      <c r="C6" s="10">
        <v>9</v>
      </c>
      <c r="D6" s="10">
        <v>22</v>
      </c>
      <c r="E6" s="10">
        <v>15</v>
      </c>
      <c r="F6" s="10">
        <v>6</v>
      </c>
      <c r="G6" s="10">
        <v>5</v>
      </c>
      <c r="H6" s="10">
        <v>3</v>
      </c>
      <c r="I6" s="10">
        <v>3</v>
      </c>
      <c r="J6" s="10">
        <v>6</v>
      </c>
      <c r="K6" s="10"/>
      <c r="L6" s="10"/>
    </row>
    <row r="7" spans="1:12">
      <c r="A7" s="9">
        <v>42278</v>
      </c>
      <c r="B7" s="10"/>
      <c r="C7" s="10">
        <v>9</v>
      </c>
      <c r="D7" s="10">
        <v>23</v>
      </c>
      <c r="E7" s="10">
        <v>14</v>
      </c>
      <c r="F7" s="10">
        <v>8</v>
      </c>
      <c r="G7" s="10">
        <v>10</v>
      </c>
      <c r="H7" s="10">
        <v>4</v>
      </c>
      <c r="I7" s="10"/>
      <c r="J7" s="10">
        <v>12</v>
      </c>
      <c r="K7" s="10"/>
      <c r="L7" s="10"/>
    </row>
    <row r="8" spans="1:12">
      <c r="A8" s="9">
        <v>42309</v>
      </c>
      <c r="B8" s="10"/>
      <c r="C8" s="10">
        <v>13</v>
      </c>
      <c r="D8" s="10">
        <v>27</v>
      </c>
      <c r="E8" s="10"/>
      <c r="F8" s="10"/>
      <c r="G8" s="10">
        <v>14</v>
      </c>
      <c r="H8" s="10">
        <v>3</v>
      </c>
      <c r="I8" s="10">
        <v>2</v>
      </c>
      <c r="J8" s="10">
        <v>13</v>
      </c>
      <c r="K8" s="10"/>
      <c r="L8" s="10"/>
    </row>
    <row r="9" spans="1:12">
      <c r="A9" s="9">
        <v>42339</v>
      </c>
      <c r="B9" s="10"/>
      <c r="C9" s="10">
        <v>14</v>
      </c>
      <c r="D9" s="10">
        <v>35</v>
      </c>
      <c r="E9" s="10">
        <v>16</v>
      </c>
      <c r="F9" s="10">
        <v>7</v>
      </c>
      <c r="G9" s="10">
        <v>15</v>
      </c>
      <c r="H9" s="10">
        <v>7</v>
      </c>
      <c r="I9" s="10"/>
      <c r="J9" s="10">
        <v>19</v>
      </c>
      <c r="K9" s="10">
        <v>15</v>
      </c>
      <c r="L9" s="10"/>
    </row>
    <row r="10" spans="1:12">
      <c r="A10" s="9">
        <v>42370</v>
      </c>
      <c r="B10" s="10"/>
      <c r="C10" s="10">
        <v>14</v>
      </c>
      <c r="D10" s="10">
        <v>37</v>
      </c>
      <c r="E10" s="10">
        <v>17</v>
      </c>
      <c r="F10" s="10">
        <v>7</v>
      </c>
      <c r="G10" s="10">
        <v>16</v>
      </c>
      <c r="H10" s="10">
        <v>8</v>
      </c>
      <c r="I10" s="10"/>
      <c r="J10" s="10">
        <v>29</v>
      </c>
      <c r="K10" s="10">
        <v>12</v>
      </c>
      <c r="L10" s="10"/>
    </row>
    <row r="11" spans="1:12">
      <c r="A11" s="9">
        <v>42401</v>
      </c>
      <c r="B11" s="10"/>
      <c r="C11" s="10">
        <v>16</v>
      </c>
      <c r="D11" s="10">
        <v>44</v>
      </c>
      <c r="E11" s="10">
        <v>24</v>
      </c>
      <c r="F11" s="10"/>
      <c r="G11" s="10">
        <v>14</v>
      </c>
      <c r="H11" s="10">
        <v>9</v>
      </c>
      <c r="I11" s="10"/>
      <c r="J11" s="10">
        <v>27</v>
      </c>
      <c r="K11" s="10">
        <v>19</v>
      </c>
      <c r="L11" s="10"/>
    </row>
    <row r="12" spans="1:12">
      <c r="A12" s="9">
        <v>42430</v>
      </c>
      <c r="B12" s="10"/>
      <c r="C12" s="10">
        <v>21</v>
      </c>
      <c r="D12" s="10">
        <v>55</v>
      </c>
      <c r="E12" s="10">
        <v>51</v>
      </c>
      <c r="F12" s="10"/>
      <c r="G12" s="10">
        <v>13</v>
      </c>
      <c r="H12" s="10">
        <v>9</v>
      </c>
      <c r="I12" s="10"/>
      <c r="J12" s="10">
        <v>32</v>
      </c>
      <c r="K12" s="10">
        <v>23</v>
      </c>
      <c r="L12" s="10"/>
    </row>
    <row r="13" spans="1:12">
      <c r="A13" s="9">
        <v>42461</v>
      </c>
      <c r="B13" s="10"/>
      <c r="C13" s="10">
        <v>25</v>
      </c>
      <c r="D13" s="10">
        <v>56</v>
      </c>
      <c r="E13" s="10">
        <v>74</v>
      </c>
      <c r="F13" s="10"/>
      <c r="G13" s="10">
        <v>9</v>
      </c>
      <c r="H13" s="10"/>
      <c r="I13" s="10"/>
      <c r="J13" s="10">
        <v>31</v>
      </c>
      <c r="K13" s="10">
        <v>24</v>
      </c>
      <c r="L13" s="10"/>
    </row>
    <row r="14" spans="1:12">
      <c r="A14" s="9">
        <v>42491</v>
      </c>
      <c r="B14" s="10"/>
      <c r="C14" s="10">
        <v>25</v>
      </c>
      <c r="D14" s="10">
        <v>65</v>
      </c>
      <c r="E14" s="10">
        <v>77</v>
      </c>
      <c r="F14" s="10"/>
      <c r="G14" s="10">
        <v>14</v>
      </c>
      <c r="H14" s="10">
        <v>6</v>
      </c>
      <c r="I14" s="10"/>
      <c r="J14" s="10">
        <v>32</v>
      </c>
      <c r="K14" s="10">
        <v>30</v>
      </c>
      <c r="L14" s="10"/>
    </row>
    <row r="15" spans="1:12">
      <c r="A15" s="9">
        <v>42522</v>
      </c>
      <c r="B15" s="10"/>
      <c r="C15" s="10">
        <v>27</v>
      </c>
      <c r="D15" s="10">
        <v>67</v>
      </c>
      <c r="E15" s="10">
        <v>74</v>
      </c>
      <c r="F15" s="10"/>
      <c r="G15" s="10">
        <v>19</v>
      </c>
      <c r="H15" s="10"/>
      <c r="I15" s="10"/>
      <c r="J15" s="10">
        <v>32</v>
      </c>
      <c r="K15" s="10">
        <v>32</v>
      </c>
      <c r="L15" s="10"/>
    </row>
    <row r="16" spans="1:12">
      <c r="A16" s="9">
        <v>42552</v>
      </c>
      <c r="B16" s="10"/>
      <c r="C16" s="10">
        <v>30</v>
      </c>
      <c r="D16" s="10">
        <v>64</v>
      </c>
      <c r="E16" s="10">
        <v>73</v>
      </c>
      <c r="F16" s="10"/>
      <c r="G16" s="10">
        <v>21</v>
      </c>
      <c r="H16" s="10"/>
      <c r="I16" s="10"/>
      <c r="J16" s="10">
        <v>33</v>
      </c>
      <c r="K16" s="10">
        <v>32</v>
      </c>
      <c r="L16" s="10"/>
    </row>
    <row r="17" spans="1:12">
      <c r="A17" s="9">
        <v>42583</v>
      </c>
      <c r="B17" s="10"/>
      <c r="C17" s="10">
        <v>29</v>
      </c>
      <c r="D17" s="10">
        <v>62</v>
      </c>
      <c r="E17" s="10">
        <v>69</v>
      </c>
      <c r="F17" s="10"/>
      <c r="G17" s="10">
        <v>26</v>
      </c>
      <c r="H17" s="10"/>
      <c r="I17" s="10"/>
      <c r="J17" s="10">
        <v>33</v>
      </c>
      <c r="K17" s="10"/>
      <c r="L17" s="10"/>
    </row>
    <row r="18" spans="1:12">
      <c r="A18" s="9">
        <v>42614</v>
      </c>
      <c r="B18" s="10"/>
      <c r="C18" s="10">
        <v>29</v>
      </c>
      <c r="D18" s="10">
        <v>65</v>
      </c>
      <c r="E18" s="10">
        <v>62</v>
      </c>
      <c r="F18" s="10"/>
      <c r="G18" s="10">
        <v>26</v>
      </c>
      <c r="H18" s="10"/>
      <c r="I18" s="10"/>
      <c r="J18" s="10"/>
      <c r="K18" s="10">
        <v>30</v>
      </c>
      <c r="L18" s="10"/>
    </row>
    <row r="19" spans="1:12">
      <c r="A19" s="9">
        <v>42644</v>
      </c>
      <c r="B19" s="10"/>
      <c r="C19" s="10"/>
      <c r="D19" s="10">
        <v>70</v>
      </c>
      <c r="E19" s="10">
        <v>62</v>
      </c>
      <c r="F19" s="10"/>
      <c r="G19" s="10"/>
      <c r="H19" s="10"/>
      <c r="I19" s="10"/>
      <c r="J19" s="10">
        <v>31</v>
      </c>
      <c r="K19" s="10">
        <v>31</v>
      </c>
      <c r="L19" s="10">
        <v>9</v>
      </c>
    </row>
    <row r="21" spans="1:12">
      <c r="A21" t="s">
        <v>34</v>
      </c>
      <c r="B21">
        <f>MAX(B2:B19)</f>
        <v>4</v>
      </c>
      <c r="C21">
        <f t="shared" ref="C21:L21" si="0">MAX(C2:C19)</f>
        <v>30</v>
      </c>
      <c r="D21">
        <f t="shared" si="0"/>
        <v>70</v>
      </c>
      <c r="E21">
        <f t="shared" si="0"/>
        <v>77</v>
      </c>
      <c r="F21">
        <f t="shared" si="0"/>
        <v>8</v>
      </c>
      <c r="G21">
        <f t="shared" si="0"/>
        <v>26</v>
      </c>
      <c r="H21">
        <f t="shared" si="0"/>
        <v>9</v>
      </c>
      <c r="I21">
        <f t="shared" si="0"/>
        <v>3</v>
      </c>
      <c r="J21">
        <f t="shared" si="0"/>
        <v>33</v>
      </c>
      <c r="K21">
        <f t="shared" si="0"/>
        <v>32</v>
      </c>
      <c r="L21">
        <f t="shared" si="0"/>
        <v>9</v>
      </c>
    </row>
    <row r="22" spans="1:12">
      <c r="A22" t="s">
        <v>35</v>
      </c>
      <c r="B22">
        <f>AVERAGE(B2:B19)</f>
        <v>3.5</v>
      </c>
      <c r="C22">
        <f t="shared" ref="C22:L22" si="1">AVERAGE(C2:C19)</f>
        <v>18.466666666666665</v>
      </c>
      <c r="D22">
        <f t="shared" si="1"/>
        <v>41.666666666666664</v>
      </c>
      <c r="E22">
        <f t="shared" si="1"/>
        <v>40.117647058823529</v>
      </c>
      <c r="F22">
        <f t="shared" si="1"/>
        <v>5.5</v>
      </c>
      <c r="G22">
        <f t="shared" si="1"/>
        <v>13</v>
      </c>
      <c r="H22">
        <f t="shared" si="1"/>
        <v>4.9090909090909092</v>
      </c>
      <c r="I22">
        <f t="shared" si="1"/>
        <v>2</v>
      </c>
      <c r="J22">
        <f t="shared" si="1"/>
        <v>21.0625</v>
      </c>
      <c r="K22">
        <f t="shared" si="1"/>
        <v>24.8</v>
      </c>
      <c r="L22">
        <f t="shared" si="1"/>
        <v>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B2:H23"/>
  <sheetViews>
    <sheetView workbookViewId="0">
      <selection activeCell="D29" sqref="D29"/>
    </sheetView>
  </sheetViews>
  <sheetFormatPr baseColWidth="10" defaultRowHeight="15" x14ac:dyDescent="0"/>
  <cols>
    <col min="1" max="1" width="3.6640625" customWidth="1"/>
  </cols>
  <sheetData>
    <row r="2" spans="2:8" ht="30">
      <c r="C2" s="13" t="s">
        <v>28</v>
      </c>
      <c r="D2" s="13" t="s">
        <v>29</v>
      </c>
      <c r="E2" s="13" t="s">
        <v>30</v>
      </c>
      <c r="F2" s="13" t="s">
        <v>31</v>
      </c>
      <c r="G2" s="13" t="s">
        <v>32</v>
      </c>
      <c r="H2" s="13" t="s">
        <v>33</v>
      </c>
    </row>
    <row r="3" spans="2:8">
      <c r="B3" s="12">
        <v>42125</v>
      </c>
      <c r="C3">
        <v>20</v>
      </c>
      <c r="D3">
        <v>26</v>
      </c>
      <c r="E3">
        <v>23</v>
      </c>
    </row>
    <row r="4" spans="2:8">
      <c r="B4" s="12">
        <v>42156</v>
      </c>
      <c r="C4">
        <v>28</v>
      </c>
      <c r="D4">
        <v>21</v>
      </c>
      <c r="E4">
        <v>23</v>
      </c>
    </row>
    <row r="5" spans="2:8">
      <c r="B5" s="12">
        <v>42186</v>
      </c>
      <c r="C5">
        <v>27</v>
      </c>
      <c r="D5">
        <v>16</v>
      </c>
      <c r="E5">
        <v>12</v>
      </c>
      <c r="G5">
        <v>27</v>
      </c>
    </row>
    <row r="6" spans="2:8">
      <c r="B6" s="12">
        <v>42217</v>
      </c>
      <c r="C6">
        <v>11</v>
      </c>
      <c r="D6">
        <v>9</v>
      </c>
      <c r="E6">
        <v>15</v>
      </c>
      <c r="G6">
        <v>15</v>
      </c>
    </row>
    <row r="7" spans="2:8">
      <c r="B7" s="12">
        <v>42248</v>
      </c>
      <c r="C7">
        <v>23</v>
      </c>
      <c r="D7">
        <v>13</v>
      </c>
      <c r="E7">
        <v>11</v>
      </c>
      <c r="G7">
        <v>58</v>
      </c>
    </row>
    <row r="8" spans="2:8">
      <c r="B8" s="12">
        <v>42278</v>
      </c>
      <c r="C8">
        <v>31</v>
      </c>
      <c r="D8">
        <v>16</v>
      </c>
      <c r="E8">
        <v>21</v>
      </c>
      <c r="G8">
        <v>60</v>
      </c>
    </row>
    <row r="9" spans="2:8">
      <c r="B9" s="12">
        <v>42309</v>
      </c>
      <c r="C9">
        <v>22</v>
      </c>
      <c r="D9">
        <v>17</v>
      </c>
      <c r="E9">
        <v>9</v>
      </c>
      <c r="G9">
        <v>76</v>
      </c>
    </row>
    <row r="10" spans="2:8">
      <c r="B10" s="12">
        <v>42339</v>
      </c>
      <c r="C10">
        <v>26</v>
      </c>
      <c r="D10">
        <v>21</v>
      </c>
      <c r="E10">
        <v>19</v>
      </c>
      <c r="G10">
        <v>81</v>
      </c>
      <c r="H10">
        <v>12</v>
      </c>
    </row>
    <row r="11" spans="2:8">
      <c r="B11" s="12">
        <v>42370</v>
      </c>
      <c r="C11">
        <v>18</v>
      </c>
      <c r="D11">
        <v>12</v>
      </c>
      <c r="E11">
        <v>8</v>
      </c>
      <c r="G11">
        <v>39</v>
      </c>
      <c r="H11">
        <v>9</v>
      </c>
    </row>
    <row r="12" spans="2:8">
      <c r="B12" s="12">
        <v>42401</v>
      </c>
      <c r="C12">
        <v>38</v>
      </c>
      <c r="D12">
        <v>17</v>
      </c>
      <c r="E12">
        <v>21</v>
      </c>
      <c r="G12">
        <v>70</v>
      </c>
      <c r="H12">
        <v>16</v>
      </c>
    </row>
    <row r="13" spans="2:8">
      <c r="B13" s="12">
        <v>42430</v>
      </c>
      <c r="C13">
        <v>29</v>
      </c>
      <c r="D13">
        <v>27</v>
      </c>
      <c r="E13">
        <v>25</v>
      </c>
      <c r="G13">
        <v>71</v>
      </c>
      <c r="H13">
        <v>21</v>
      </c>
    </row>
    <row r="14" spans="2:8">
      <c r="B14" s="12">
        <v>42461</v>
      </c>
      <c r="C14">
        <v>31</v>
      </c>
      <c r="D14">
        <v>20</v>
      </c>
      <c r="E14">
        <v>25</v>
      </c>
      <c r="G14">
        <v>50</v>
      </c>
      <c r="H14">
        <v>25</v>
      </c>
    </row>
    <row r="15" spans="2:8">
      <c r="B15" s="12">
        <v>42491</v>
      </c>
      <c r="C15">
        <v>39</v>
      </c>
      <c r="D15">
        <v>32</v>
      </c>
      <c r="E15">
        <v>50</v>
      </c>
      <c r="G15">
        <v>68</v>
      </c>
      <c r="H15">
        <v>17</v>
      </c>
    </row>
    <row r="16" spans="2:8">
      <c r="B16" s="12">
        <v>42522</v>
      </c>
      <c r="C16">
        <v>43</v>
      </c>
      <c r="D16">
        <v>25</v>
      </c>
      <c r="E16">
        <v>46</v>
      </c>
      <c r="G16">
        <v>69</v>
      </c>
      <c r="H16">
        <v>32</v>
      </c>
    </row>
    <row r="17" spans="2:8">
      <c r="B17" s="12">
        <v>42552</v>
      </c>
      <c r="C17">
        <v>26</v>
      </c>
      <c r="D17">
        <v>17</v>
      </c>
      <c r="E17">
        <v>40</v>
      </c>
      <c r="G17">
        <v>85</v>
      </c>
      <c r="H17">
        <v>17</v>
      </c>
    </row>
    <row r="18" spans="2:8">
      <c r="B18" s="12">
        <v>42583</v>
      </c>
      <c r="C18">
        <v>28</v>
      </c>
      <c r="D18">
        <v>13</v>
      </c>
      <c r="E18">
        <v>22</v>
      </c>
      <c r="G18">
        <v>97</v>
      </c>
      <c r="H18">
        <v>18</v>
      </c>
    </row>
    <row r="19" spans="2:8">
      <c r="B19" s="12">
        <v>42614</v>
      </c>
      <c r="C19">
        <v>40</v>
      </c>
      <c r="D19">
        <v>21</v>
      </c>
      <c r="E19">
        <v>30</v>
      </c>
      <c r="G19">
        <v>86</v>
      </c>
      <c r="H19">
        <v>12</v>
      </c>
    </row>
    <row r="20" spans="2:8">
      <c r="B20" s="12">
        <v>42644</v>
      </c>
      <c r="C20">
        <v>27</v>
      </c>
      <c r="D20">
        <v>25</v>
      </c>
      <c r="E20">
        <v>36</v>
      </c>
      <c r="F20">
        <v>24</v>
      </c>
      <c r="G20">
        <v>131</v>
      </c>
      <c r="H20">
        <v>17</v>
      </c>
    </row>
    <row r="21" spans="2:8" ht="6" customHeight="1"/>
    <row r="22" spans="2:8">
      <c r="B22" t="s">
        <v>34</v>
      </c>
      <c r="C22">
        <f t="shared" ref="C22:H22" si="0">MAX(C3:C20)</f>
        <v>43</v>
      </c>
      <c r="D22">
        <f t="shared" si="0"/>
        <v>32</v>
      </c>
      <c r="E22">
        <f t="shared" si="0"/>
        <v>50</v>
      </c>
      <c r="F22">
        <f t="shared" si="0"/>
        <v>24</v>
      </c>
      <c r="G22">
        <f t="shared" si="0"/>
        <v>131</v>
      </c>
      <c r="H22">
        <f t="shared" si="0"/>
        <v>32</v>
      </c>
    </row>
    <row r="23" spans="2:8">
      <c r="B23" t="s">
        <v>35</v>
      </c>
      <c r="C23">
        <f t="shared" ref="C23:H23" si="1">AVERAGE(C3:C20)</f>
        <v>28.166666666666668</v>
      </c>
      <c r="D23">
        <f t="shared" si="1"/>
        <v>19.333333333333332</v>
      </c>
      <c r="E23">
        <f t="shared" si="1"/>
        <v>24.222222222222221</v>
      </c>
      <c r="F23">
        <f t="shared" si="1"/>
        <v>24</v>
      </c>
      <c r="G23">
        <f t="shared" si="1"/>
        <v>67.6875</v>
      </c>
      <c r="H23">
        <f t="shared" si="1"/>
        <v>17.818181818181817</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5"/>
  <sheetViews>
    <sheetView showGridLines="0" workbookViewId="0"/>
  </sheetViews>
  <sheetFormatPr baseColWidth="10" defaultRowHeight="15" x14ac:dyDescent="0"/>
  <cols>
    <col min="1" max="1" width="7.6640625" customWidth="1"/>
    <col min="2" max="2" width="1" customWidth="1"/>
    <col min="3" max="3" width="21.6640625" customWidth="1"/>
    <col min="4" max="4" width="19.6640625" customWidth="1"/>
  </cols>
  <sheetData>
    <row r="3" spans="2:4" ht="23">
      <c r="B3" s="104"/>
      <c r="C3" s="105" t="s">
        <v>216</v>
      </c>
      <c r="D3" s="105"/>
    </row>
    <row r="4" spans="2:4" ht="32" customHeight="1"/>
    <row r="5" spans="2:4">
      <c r="D5" s="42" t="s">
        <v>154</v>
      </c>
    </row>
    <row r="6" spans="2:4">
      <c r="B6" t="s">
        <v>181</v>
      </c>
      <c r="D6">
        <v>300</v>
      </c>
    </row>
    <row r="7" spans="2:4">
      <c r="B7" t="s">
        <v>178</v>
      </c>
      <c r="D7" s="4">
        <v>0.39560000000000001</v>
      </c>
    </row>
    <row r="8" spans="2:4" ht="7" customHeight="1">
      <c r="D8" s="4"/>
    </row>
    <row r="9" spans="2:4">
      <c r="B9" t="s">
        <v>96</v>
      </c>
      <c r="D9" s="49">
        <v>15053</v>
      </c>
    </row>
    <row r="10" spans="2:4">
      <c r="B10" t="s">
        <v>185</v>
      </c>
      <c r="D10" s="49">
        <v>15483</v>
      </c>
    </row>
    <row r="11" spans="2:4">
      <c r="B11" t="s">
        <v>183</v>
      </c>
      <c r="D11" s="49">
        <v>4500</v>
      </c>
    </row>
    <row r="12" spans="2:4">
      <c r="B12" s="15" t="s">
        <v>182</v>
      </c>
      <c r="C12" s="15"/>
      <c r="D12" s="54">
        <v>29053</v>
      </c>
    </row>
    <row r="13" spans="2:4">
      <c r="B13" t="s">
        <v>184</v>
      </c>
      <c r="D13" s="49">
        <f>SUM(D9:D12)</f>
        <v>64089</v>
      </c>
    </row>
    <row r="14" spans="2:4" ht="16" thickBot="1">
      <c r="D14" s="49"/>
    </row>
    <row r="15" spans="2:4" ht="16" thickBot="1">
      <c r="B15" s="98" t="s">
        <v>156</v>
      </c>
      <c r="C15" s="374"/>
      <c r="D15" s="120">
        <f>D13/D6</f>
        <v>213.63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showGridLines="0" workbookViewId="0">
      <selection activeCell="D15" sqref="D15"/>
    </sheetView>
  </sheetViews>
  <sheetFormatPr baseColWidth="10" defaultRowHeight="15" x14ac:dyDescent="0"/>
  <cols>
    <col min="1" max="1" width="6.1640625" customWidth="1"/>
    <col min="2" max="2" width="1.5" customWidth="1"/>
    <col min="3" max="3" width="34.83203125" customWidth="1"/>
    <col min="4" max="4" width="8" style="50" customWidth="1"/>
    <col min="6" max="6" width="5.6640625" customWidth="1"/>
  </cols>
  <sheetData>
    <row r="2" spans="2:7" ht="31" customHeight="1">
      <c r="B2" s="104"/>
      <c r="C2" s="452" t="s">
        <v>281</v>
      </c>
    </row>
    <row r="3" spans="2:7" ht="17" customHeight="1"/>
    <row r="5" spans="2:7">
      <c r="C5" s="447" t="s">
        <v>278</v>
      </c>
      <c r="D5" s="451">
        <f>'Pro Forma Income Statment'!H66</f>
        <v>1200000</v>
      </c>
    </row>
    <row r="6" spans="2:7" ht="9" customHeight="1">
      <c r="D6" s="375"/>
    </row>
    <row r="7" spans="2:7">
      <c r="C7" s="447" t="s">
        <v>279</v>
      </c>
      <c r="D7" s="375" t="str">
        <f>IF('Consolidated P&amp;L'!G45&gt;0,"Q1 2017",IF('Consolidated P&amp;L'!H45&gt;0,"Q2 2018",IF('Consolidated P&amp;L'!I45&gt;0,"Q3 2017", IF('Consolidated P&amp;L'!J45&gt;0,"Q4 2018",IF('Consolidated P&amp;L'!K45&gt;0,"Q1 2018",IF('Consolidated P&amp;L'!L45&gt;0,"Q2 2018",IF('Consolidated P&amp;L'!M45&gt;0,"Q3 2018",IF('Consolidated P&amp;L'!N45&gt;0,"Q4 2018",IF('Consolidated P&amp;L'!T45&gt;0,"2019","never")))))))))</f>
        <v>Q3 2018</v>
      </c>
    </row>
    <row r="8" spans="2:7" ht="8" customHeight="1"/>
    <row r="9" spans="2:7">
      <c r="C9" s="447" t="s">
        <v>280</v>
      </c>
      <c r="D9" s="449">
        <f>'Salon Model'!R37</f>
        <v>0.47083190604355268</v>
      </c>
    </row>
    <row r="10" spans="2:7" ht="8" customHeight="1">
      <c r="C10" s="447"/>
      <c r="D10" s="375"/>
    </row>
    <row r="11" spans="2:7">
      <c r="C11" s="447" t="s">
        <v>275</v>
      </c>
      <c r="D11" s="375">
        <f>'Salon Schedule'!AE43-'Salon Schedule'!H43</f>
        <v>9</v>
      </c>
      <c r="E11" t="s">
        <v>298</v>
      </c>
    </row>
    <row r="12" spans="2:7" ht="9" customHeight="1">
      <c r="C12" s="447"/>
      <c r="D12" s="375"/>
    </row>
    <row r="13" spans="2:7">
      <c r="C13" s="447" t="s">
        <v>271</v>
      </c>
      <c r="D13" s="448">
        <f>('Consolidated P&amp;L'!P11-'Consolidated P&amp;L'!E11)/'Consolidated P&amp;L'!E11</f>
        <v>2.6329947892581886</v>
      </c>
      <c r="E13" t="s">
        <v>272</v>
      </c>
      <c r="F13" s="448">
        <f>('Consolidated P&amp;L'!R11-'Consolidated P&amp;L'!P11)/'Consolidated P&amp;L'!P11</f>
        <v>0.99206715655133348</v>
      </c>
      <c r="G13" t="s">
        <v>273</v>
      </c>
    </row>
    <row r="14" spans="2:7" ht="9" customHeight="1">
      <c r="C14" s="447"/>
      <c r="D14" s="375"/>
    </row>
    <row r="15" spans="2:7">
      <c r="C15" s="447" t="s">
        <v>274</v>
      </c>
      <c r="D15" s="449">
        <f>'Salon Model'!F39</f>
        <v>0.62652752078553275</v>
      </c>
      <c r="E15" t="s">
        <v>299</v>
      </c>
    </row>
    <row r="16" spans="2:7" ht="9" customHeight="1">
      <c r="C16" s="447"/>
      <c r="D16" s="375"/>
    </row>
    <row r="17" spans="3:4">
      <c r="C17" s="447" t="s">
        <v>276</v>
      </c>
      <c r="D17" s="450">
        <f>'Salon Model'!R38</f>
        <v>0.52718832891246681</v>
      </c>
    </row>
    <row r="18" spans="3:4" ht="9" customHeight="1">
      <c r="C18" s="447"/>
      <c r="D18" s="450"/>
    </row>
    <row r="19" spans="3:4">
      <c r="C19" s="447" t="s">
        <v>277</v>
      </c>
      <c r="D19" s="450">
        <f>'Salon Model'!AC68</f>
        <v>0.40942916666666668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P28"/>
  <sheetViews>
    <sheetView showGridLines="0" workbookViewId="0">
      <selection activeCell="D7" sqref="D7"/>
    </sheetView>
  </sheetViews>
  <sheetFormatPr baseColWidth="10" defaultColWidth="14.1640625" defaultRowHeight="15" x14ac:dyDescent="0"/>
  <cols>
    <col min="1" max="1" width="3.33203125" style="377" customWidth="1"/>
    <col min="2" max="2" width="1.33203125" style="377" customWidth="1"/>
    <col min="3" max="3" width="20.5" style="377" bestFit="1" customWidth="1"/>
    <col min="4" max="4" width="12.83203125" style="377" customWidth="1"/>
    <col min="5" max="5" width="1.1640625" style="377" customWidth="1"/>
    <col min="6" max="13" width="12.83203125" style="377" customWidth="1"/>
    <col min="14" max="14" width="1.5" style="377" customWidth="1"/>
    <col min="15" max="15" width="12.83203125" style="377" customWidth="1"/>
    <col min="16" max="22" width="11.1640625" style="377" bestFit="1" customWidth="1"/>
    <col min="23" max="25" width="10.1640625" style="378" bestFit="1" customWidth="1"/>
    <col min="26" max="85" width="11.1640625" style="378" bestFit="1" customWidth="1"/>
    <col min="86" max="106" width="12.1640625" style="378" bestFit="1" customWidth="1"/>
    <col min="107" max="120" width="14.1640625" style="378"/>
    <col min="121" max="16384" width="14.1640625" style="377"/>
  </cols>
  <sheetData>
    <row r="1" spans="2:120">
      <c r="C1" s="376"/>
      <c r="P1"/>
      <c r="Q1"/>
      <c r="R1"/>
      <c r="S1"/>
      <c r="T1"/>
      <c r="U1"/>
      <c r="V1"/>
      <c r="W1"/>
      <c r="X1"/>
    </row>
    <row r="2" spans="2:120">
      <c r="C2" s="376"/>
      <c r="P2"/>
      <c r="Q2"/>
      <c r="R2"/>
      <c r="S2"/>
      <c r="T2"/>
      <c r="U2"/>
      <c r="V2"/>
      <c r="W2"/>
      <c r="X2"/>
    </row>
    <row r="3" spans="2:120" ht="41" customHeight="1">
      <c r="B3" s="104"/>
      <c r="C3" s="105" t="s">
        <v>215</v>
      </c>
      <c r="P3"/>
      <c r="Q3"/>
      <c r="R3"/>
      <c r="S3"/>
      <c r="T3"/>
      <c r="U3"/>
      <c r="V3"/>
      <c r="W3"/>
      <c r="X3"/>
    </row>
    <row r="4" spans="2:120" ht="17" customHeight="1">
      <c r="B4" s="201"/>
      <c r="C4" s="105"/>
      <c r="P4"/>
      <c r="Q4"/>
      <c r="R4"/>
      <c r="S4"/>
      <c r="T4"/>
      <c r="U4"/>
      <c r="V4"/>
      <c r="W4"/>
      <c r="X4"/>
    </row>
    <row r="5" spans="2:120" ht="16" customHeight="1">
      <c r="D5" s="420"/>
      <c r="E5" s="431"/>
      <c r="F5" s="422">
        <v>2017</v>
      </c>
      <c r="G5" s="422"/>
      <c r="H5" s="422"/>
      <c r="I5" s="422"/>
      <c r="J5" s="428">
        <v>2018</v>
      </c>
      <c r="K5" s="422"/>
      <c r="L5" s="422"/>
      <c r="M5" s="422"/>
      <c r="N5" s="421"/>
      <c r="O5" s="430"/>
      <c r="P5"/>
      <c r="Q5"/>
      <c r="R5"/>
      <c r="S5"/>
      <c r="T5"/>
      <c r="U5"/>
      <c r="V5"/>
      <c r="W5"/>
      <c r="X5"/>
    </row>
    <row r="6" spans="2:120">
      <c r="D6" s="423" t="s">
        <v>199</v>
      </c>
      <c r="E6" s="432"/>
      <c r="F6" s="425" t="s">
        <v>171</v>
      </c>
      <c r="G6" s="426" t="s">
        <v>172</v>
      </c>
      <c r="H6" s="426" t="s">
        <v>173</v>
      </c>
      <c r="I6" s="426" t="s">
        <v>174</v>
      </c>
      <c r="J6" s="429" t="s">
        <v>171</v>
      </c>
      <c r="K6" s="426" t="s">
        <v>172</v>
      </c>
      <c r="L6" s="426" t="s">
        <v>173</v>
      </c>
      <c r="M6" s="427" t="s">
        <v>174</v>
      </c>
      <c r="N6" s="424"/>
      <c r="O6" s="423" t="s">
        <v>202</v>
      </c>
      <c r="P6"/>
      <c r="Q6"/>
      <c r="R6"/>
      <c r="S6"/>
      <c r="T6"/>
      <c r="U6"/>
      <c r="V6"/>
      <c r="W6"/>
      <c r="X6"/>
    </row>
    <row r="7" spans="2:120">
      <c r="C7" s="443" t="s">
        <v>219</v>
      </c>
      <c r="D7" s="437">
        <f>'Consolidated P&amp;L'!E9+'Consolidated P&amp;L'!E8</f>
        <v>503895.752393617</v>
      </c>
      <c r="E7" s="438"/>
      <c r="F7" s="437">
        <f>'Consolidated P&amp;L'!G9+'Consolidated P&amp;L'!G8</f>
        <v>208779.0707900605</v>
      </c>
      <c r="G7" s="437">
        <f>'Consolidated P&amp;L'!H9+'Consolidated P&amp;L'!H8</f>
        <v>375353.77597980353</v>
      </c>
      <c r="H7" s="437">
        <f>'Consolidated P&amp;L'!I9+'Consolidated P&amp;L'!I8</f>
        <v>524276.63013698638</v>
      </c>
      <c r="I7" s="437">
        <f>'Consolidated P&amp;L'!J9+'Consolidated P&amp;L'!J8</f>
        <v>611311.72602739721</v>
      </c>
      <c r="J7" s="438">
        <f>'Consolidated P&amp;L'!K9+'Consolidated P&amp;L'!K8</f>
        <v>713579.17808219185</v>
      </c>
      <c r="K7" s="437">
        <f>'Consolidated P&amp;L'!L9+'Consolidated P&amp;L'!L8</f>
        <v>814917.69863013714</v>
      </c>
      <c r="L7" s="437">
        <f>'Consolidated P&amp;L'!M9+'Consolidated P&amp;L'!M8</f>
        <v>921030.41095890419</v>
      </c>
      <c r="M7" s="437">
        <f>'Consolidated P&amp;L'!N9+'Consolidated P&amp;L'!N8</f>
        <v>1034039.1780821917</v>
      </c>
      <c r="N7" s="437"/>
      <c r="O7" s="438">
        <f>'Consolidated P&amp;L'!T8+'Consolidated P&amp;L'!T9</f>
        <v>5112067.0684931502</v>
      </c>
      <c r="P7" s="440"/>
      <c r="Q7" s="440"/>
      <c r="R7"/>
      <c r="S7"/>
      <c r="T7"/>
      <c r="U7"/>
      <c r="V7"/>
      <c r="W7"/>
      <c r="X7"/>
    </row>
    <row r="8" spans="2:120">
      <c r="C8" s="443" t="s">
        <v>190</v>
      </c>
      <c r="D8" s="437">
        <f>'Consolidated P&amp;L'!E10</f>
        <v>14177.337500000001</v>
      </c>
      <c r="E8" s="438"/>
      <c r="F8" s="437">
        <f>'Consolidated P&amp;L'!G10</f>
        <v>29153.254649598432</v>
      </c>
      <c r="G8" s="437">
        <f>'Consolidated P&amp;L'!H10</f>
        <v>37481.39098400643</v>
      </c>
      <c r="H8" s="437">
        <f>'Consolidated P&amp;L'!I10</f>
        <v>45216.285780280261</v>
      </c>
      <c r="I8" s="437">
        <f>'Consolidated P&amp;L'!J10</f>
        <v>50584.701690266855</v>
      </c>
      <c r="J8" s="438">
        <f>'Consolidated P&amp;L'!K10</f>
        <v>56714.787361670875</v>
      </c>
      <c r="K8" s="437">
        <f>'Consolidated P&amp;L'!L10</f>
        <v>62953.113425090203</v>
      </c>
      <c r="L8" s="437">
        <f>'Consolidated P&amp;L'!M10</f>
        <v>69548.660227109765</v>
      </c>
      <c r="M8" s="437">
        <f>'Consolidated P&amp;L'!N10</f>
        <v>76599.789783373722</v>
      </c>
      <c r="N8" s="437"/>
      <c r="O8" s="438">
        <f>'Consolidated P&amp;L'!T10</f>
        <v>351103.06999266142</v>
      </c>
      <c r="P8" s="440"/>
      <c r="Q8" s="440"/>
      <c r="R8"/>
      <c r="S8"/>
      <c r="T8"/>
      <c r="U8"/>
      <c r="V8"/>
      <c r="W8"/>
      <c r="X8"/>
    </row>
    <row r="9" spans="2:120" s="376" customFormat="1">
      <c r="C9" s="444" t="s">
        <v>110</v>
      </c>
      <c r="D9" s="433">
        <f>SUM(D7:D8)</f>
        <v>518073.08989361703</v>
      </c>
      <c r="E9" s="434"/>
      <c r="F9" s="433">
        <f t="shared" ref="F9" si="0">SUM(F7:F8)</f>
        <v>237932.32543965895</v>
      </c>
      <c r="G9" s="433">
        <f t="shared" ref="G9" si="1">SUM(G7:G8)</f>
        <v>412835.16696380998</v>
      </c>
      <c r="H9" s="433">
        <f t="shared" ref="H9" si="2">SUM(H7:H8)</f>
        <v>569492.91591726663</v>
      </c>
      <c r="I9" s="433">
        <f t="shared" ref="I9" si="3">SUM(I7:I8)</f>
        <v>661896.42771766405</v>
      </c>
      <c r="J9" s="434">
        <f t="shared" ref="J9" si="4">SUM(J7:J8)</f>
        <v>770293.96544386272</v>
      </c>
      <c r="K9" s="433">
        <f t="shared" ref="K9" si="5">SUM(K7:K8)</f>
        <v>877870.81205522735</v>
      </c>
      <c r="L9" s="433">
        <f t="shared" ref="L9" si="6">SUM(L7:L8)</f>
        <v>990579.07118601399</v>
      </c>
      <c r="M9" s="433">
        <f t="shared" ref="M9" si="7">SUM(M7:M8)</f>
        <v>1110638.9678655656</v>
      </c>
      <c r="N9" s="433"/>
      <c r="O9" s="434">
        <f>SUM(O7:O8)</f>
        <v>5463170.1384858117</v>
      </c>
      <c r="P9" s="440"/>
      <c r="Q9" s="440"/>
      <c r="R9"/>
      <c r="S9"/>
      <c r="T9"/>
      <c r="U9"/>
      <c r="V9"/>
      <c r="W9"/>
      <c r="X9"/>
      <c r="Y9" s="378"/>
      <c r="Z9" s="378"/>
      <c r="AA9" s="378"/>
      <c r="AB9" s="378"/>
      <c r="AC9" s="378"/>
      <c r="AD9" s="378"/>
      <c r="AE9" s="378"/>
      <c r="AF9" s="378"/>
      <c r="AG9" s="378"/>
      <c r="AH9" s="378"/>
      <c r="AI9" s="378"/>
      <c r="AJ9" s="378"/>
      <c r="AK9" s="378"/>
      <c r="AL9" s="378"/>
      <c r="AM9" s="378"/>
      <c r="AN9" s="378"/>
      <c r="AO9" s="378"/>
      <c r="AP9" s="378"/>
      <c r="AQ9" s="378"/>
      <c r="AR9" s="378"/>
      <c r="AS9" s="378"/>
      <c r="AT9" s="378"/>
      <c r="AU9" s="378"/>
      <c r="AV9" s="378"/>
      <c r="AW9" s="378"/>
      <c r="AX9" s="378"/>
      <c r="AY9" s="378"/>
      <c r="AZ9" s="378"/>
      <c r="BA9" s="378"/>
      <c r="BB9" s="378"/>
      <c r="BC9" s="378"/>
      <c r="BD9" s="378"/>
      <c r="BE9" s="378"/>
      <c r="BF9" s="378"/>
      <c r="BG9" s="378"/>
      <c r="BH9" s="378"/>
      <c r="BI9" s="378"/>
      <c r="BJ9" s="378"/>
      <c r="BK9" s="378"/>
      <c r="BL9" s="378"/>
      <c r="BM9" s="378"/>
      <c r="BN9" s="378"/>
      <c r="BO9" s="378"/>
      <c r="BP9" s="378"/>
      <c r="BQ9" s="378"/>
      <c r="BR9" s="378"/>
      <c r="BS9" s="378"/>
      <c r="BT9" s="378"/>
      <c r="BU9" s="378"/>
      <c r="BV9" s="378"/>
      <c r="BW9" s="378"/>
      <c r="BX9" s="378"/>
      <c r="BY9" s="378"/>
      <c r="BZ9" s="378"/>
      <c r="CA9" s="378"/>
      <c r="CB9" s="378"/>
      <c r="CC9" s="378"/>
      <c r="CD9" s="378"/>
      <c r="CE9" s="378"/>
      <c r="CF9" s="378"/>
      <c r="CG9" s="378"/>
      <c r="CH9" s="378"/>
      <c r="CI9" s="378"/>
      <c r="CJ9" s="378"/>
      <c r="CK9" s="378"/>
      <c r="CL9" s="378"/>
      <c r="CM9" s="378"/>
      <c r="CN9" s="378"/>
      <c r="CO9" s="378"/>
      <c r="CP9" s="378"/>
      <c r="CQ9" s="378"/>
      <c r="CR9" s="378"/>
      <c r="CS9" s="378"/>
      <c r="CT9" s="378"/>
      <c r="CU9" s="378"/>
      <c r="CV9" s="378"/>
      <c r="CW9" s="378"/>
      <c r="CX9" s="378"/>
      <c r="CY9" s="378"/>
      <c r="CZ9" s="378"/>
      <c r="DA9" s="378"/>
      <c r="DB9" s="378"/>
      <c r="DC9" s="378"/>
      <c r="DD9" s="378"/>
      <c r="DE9" s="378"/>
      <c r="DF9" s="378"/>
      <c r="DG9" s="378"/>
      <c r="DH9" s="378"/>
      <c r="DI9" s="378"/>
      <c r="DJ9" s="378"/>
      <c r="DK9" s="378"/>
      <c r="DL9" s="378"/>
      <c r="DM9" s="378"/>
      <c r="DN9" s="378"/>
      <c r="DO9" s="378"/>
      <c r="DP9" s="378"/>
    </row>
    <row r="10" spans="2:120">
      <c r="C10" s="443"/>
      <c r="D10" s="437"/>
      <c r="E10" s="438"/>
      <c r="F10" s="437"/>
      <c r="G10" s="437"/>
      <c r="H10" s="437"/>
      <c r="I10" s="437"/>
      <c r="J10" s="438"/>
      <c r="K10" s="437"/>
      <c r="L10" s="437"/>
      <c r="M10" s="437"/>
      <c r="N10" s="437"/>
      <c r="O10" s="438"/>
      <c r="P10" s="440"/>
      <c r="Q10" s="440"/>
      <c r="R10"/>
      <c r="S10"/>
      <c r="T10"/>
      <c r="U10"/>
      <c r="V10"/>
      <c r="W10"/>
      <c r="X10"/>
    </row>
    <row r="11" spans="2:120">
      <c r="C11" s="443" t="s">
        <v>220</v>
      </c>
      <c r="D11" s="437">
        <f>'Consolidated P&amp;L'!E30</f>
        <v>-235284.27010638302</v>
      </c>
      <c r="E11" s="438"/>
      <c r="F11" s="437">
        <f>'Consolidated P&amp;L'!G30</f>
        <v>34386.24833611917</v>
      </c>
      <c r="G11" s="437">
        <f>'Consolidated P&amp;L'!H30</f>
        <v>125908.7891735851</v>
      </c>
      <c r="H11" s="437">
        <f>'Consolidated P&amp;L'!I30</f>
        <v>212484.38074603374</v>
      </c>
      <c r="I11" s="437">
        <f>'Consolidated P&amp;L'!J30</f>
        <v>250491.45518341754</v>
      </c>
      <c r="J11" s="438">
        <f>'Consolidated P&amp;L'!K30</f>
        <v>287197.04284112307</v>
      </c>
      <c r="K11" s="437">
        <f>'Consolidated P&amp;L'!L30</f>
        <v>341351.10876755614</v>
      </c>
      <c r="L11" s="437">
        <f>'Consolidated P&amp;L'!M30</f>
        <v>398965.13248738379</v>
      </c>
      <c r="M11" s="437">
        <f>'Consolidated P&amp;L'!N30</f>
        <v>461516.47026282584</v>
      </c>
      <c r="N11" s="437"/>
      <c r="O11" s="438">
        <f>'Consolidated P&amp;L'!T30</f>
        <v>2218034.3611502689</v>
      </c>
      <c r="P11" s="440"/>
      <c r="Q11" s="440"/>
      <c r="R11"/>
      <c r="S11"/>
      <c r="T11"/>
      <c r="U11"/>
      <c r="V11"/>
      <c r="W11"/>
      <c r="X11"/>
    </row>
    <row r="12" spans="2:120">
      <c r="C12" s="443" t="s">
        <v>221</v>
      </c>
      <c r="D12" s="437">
        <v>-10000</v>
      </c>
      <c r="E12" s="438"/>
      <c r="F12" s="437">
        <f>-'Consolidated P&amp;L'!G48*0.25</f>
        <v>-12500</v>
      </c>
      <c r="G12" s="437">
        <f>-'Consolidated P&amp;L'!H48*0.25</f>
        <v>-12500</v>
      </c>
      <c r="H12" s="437">
        <f>-'Consolidated P&amp;L'!I48*0.25</f>
        <v>-12500</v>
      </c>
      <c r="I12" s="437">
        <f>-'Consolidated P&amp;L'!J48*0.25</f>
        <v>-12500</v>
      </c>
      <c r="J12" s="438">
        <f>-'Consolidated P&amp;L'!K48*0.25</f>
        <v>-25000</v>
      </c>
      <c r="K12" s="437">
        <f>-'Consolidated P&amp;L'!L48*0.25</f>
        <v>-12500</v>
      </c>
      <c r="L12" s="437">
        <f>-'Consolidated P&amp;L'!M48*0.25</f>
        <v>-12500</v>
      </c>
      <c r="M12" s="437">
        <f>-'Consolidated P&amp;L'!N48*0.25</f>
        <v>-12500</v>
      </c>
      <c r="N12" s="437"/>
      <c r="O12" s="438">
        <f>-'Consolidated P&amp;L'!T48*0.25</f>
        <v>-50000</v>
      </c>
      <c r="P12" s="440"/>
      <c r="Q12" s="440"/>
      <c r="R12"/>
      <c r="S12"/>
      <c r="T12"/>
      <c r="U12"/>
      <c r="V12"/>
      <c r="W12"/>
      <c r="X12"/>
    </row>
    <row r="13" spans="2:120">
      <c r="C13" s="443" t="s">
        <v>121</v>
      </c>
      <c r="D13" s="437">
        <f>-'Consolidated P&amp;L'!E43</f>
        <v>-530493.46499999997</v>
      </c>
      <c r="E13" s="438"/>
      <c r="F13" s="437">
        <f>-'Consolidated P&amp;L'!G43</f>
        <v>-225160.42508121012</v>
      </c>
      <c r="G13" s="437">
        <f>-'Consolidated P&amp;L'!H43</f>
        <v>-287295.67362755729</v>
      </c>
      <c r="H13" s="437">
        <f>-'Consolidated P&amp;L'!I43</f>
        <v>-299484.03427740885</v>
      </c>
      <c r="I13" s="437">
        <f>-'Consolidated P&amp;L'!J43</f>
        <v>-297995.64725062053</v>
      </c>
      <c r="J13" s="438">
        <f>-'Consolidated P&amp;L'!K43</f>
        <v>-365689.94913304906</v>
      </c>
      <c r="K13" s="437">
        <f>-'Consolidated P&amp;L'!L43</f>
        <v>-374039.10319297924</v>
      </c>
      <c r="L13" s="437">
        <f>-'Consolidated P&amp;L'!M43</f>
        <v>-385942.77793388476</v>
      </c>
      <c r="M13" s="437">
        <f>-'Consolidated P&amp;L'!N43</f>
        <v>-397759.76153276837</v>
      </c>
      <c r="N13" s="437"/>
      <c r="O13" s="438">
        <f>-'Consolidated P&amp;L'!T43</f>
        <v>-1907192.4600705041</v>
      </c>
      <c r="P13" s="440"/>
      <c r="Q13" s="440"/>
      <c r="R13"/>
      <c r="S13"/>
      <c r="T13"/>
      <c r="U13"/>
      <c r="V13"/>
      <c r="W13"/>
      <c r="X13"/>
    </row>
    <row r="14" spans="2:120" s="376" customFormat="1">
      <c r="C14" s="444" t="s">
        <v>222</v>
      </c>
      <c r="D14" s="433">
        <f>SUM(D11:D13)</f>
        <v>-775777.73510638298</v>
      </c>
      <c r="E14" s="434"/>
      <c r="F14" s="433">
        <f t="shared" ref="F14" si="8">SUM(F11:F13)</f>
        <v>-203274.17674509095</v>
      </c>
      <c r="G14" s="433">
        <f t="shared" ref="G14" si="9">SUM(G11:G13)</f>
        <v>-173886.88445397219</v>
      </c>
      <c r="H14" s="433">
        <f t="shared" ref="H14" si="10">SUM(H11:H13)</f>
        <v>-99499.653531375108</v>
      </c>
      <c r="I14" s="433">
        <f t="shared" ref="I14" si="11">SUM(I11:I13)</f>
        <v>-60004.192067202996</v>
      </c>
      <c r="J14" s="434">
        <f t="shared" ref="J14" si="12">SUM(J11:J13)</f>
        <v>-103492.90629192599</v>
      </c>
      <c r="K14" s="433">
        <f t="shared" ref="K14" si="13">SUM(K11:K13)</f>
        <v>-45187.994425423094</v>
      </c>
      <c r="L14" s="433">
        <f t="shared" ref="L14" si="14">SUM(L11:L13)</f>
        <v>522.35455349902622</v>
      </c>
      <c r="M14" s="433">
        <f t="shared" ref="M14" si="15">SUM(M11:M13)</f>
        <v>51256.708730057464</v>
      </c>
      <c r="N14" s="433"/>
      <c r="O14" s="434">
        <f>SUM(O11:O13)</f>
        <v>260841.90107976482</v>
      </c>
      <c r="P14" s="440"/>
      <c r="Q14" s="440"/>
      <c r="R14"/>
      <c r="S14"/>
      <c r="T14"/>
      <c r="U14"/>
      <c r="V14"/>
      <c r="W14"/>
      <c r="X14"/>
      <c r="Y14" s="378"/>
      <c r="Z14" s="378"/>
      <c r="AA14" s="378"/>
      <c r="AB14" s="378"/>
      <c r="AC14" s="378"/>
      <c r="AD14" s="378"/>
      <c r="AE14" s="378"/>
      <c r="AF14" s="378"/>
      <c r="AG14" s="378"/>
      <c r="AH14" s="378"/>
      <c r="AI14" s="378"/>
      <c r="AJ14" s="378"/>
      <c r="AK14" s="378"/>
      <c r="AL14" s="378"/>
      <c r="AM14" s="378"/>
      <c r="AN14" s="378"/>
      <c r="AO14" s="378"/>
      <c r="AP14" s="378"/>
      <c r="AQ14" s="378"/>
      <c r="AR14" s="378"/>
      <c r="AS14" s="378"/>
      <c r="AT14" s="378"/>
      <c r="AU14" s="378"/>
      <c r="AV14" s="378"/>
      <c r="AW14" s="378"/>
      <c r="AX14" s="378"/>
      <c r="AY14" s="378"/>
      <c r="AZ14" s="378"/>
      <c r="BA14" s="378"/>
      <c r="BB14" s="378"/>
      <c r="BC14" s="378"/>
      <c r="BD14" s="378"/>
      <c r="BE14" s="378"/>
      <c r="BF14" s="378"/>
      <c r="BG14" s="378"/>
      <c r="BH14" s="378"/>
      <c r="BI14" s="378"/>
      <c r="BJ14" s="378"/>
      <c r="BK14" s="378"/>
      <c r="BL14" s="378"/>
      <c r="BM14" s="378"/>
      <c r="BN14" s="378"/>
      <c r="BO14" s="378"/>
      <c r="BP14" s="378"/>
      <c r="BQ14" s="378"/>
      <c r="BR14" s="378"/>
      <c r="BS14" s="378"/>
      <c r="BT14" s="378"/>
      <c r="BU14" s="378"/>
      <c r="BV14" s="378"/>
      <c r="BW14" s="378"/>
      <c r="BX14" s="378"/>
      <c r="BY14" s="378"/>
      <c r="BZ14" s="378"/>
      <c r="CA14" s="378"/>
      <c r="CB14" s="378"/>
      <c r="CC14" s="378"/>
      <c r="CD14" s="378"/>
      <c r="CE14" s="378"/>
      <c r="CF14" s="378"/>
      <c r="CG14" s="378"/>
      <c r="CH14" s="378"/>
      <c r="CI14" s="378"/>
      <c r="CJ14" s="378"/>
      <c r="CK14" s="378"/>
      <c r="CL14" s="378"/>
      <c r="CM14" s="378"/>
      <c r="CN14" s="378"/>
      <c r="CO14" s="378"/>
      <c r="CP14" s="378"/>
      <c r="CQ14" s="378"/>
      <c r="CR14" s="378"/>
      <c r="CS14" s="378"/>
      <c r="CT14" s="378"/>
      <c r="CU14" s="378"/>
      <c r="CV14" s="378"/>
      <c r="CW14" s="378"/>
      <c r="CX14" s="378"/>
      <c r="CY14" s="378"/>
      <c r="CZ14" s="378"/>
      <c r="DA14" s="378"/>
      <c r="DB14" s="378"/>
      <c r="DC14" s="378"/>
      <c r="DD14" s="378"/>
      <c r="DE14" s="378"/>
      <c r="DF14" s="378"/>
      <c r="DG14" s="378"/>
      <c r="DH14" s="378"/>
      <c r="DI14" s="378"/>
      <c r="DJ14" s="378"/>
      <c r="DK14" s="378"/>
      <c r="DL14" s="378"/>
      <c r="DM14" s="378"/>
      <c r="DN14" s="378"/>
      <c r="DO14" s="378"/>
      <c r="DP14" s="378"/>
    </row>
    <row r="15" spans="2:120">
      <c r="C15" s="443"/>
      <c r="D15" s="437"/>
      <c r="E15" s="438"/>
      <c r="F15" s="437"/>
      <c r="G15" s="437"/>
      <c r="H15" s="437"/>
      <c r="I15" s="437"/>
      <c r="J15" s="438"/>
      <c r="K15" s="437"/>
      <c r="L15" s="437"/>
      <c r="M15" s="437"/>
      <c r="N15" s="437"/>
      <c r="O15" s="438"/>
      <c r="P15" s="440"/>
      <c r="Q15" s="440"/>
      <c r="R15"/>
      <c r="S15"/>
      <c r="T15"/>
      <c r="U15"/>
      <c r="V15"/>
      <c r="W15"/>
      <c r="X15"/>
    </row>
    <row r="16" spans="2:120">
      <c r="C16" s="444" t="s">
        <v>223</v>
      </c>
      <c r="D16" s="435"/>
      <c r="E16" s="436"/>
      <c r="F16" s="437"/>
      <c r="G16" s="437"/>
      <c r="H16" s="437"/>
      <c r="I16" s="437"/>
      <c r="J16" s="438"/>
      <c r="K16" s="437"/>
      <c r="L16" s="437"/>
      <c r="M16" s="437"/>
      <c r="N16" s="437"/>
      <c r="O16" s="438"/>
      <c r="P16" s="440"/>
      <c r="Q16" s="440"/>
      <c r="R16"/>
      <c r="S16"/>
      <c r="T16"/>
      <c r="U16"/>
      <c r="V16"/>
      <c r="W16"/>
      <c r="X16"/>
    </row>
    <row r="17" spans="3:24">
      <c r="C17" s="443" t="s">
        <v>224</v>
      </c>
      <c r="D17" s="437">
        <v>-40000</v>
      </c>
      <c r="E17" s="438"/>
      <c r="F17" s="437">
        <f>-'Consolidated P&amp;L'!G48*0.75</f>
        <v>-37500</v>
      </c>
      <c r="G17" s="437">
        <f>-'Consolidated P&amp;L'!H48*0.75</f>
        <v>-37500</v>
      </c>
      <c r="H17" s="437">
        <f>-'Consolidated P&amp;L'!I48*0.75</f>
        <v>-37500</v>
      </c>
      <c r="I17" s="437">
        <f>-'Consolidated P&amp;L'!J48*0.75</f>
        <v>-37500</v>
      </c>
      <c r="J17" s="438">
        <f>-'Consolidated P&amp;L'!K48*0.75</f>
        <v>-75000</v>
      </c>
      <c r="K17" s="437">
        <f>-'Consolidated P&amp;L'!L48*0.75</f>
        <v>-37500</v>
      </c>
      <c r="L17" s="437">
        <f>-'Consolidated P&amp;L'!M48*0.75</f>
        <v>-37500</v>
      </c>
      <c r="M17" s="437">
        <f>-'Consolidated P&amp;L'!N48*0.75</f>
        <v>-37500</v>
      </c>
      <c r="N17" s="437"/>
      <c r="O17" s="438">
        <f>-'Consolidated P&amp;L'!T48*0.75</f>
        <v>-150000</v>
      </c>
      <c r="P17" s="440"/>
      <c r="Q17" s="440"/>
      <c r="R17"/>
      <c r="S17"/>
      <c r="T17"/>
      <c r="U17"/>
      <c r="V17"/>
      <c r="W17"/>
      <c r="X17"/>
    </row>
    <row r="18" spans="3:24">
      <c r="C18" s="444" t="s">
        <v>225</v>
      </c>
      <c r="D18" s="435"/>
      <c r="E18" s="436"/>
      <c r="F18" s="435"/>
      <c r="G18" s="435"/>
      <c r="H18" s="435"/>
      <c r="I18" s="435"/>
      <c r="J18" s="436"/>
      <c r="K18" s="435"/>
      <c r="L18" s="435"/>
      <c r="M18" s="435"/>
      <c r="N18" s="435"/>
      <c r="O18" s="436"/>
      <c r="P18" s="440"/>
      <c r="Q18" s="440"/>
      <c r="R18"/>
      <c r="S18"/>
      <c r="T18"/>
      <c r="U18"/>
      <c r="V18"/>
      <c r="W18"/>
      <c r="X18"/>
    </row>
    <row r="19" spans="3:24">
      <c r="C19" s="443" t="s">
        <v>226</v>
      </c>
      <c r="D19" s="437">
        <v>0</v>
      </c>
      <c r="E19" s="438"/>
      <c r="F19" s="437">
        <f>'Pro Forma Income Statment'!H66</f>
        <v>1200000</v>
      </c>
      <c r="G19" s="437">
        <v>0</v>
      </c>
      <c r="H19" s="437">
        <v>0</v>
      </c>
      <c r="I19" s="437">
        <v>0</v>
      </c>
      <c r="J19" s="438">
        <v>0</v>
      </c>
      <c r="K19" s="437">
        <v>0</v>
      </c>
      <c r="L19" s="437">
        <v>0</v>
      </c>
      <c r="M19" s="437">
        <v>0</v>
      </c>
      <c r="N19" s="437"/>
      <c r="O19" s="438">
        <v>0</v>
      </c>
      <c r="P19" s="440"/>
      <c r="Q19" s="440"/>
      <c r="R19"/>
      <c r="S19"/>
      <c r="T19"/>
      <c r="U19"/>
      <c r="V19"/>
      <c r="W19"/>
      <c r="X19"/>
    </row>
    <row r="20" spans="3:24">
      <c r="C20" s="443"/>
      <c r="D20" s="435"/>
      <c r="E20" s="436"/>
      <c r="F20" s="435"/>
      <c r="G20" s="435"/>
      <c r="H20" s="435"/>
      <c r="I20" s="435"/>
      <c r="J20" s="436"/>
      <c r="K20" s="435"/>
      <c r="L20" s="435"/>
      <c r="M20" s="435"/>
      <c r="N20" s="435"/>
      <c r="O20" s="436"/>
      <c r="P20" s="440"/>
      <c r="Q20" s="440"/>
      <c r="R20"/>
      <c r="S20"/>
      <c r="T20"/>
      <c r="U20"/>
      <c r="V20"/>
      <c r="W20"/>
      <c r="X20"/>
    </row>
    <row r="21" spans="3:24">
      <c r="C21" s="444" t="s">
        <v>227</v>
      </c>
      <c r="D21" s="433">
        <f t="shared" ref="D21:F21" si="16">SUM(D14,D17,D19)</f>
        <v>-815777.73510638298</v>
      </c>
      <c r="E21" s="434"/>
      <c r="F21" s="433">
        <f t="shared" si="16"/>
        <v>959225.82325490902</v>
      </c>
      <c r="G21" s="433">
        <f t="shared" ref="G21:O21" si="17">SUM(G14,G17,G19)</f>
        <v>-211386.88445397219</v>
      </c>
      <c r="H21" s="433">
        <f t="shared" si="17"/>
        <v>-136999.65353137511</v>
      </c>
      <c r="I21" s="433">
        <f t="shared" si="17"/>
        <v>-97504.192067202996</v>
      </c>
      <c r="J21" s="434">
        <f t="shared" si="17"/>
        <v>-178492.90629192599</v>
      </c>
      <c r="K21" s="433">
        <f t="shared" si="17"/>
        <v>-82687.994425423094</v>
      </c>
      <c r="L21" s="433">
        <f t="shared" si="17"/>
        <v>-36977.645446500974</v>
      </c>
      <c r="M21" s="433">
        <f t="shared" si="17"/>
        <v>13756.708730057464</v>
      </c>
      <c r="N21" s="433"/>
      <c r="O21" s="434">
        <f t="shared" si="17"/>
        <v>110841.90107976482</v>
      </c>
      <c r="P21" s="440"/>
      <c r="Q21" s="440"/>
      <c r="R21"/>
      <c r="S21"/>
      <c r="T21"/>
      <c r="U21"/>
      <c r="V21"/>
      <c r="W21"/>
      <c r="X21"/>
    </row>
    <row r="22" spans="3:24">
      <c r="C22" s="443"/>
      <c r="D22" s="437"/>
      <c r="E22" s="438"/>
      <c r="F22" s="437"/>
      <c r="G22" s="437"/>
      <c r="H22" s="437"/>
      <c r="I22" s="437"/>
      <c r="J22" s="438"/>
      <c r="K22" s="437"/>
      <c r="L22" s="437"/>
      <c r="M22" s="437"/>
      <c r="N22" s="437"/>
      <c r="O22" s="438"/>
      <c r="P22" s="440"/>
      <c r="Q22" s="440"/>
      <c r="R22"/>
      <c r="S22"/>
      <c r="T22"/>
      <c r="U22"/>
      <c r="V22"/>
      <c r="W22"/>
      <c r="X22"/>
    </row>
    <row r="23" spans="3:24">
      <c r="C23" s="443" t="s">
        <v>228</v>
      </c>
      <c r="D23" s="437">
        <v>692687</v>
      </c>
      <c r="E23" s="438"/>
      <c r="F23" s="437">
        <f>D25</f>
        <v>-123090.73510638298</v>
      </c>
      <c r="G23" s="437">
        <f>F25</f>
        <v>836135.08814852603</v>
      </c>
      <c r="H23" s="437">
        <f t="shared" ref="H23:M23" si="18">G25</f>
        <v>624748.20369455381</v>
      </c>
      <c r="I23" s="437">
        <f t="shared" si="18"/>
        <v>487748.5501631787</v>
      </c>
      <c r="J23" s="438">
        <f t="shared" si="18"/>
        <v>390244.35809597571</v>
      </c>
      <c r="K23" s="437">
        <f t="shared" si="18"/>
        <v>211751.45180404972</v>
      </c>
      <c r="L23" s="437">
        <f t="shared" si="18"/>
        <v>129063.45737862663</v>
      </c>
      <c r="M23" s="437">
        <f t="shared" si="18"/>
        <v>92085.811932125653</v>
      </c>
      <c r="N23" s="437"/>
      <c r="O23" s="438">
        <f>M25</f>
        <v>105842.52066218312</v>
      </c>
      <c r="P23" s="440"/>
      <c r="Q23" s="440"/>
      <c r="R23"/>
      <c r="S23"/>
      <c r="T23"/>
      <c r="U23"/>
      <c r="V23"/>
      <c r="W23"/>
      <c r="X23"/>
    </row>
    <row r="24" spans="3:24">
      <c r="C24" s="443"/>
      <c r="D24" s="437"/>
      <c r="E24" s="438"/>
      <c r="F24" s="437"/>
      <c r="G24" s="437"/>
      <c r="H24" s="437"/>
      <c r="I24" s="437"/>
      <c r="J24" s="438"/>
      <c r="K24" s="437"/>
      <c r="L24" s="437"/>
      <c r="M24" s="437"/>
      <c r="N24" s="437"/>
      <c r="O24" s="438"/>
      <c r="P24" s="440"/>
      <c r="Q24" s="440"/>
      <c r="R24"/>
      <c r="S24"/>
      <c r="T24"/>
      <c r="U24"/>
      <c r="V24"/>
      <c r="W24"/>
      <c r="X24"/>
    </row>
    <row r="25" spans="3:24">
      <c r="C25" s="444" t="s">
        <v>229</v>
      </c>
      <c r="D25" s="441">
        <f>SUM(D21:D24)</f>
        <v>-123090.73510638298</v>
      </c>
      <c r="E25" s="442"/>
      <c r="F25" s="441">
        <f t="shared" ref="F25" si="19">SUM(F21:F24)</f>
        <v>836135.08814852603</v>
      </c>
      <c r="G25" s="441">
        <f t="shared" ref="G25" si="20">SUM(G21:G24)</f>
        <v>624748.20369455381</v>
      </c>
      <c r="H25" s="441">
        <f t="shared" ref="H25" si="21">SUM(H21:H24)</f>
        <v>487748.5501631787</v>
      </c>
      <c r="I25" s="441">
        <f t="shared" ref="I25" si="22">SUM(I21:I24)</f>
        <v>390244.35809597571</v>
      </c>
      <c r="J25" s="442">
        <f t="shared" ref="J25" si="23">SUM(J21:J24)</f>
        <v>211751.45180404972</v>
      </c>
      <c r="K25" s="441">
        <f t="shared" ref="K25" si="24">SUM(K21:K24)</f>
        <v>129063.45737862663</v>
      </c>
      <c r="L25" s="441">
        <f t="shared" ref="L25" si="25">SUM(L21:L24)</f>
        <v>92085.811932125653</v>
      </c>
      <c r="M25" s="441">
        <f t="shared" ref="M25" si="26">SUM(M21:M24)</f>
        <v>105842.52066218312</v>
      </c>
      <c r="N25" s="441"/>
      <c r="O25" s="442">
        <f>O23+O21</f>
        <v>216684.42174194794</v>
      </c>
      <c r="P25" s="440"/>
      <c r="Q25" s="440"/>
      <c r="R25"/>
      <c r="S25"/>
      <c r="T25"/>
      <c r="U25"/>
      <c r="V25"/>
      <c r="W25"/>
      <c r="X25"/>
    </row>
    <row r="26" spans="3:24">
      <c r="C26" s="439"/>
      <c r="D26" s="439"/>
      <c r="E26" s="439"/>
      <c r="F26" s="439"/>
      <c r="G26" s="439"/>
      <c r="H26" s="439"/>
      <c r="I26" s="439"/>
      <c r="J26" s="439"/>
      <c r="K26" s="439"/>
      <c r="L26" s="439"/>
      <c r="M26" s="439"/>
      <c r="N26" s="439"/>
      <c r="O26" s="439"/>
      <c r="P26" s="440"/>
      <c r="Q26" s="440"/>
      <c r="R26"/>
      <c r="S26"/>
      <c r="T26"/>
      <c r="U26"/>
      <c r="V26"/>
      <c r="W26"/>
      <c r="X26"/>
    </row>
    <row r="27" spans="3:24">
      <c r="P27"/>
      <c r="Q27"/>
      <c r="R27"/>
      <c r="S27"/>
      <c r="T27"/>
      <c r="U27"/>
      <c r="V27"/>
      <c r="W27"/>
      <c r="X27"/>
    </row>
    <row r="28" spans="3:24">
      <c r="P28"/>
      <c r="Q28"/>
      <c r="R28"/>
      <c r="S28"/>
      <c r="T28"/>
      <c r="U28"/>
      <c r="V28"/>
      <c r="W28"/>
      <c r="X28"/>
    </row>
  </sheetData>
  <pageMargins left="0.7" right="0.7" top="0.75" bottom="0.75" header="0.3" footer="0.3"/>
  <pageSetup orientation="portrait"/>
  <ignoredErrors>
    <ignoredError sqref="F25:M25 D25"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50"/>
  <sheetViews>
    <sheetView showGridLines="0" workbookViewId="0">
      <selection activeCell="C4" sqref="C4"/>
    </sheetView>
  </sheetViews>
  <sheetFormatPr baseColWidth="10" defaultRowHeight="15" x14ac:dyDescent="0"/>
  <cols>
    <col min="1" max="1" width="5.83203125" customWidth="1"/>
    <col min="2" max="2" width="1" customWidth="1"/>
    <col min="3" max="3" width="31.33203125" customWidth="1"/>
    <col min="4" max="4" width="1.33203125" customWidth="1"/>
    <col min="5" max="5" width="12" bestFit="1" customWidth="1"/>
    <col min="6" max="6" width="1.6640625" customWidth="1"/>
    <col min="7" max="13" width="12" bestFit="1" customWidth="1"/>
    <col min="14" max="14" width="11.83203125" bestFit="1" customWidth="1"/>
    <col min="15" max="15" width="1.83203125" customWidth="1"/>
    <col min="16" max="16" width="11.6640625" customWidth="1"/>
    <col min="17" max="17" width="1.33203125" style="171" customWidth="1"/>
    <col min="18" max="18" width="12.1640625" customWidth="1"/>
    <col min="19" max="19" width="1.6640625" style="171" customWidth="1"/>
    <col min="20" max="20" width="11.33203125" customWidth="1"/>
  </cols>
  <sheetData>
    <row r="3" spans="2:20" ht="33" customHeight="1">
      <c r="B3" s="104"/>
      <c r="C3" s="105" t="s">
        <v>215</v>
      </c>
      <c r="D3" s="105"/>
    </row>
    <row r="5" spans="2:20">
      <c r="F5" s="173"/>
      <c r="G5" s="180">
        <v>2017</v>
      </c>
      <c r="H5" s="180"/>
      <c r="I5" s="180"/>
      <c r="J5" s="180"/>
      <c r="K5" s="247">
        <v>2018</v>
      </c>
      <c r="L5" s="180"/>
      <c r="M5" s="180"/>
      <c r="N5" s="180"/>
      <c r="O5" s="173"/>
    </row>
    <row r="6" spans="2:20">
      <c r="E6" s="181" t="s">
        <v>199</v>
      </c>
      <c r="F6" s="185"/>
      <c r="G6" s="182" t="s">
        <v>171</v>
      </c>
      <c r="H6" s="183" t="s">
        <v>172</v>
      </c>
      <c r="I6" s="183" t="s">
        <v>173</v>
      </c>
      <c r="J6" s="183" t="s">
        <v>174</v>
      </c>
      <c r="K6" s="248" t="s">
        <v>171</v>
      </c>
      <c r="L6" s="183" t="s">
        <v>172</v>
      </c>
      <c r="M6" s="183" t="s">
        <v>173</v>
      </c>
      <c r="N6" s="184" t="s">
        <v>174</v>
      </c>
      <c r="O6" s="185"/>
      <c r="P6" s="181" t="s">
        <v>200</v>
      </c>
      <c r="Q6" s="175"/>
      <c r="R6" s="181" t="s">
        <v>201</v>
      </c>
      <c r="S6" s="175"/>
      <c r="T6" s="181" t="s">
        <v>202</v>
      </c>
    </row>
    <row r="7" spans="2:20" s="1" customFormat="1">
      <c r="B7" s="1" t="s">
        <v>109</v>
      </c>
      <c r="F7" s="186"/>
      <c r="K7" s="249"/>
      <c r="O7" s="186"/>
      <c r="Q7" s="174"/>
      <c r="S7" s="174"/>
    </row>
    <row r="8" spans="2:20">
      <c r="C8" t="s">
        <v>188</v>
      </c>
      <c r="E8" s="21">
        <f>'Pro Forma Income Statment'!G7</f>
        <v>395101.91489361698</v>
      </c>
      <c r="F8" s="187"/>
      <c r="G8" s="21">
        <f>SUM('Pro Forma Income Statment'!I7:K7)</f>
        <v>156311.91119236749</v>
      </c>
      <c r="H8" s="21">
        <f>SUM('Pro Forma Income Statment'!L7:N7)</f>
        <v>283495.09044869943</v>
      </c>
      <c r="I8" s="21">
        <f>SUM('Pro Forma Income Statment'!O7:Q7)</f>
        <v>397305.69863013702</v>
      </c>
      <c r="J8" s="21">
        <f>SUM('Pro Forma Income Statment'!R7:T7)</f>
        <v>463410.73972602736</v>
      </c>
      <c r="K8" s="250">
        <f>SUM('Pro Forma Income Statment'!U7:W7)</f>
        <v>540848.21917808219</v>
      </c>
      <c r="L8" s="21">
        <f>SUM('Pro Forma Income Statment'!X7:Z7)</f>
        <v>618119.01369863027</v>
      </c>
      <c r="M8" s="21">
        <f>SUM('Pro Forma Income Statment'!AA7:AC7)</f>
        <v>699055.89041095902</v>
      </c>
      <c r="N8" s="21">
        <f>SUM('Pro Forma Income Statment'!AD7:AF7)</f>
        <v>785288.21917808219</v>
      </c>
      <c r="O8" s="187"/>
      <c r="P8" s="21">
        <f>SUM(G8:J8)</f>
        <v>1300523.4399972311</v>
      </c>
      <c r="Q8" s="176"/>
      <c r="R8" s="24">
        <f>SUM(K8:O8)</f>
        <v>2643311.3424657537</v>
      </c>
      <c r="S8" s="178"/>
      <c r="T8" s="24">
        <f>'Pro Forma Income Statment'!AK7</f>
        <v>3886177.3150684931</v>
      </c>
    </row>
    <row r="9" spans="2:20">
      <c r="C9" t="s">
        <v>189</v>
      </c>
      <c r="E9" s="21">
        <f>'Pro Forma Income Statment'!G9</f>
        <v>108793.83750000001</v>
      </c>
      <c r="F9" s="187"/>
      <c r="G9" s="21">
        <f>SUM('Pro Forma Income Statment'!I9:K9)</f>
        <v>52467.159597692997</v>
      </c>
      <c r="H9" s="21">
        <f>SUM('Pro Forma Income Statment'!L9:N9)</f>
        <v>91858.685531104071</v>
      </c>
      <c r="I9" s="21">
        <f>SUM('Pro Forma Income Statment'!O9:Q9)</f>
        <v>126970.93150684933</v>
      </c>
      <c r="J9" s="21">
        <f>SUM('Pro Forma Income Statment'!R9:T9)</f>
        <v>147900.98630136988</v>
      </c>
      <c r="K9" s="250">
        <f>SUM('Pro Forma Income Statment'!U9:W9)</f>
        <v>172730.9589041096</v>
      </c>
      <c r="L9" s="21">
        <f>SUM('Pro Forma Income Statment'!X9:Z9)</f>
        <v>196798.68493150687</v>
      </c>
      <c r="M9" s="21">
        <f>SUM('Pro Forma Income Statment'!AA9:AC9)</f>
        <v>221974.5205479452</v>
      </c>
      <c r="N9" s="21">
        <f>SUM('Pro Forma Income Statment'!AD9:AF9)</f>
        <v>248750.95890410958</v>
      </c>
      <c r="O9" s="187"/>
      <c r="P9" s="21">
        <f>SUM(G9:J9)</f>
        <v>419197.7629370162</v>
      </c>
      <c r="Q9" s="176"/>
      <c r="R9" s="24">
        <f t="shared" ref="R9:R45" si="0">SUM(K9:O9)</f>
        <v>840255.12328767125</v>
      </c>
      <c r="S9" s="178"/>
      <c r="T9" s="24">
        <f>'Pro Forma Income Statment'!AK9</f>
        <v>1225889.7534246575</v>
      </c>
    </row>
    <row r="10" spans="2:20">
      <c r="B10" s="15"/>
      <c r="C10" s="15" t="s">
        <v>190</v>
      </c>
      <c r="E10" s="22">
        <f>'Pro Forma Income Statment'!G11+'Pro Forma Income Statment'!G12</f>
        <v>14177.337500000001</v>
      </c>
      <c r="F10" s="188"/>
      <c r="G10" s="22">
        <f>SUM('Pro Forma Income Statment'!I11:K11)+SUM('Pro Forma Income Statment'!I12:K12)</f>
        <v>29153.254649598432</v>
      </c>
      <c r="H10" s="22">
        <f>SUM('Pro Forma Income Statment'!L11:N11)+SUM('Pro Forma Income Statment'!L12:N12)</f>
        <v>37481.39098400643</v>
      </c>
      <c r="I10" s="22">
        <f>SUM('Pro Forma Income Statment'!O11:Q11)+SUM('Pro Forma Income Statment'!O12:Q12)</f>
        <v>45216.285780280261</v>
      </c>
      <c r="J10" s="22">
        <f>SUM('Pro Forma Income Statment'!R11:T11)+SUM('Pro Forma Income Statment'!R12:T12)</f>
        <v>50584.701690266855</v>
      </c>
      <c r="K10" s="251">
        <f>SUM('Pro Forma Income Statment'!U11:W11)+SUM('Pro Forma Income Statment'!U12:W12)</f>
        <v>56714.787361670875</v>
      </c>
      <c r="L10" s="22">
        <f>SUM('Pro Forma Income Statment'!X11:Z11)+SUM('Pro Forma Income Statment'!X12:Z12)</f>
        <v>62953.113425090203</v>
      </c>
      <c r="M10" s="22">
        <f>SUM('Pro Forma Income Statment'!AA11:AC11)+SUM('Pro Forma Income Statment'!AA12:AC12)</f>
        <v>69548.660227109765</v>
      </c>
      <c r="N10" s="22">
        <f>SUM('Pro Forma Income Statment'!AD11:AF11)+SUM('Pro Forma Income Statment'!AD12:AF12)</f>
        <v>76599.789783373722</v>
      </c>
      <c r="O10" s="188"/>
      <c r="P10" s="22">
        <f>SUM(G10:J10)</f>
        <v>162435.63310415199</v>
      </c>
      <c r="Q10" s="176"/>
      <c r="R10" s="160">
        <f t="shared" si="0"/>
        <v>265816.35079724458</v>
      </c>
      <c r="S10" s="178"/>
      <c r="T10" s="160">
        <f>'Pro Forma Income Statment'!AK11+'Pro Forma Income Statment'!AK12</f>
        <v>351103.06999266142</v>
      </c>
    </row>
    <row r="11" spans="2:20" s="1" customFormat="1">
      <c r="B11" s="1" t="s">
        <v>110</v>
      </c>
      <c r="E11" s="34">
        <f>SUM(E8:E10)</f>
        <v>518073.08989361703</v>
      </c>
      <c r="F11" s="189"/>
      <c r="G11" s="34">
        <f>SUM(G8:G10)</f>
        <v>237932.32543965895</v>
      </c>
      <c r="H11" s="34">
        <f>SUM(H8:H10)</f>
        <v>412835.16696380998</v>
      </c>
      <c r="I11" s="34">
        <f t="shared" ref="I11:N11" si="1">SUM(I8:I10)</f>
        <v>569492.91591726663</v>
      </c>
      <c r="J11" s="34">
        <f t="shared" si="1"/>
        <v>661896.42771766405</v>
      </c>
      <c r="K11" s="252">
        <f t="shared" si="1"/>
        <v>770293.96544386272</v>
      </c>
      <c r="L11" s="34">
        <f t="shared" si="1"/>
        <v>877870.81205522735</v>
      </c>
      <c r="M11" s="34">
        <f t="shared" si="1"/>
        <v>990579.07118601399</v>
      </c>
      <c r="N11" s="34">
        <f t="shared" si="1"/>
        <v>1110638.9678655656</v>
      </c>
      <c r="O11" s="189"/>
      <c r="P11" s="21">
        <f>SUM(G11:J11)</f>
        <v>1882156.8360383997</v>
      </c>
      <c r="Q11" s="177"/>
      <c r="R11" s="24">
        <f t="shared" si="0"/>
        <v>3749382.8165506693</v>
      </c>
      <c r="S11" s="179"/>
      <c r="T11" s="35">
        <f>SUM(T8:T10)</f>
        <v>5463170.1384858117</v>
      </c>
    </row>
    <row r="12" spans="2:20">
      <c r="E12" s="21"/>
      <c r="F12" s="187"/>
      <c r="G12" s="21"/>
      <c r="H12" s="21"/>
      <c r="I12" s="21"/>
      <c r="J12" s="21"/>
      <c r="K12" s="250"/>
      <c r="L12" s="21"/>
      <c r="M12" s="21"/>
      <c r="N12" s="21"/>
      <c r="O12" s="187"/>
      <c r="P12" s="21"/>
      <c r="Q12" s="176"/>
      <c r="R12" s="24"/>
      <c r="S12" s="178"/>
      <c r="T12" s="24"/>
    </row>
    <row r="13" spans="2:20" s="1" customFormat="1">
      <c r="C13" s="381" t="s">
        <v>168</v>
      </c>
      <c r="D13" s="381"/>
      <c r="E13" s="414">
        <f>'Pro Forma Income Statment'!G16</f>
        <v>36212.324999999997</v>
      </c>
      <c r="F13" s="415"/>
      <c r="G13" s="414">
        <f>SUM('Pro Forma Income Statment'!I16:K16)</f>
        <v>1650</v>
      </c>
      <c r="H13" s="414">
        <f>SUM('Pro Forma Income Statment'!L16:N16)</f>
        <v>1950</v>
      </c>
      <c r="I13" s="414">
        <f>SUM('Pro Forma Income Statment'!O16:Q16)</f>
        <v>2175</v>
      </c>
      <c r="J13" s="414">
        <f>SUM('Pro Forma Income Statment'!R16:T16)</f>
        <v>2475</v>
      </c>
      <c r="K13" s="416">
        <f>SUM('Pro Forma Income Statment'!U16:W16)</f>
        <v>2925</v>
      </c>
      <c r="L13" s="414">
        <f>SUM('Pro Forma Income Statment'!X16:Z16)</f>
        <v>3150</v>
      </c>
      <c r="M13" s="414">
        <f>SUM('Pro Forma Income Statment'!AA16:AC16)</f>
        <v>3375</v>
      </c>
      <c r="N13" s="414">
        <f>SUM('Pro Forma Income Statment'!AD16:AF16)</f>
        <v>3600</v>
      </c>
      <c r="O13" s="415"/>
      <c r="P13" s="414">
        <f>SUM(G13:J13)</f>
        <v>8250</v>
      </c>
      <c r="Q13" s="417"/>
      <c r="R13" s="418">
        <f t="shared" si="0"/>
        <v>13050</v>
      </c>
      <c r="S13" s="419"/>
      <c r="T13" s="418">
        <f>'Pro Forma Income Statment'!AK16</f>
        <v>16200</v>
      </c>
    </row>
    <row r="14" spans="2:20" s="1" customFormat="1">
      <c r="C14" s="381" t="s">
        <v>46</v>
      </c>
      <c r="D14" s="381"/>
      <c r="E14" s="414">
        <f>'Pro Forma Income Statment'!G17</f>
        <v>97222.672500000015</v>
      </c>
      <c r="F14" s="415"/>
      <c r="G14" s="414">
        <f>SUM('Pro Forma Income Statment'!I17:K17)</f>
        <v>21726.412543965889</v>
      </c>
      <c r="H14" s="414">
        <f>SUM('Pro Forma Income Statment'!L17:N17)</f>
        <v>39057.777614818493</v>
      </c>
      <c r="I14" s="414">
        <f>SUM('Pro Forma Income Statment'!O17:Q17)</f>
        <v>54552.414041095886</v>
      </c>
      <c r="J14" s="414">
        <f>SUM('Pro Forma Income Statment'!R17:T17)</f>
        <v>63608.467808219175</v>
      </c>
      <c r="K14" s="416">
        <f>SUM('Pro Forma Income Statment'!U17:W17)</f>
        <v>74249.753424657538</v>
      </c>
      <c r="L14" s="414">
        <f>SUM('Pro Forma Income Statment'!X17:Z17)</f>
        <v>84793.7095890411</v>
      </c>
      <c r="M14" s="414">
        <f>SUM('Pro Forma Income Statment'!AA17:AC17)</f>
        <v>95834.373287671246</v>
      </c>
      <c r="N14" s="414">
        <f>SUM('Pro Forma Income Statment'!AD17:AF17)</f>
        <v>107592.50342465754</v>
      </c>
      <c r="O14" s="415"/>
      <c r="P14" s="414">
        <f>SUM(G14:J14)</f>
        <v>178945.07200809944</v>
      </c>
      <c r="Q14" s="417"/>
      <c r="R14" s="418">
        <f t="shared" si="0"/>
        <v>362470.33972602745</v>
      </c>
      <c r="S14" s="419"/>
      <c r="T14" s="418">
        <f>'Pro Forma Income Statment'!AK17</f>
        <v>531909.32054794522</v>
      </c>
    </row>
    <row r="15" spans="2:20" ht="5" customHeight="1">
      <c r="E15" s="21"/>
      <c r="F15" s="187"/>
      <c r="G15" s="21"/>
      <c r="H15" s="21"/>
      <c r="I15" s="21"/>
      <c r="J15" s="21"/>
      <c r="K15" s="250"/>
      <c r="L15" s="21"/>
      <c r="M15" s="21"/>
      <c r="N15" s="21"/>
      <c r="O15" s="187"/>
      <c r="P15" s="21"/>
      <c r="Q15" s="176"/>
      <c r="R15" s="24"/>
      <c r="S15" s="178"/>
      <c r="T15" s="24"/>
    </row>
    <row r="16" spans="2:20" s="1" customFormat="1">
      <c r="B16" s="1" t="s">
        <v>169</v>
      </c>
      <c r="E16" s="191">
        <f>E11-E13-E14</f>
        <v>384638.09239361703</v>
      </c>
      <c r="F16" s="192"/>
      <c r="G16" s="191">
        <f>G11-G13-G14</f>
        <v>214555.91289569307</v>
      </c>
      <c r="H16" s="191">
        <f t="shared" ref="H16:N16" si="2">H11-H13-H14</f>
        <v>371827.38934899151</v>
      </c>
      <c r="I16" s="191">
        <f t="shared" si="2"/>
        <v>512765.50187617075</v>
      </c>
      <c r="J16" s="191">
        <f t="shared" si="2"/>
        <v>595812.95990944491</v>
      </c>
      <c r="K16" s="253">
        <f t="shared" si="2"/>
        <v>693119.21201920521</v>
      </c>
      <c r="L16" s="191">
        <f t="shared" si="2"/>
        <v>789927.10246618628</v>
      </c>
      <c r="M16" s="191">
        <f t="shared" si="2"/>
        <v>891369.69789834274</v>
      </c>
      <c r="N16" s="191">
        <f t="shared" si="2"/>
        <v>999446.46444090805</v>
      </c>
      <c r="O16" s="192"/>
      <c r="P16" s="191">
        <f>P11-P13-P14</f>
        <v>1694961.7640303003</v>
      </c>
      <c r="Q16" s="193"/>
      <c r="R16" s="57">
        <f t="shared" si="0"/>
        <v>3373862.4768246422</v>
      </c>
      <c r="S16" s="194"/>
      <c r="T16" s="57">
        <f>T11-T13-T14</f>
        <v>4915060.8179378668</v>
      </c>
    </row>
    <row r="17" spans="2:20" ht="9" customHeight="1">
      <c r="E17" s="21"/>
      <c r="F17" s="187"/>
      <c r="G17" s="21"/>
      <c r="H17" s="21"/>
      <c r="I17" s="21"/>
      <c r="J17" s="21"/>
      <c r="K17" s="250"/>
      <c r="L17" s="21"/>
      <c r="M17" s="21"/>
      <c r="N17" s="21"/>
      <c r="O17" s="187"/>
      <c r="P17" s="21"/>
      <c r="Q17" s="176"/>
      <c r="R17" s="24"/>
      <c r="S17" s="178"/>
      <c r="T17" s="24"/>
    </row>
    <row r="18" spans="2:20">
      <c r="B18" s="1" t="s">
        <v>267</v>
      </c>
      <c r="E18" s="21"/>
      <c r="F18" s="187"/>
      <c r="G18" s="21"/>
      <c r="H18" s="21"/>
      <c r="I18" s="21"/>
      <c r="J18" s="21"/>
      <c r="K18" s="250"/>
      <c r="L18" s="21"/>
      <c r="M18" s="21"/>
      <c r="N18" s="21"/>
      <c r="O18" s="187"/>
      <c r="P18" s="21"/>
      <c r="Q18" s="176"/>
      <c r="R18" s="24"/>
      <c r="S18" s="178"/>
      <c r="T18" s="24"/>
    </row>
    <row r="19" spans="2:20">
      <c r="C19" t="s">
        <v>86</v>
      </c>
      <c r="E19" s="21">
        <f>'Pro Forma Income Statment'!G22</f>
        <v>532236.22500000009</v>
      </c>
      <c r="F19" s="187"/>
      <c r="G19" s="21">
        <f>SUM('Pro Forma Income Statment'!I22:K22)</f>
        <v>148398.25363810337</v>
      </c>
      <c r="H19" s="21">
        <f>SUM('Pro Forma Income Statment'!L22:N22)</f>
        <v>199921.66701451203</v>
      </c>
      <c r="I19" s="21">
        <f>SUM('Pro Forma Income Statment'!O22:Q22)</f>
        <v>243142.27671232878</v>
      </c>
      <c r="J19" s="21">
        <f>SUM('Pro Forma Income Statment'!R22:T22)</f>
        <v>279488.17534246575</v>
      </c>
      <c r="K19" s="250">
        <f>SUM('Pro Forma Income Statment'!U22:W22)</f>
        <v>328609.72602739721</v>
      </c>
      <c r="L19" s="21">
        <f>SUM('Pro Forma Income Statment'!X22:Z22)</f>
        <v>362750.43287671235</v>
      </c>
      <c r="M19" s="21">
        <f>SUM('Pro Forma Income Statment'!AA22:AC22)</f>
        <v>397802.1369863014</v>
      </c>
      <c r="N19" s="21">
        <f>SUM('Pro Forma Income Statment'!AD22:AF22)</f>
        <v>434169.72602739726</v>
      </c>
      <c r="O19" s="187"/>
      <c r="P19" s="21">
        <f>SUM(G19:J19)</f>
        <v>870950.3727074099</v>
      </c>
      <c r="Q19" s="176"/>
      <c r="R19" s="24">
        <f>SUM(K19:N19)</f>
        <v>1523332.0219178081</v>
      </c>
      <c r="S19" s="178"/>
      <c r="T19" s="24">
        <f>'Pro Forma Income Statment'!AK22</f>
        <v>2041327.9561643833</v>
      </c>
    </row>
    <row r="20" spans="2:20">
      <c r="C20" t="s">
        <v>114</v>
      </c>
      <c r="E20" s="21">
        <f>'Pro Forma Income Statment'!G23</f>
        <v>8814.2625000000007</v>
      </c>
      <c r="F20" s="187"/>
      <c r="G20" s="21">
        <f>SUM('Pro Forma Income Statment'!I23:K23)</f>
        <v>5193.9388773336186</v>
      </c>
      <c r="H20" s="21">
        <f>SUM('Pro Forma Income Statment'!L23:N23)</f>
        <v>6997.2583455079221</v>
      </c>
      <c r="I20" s="21">
        <f>SUM('Pro Forma Income Statment'!O23:Q23)</f>
        <v>8509.979684931508</v>
      </c>
      <c r="J20" s="21">
        <f>SUM('Pro Forma Income Statment'!R23:T23)</f>
        <v>9782.0861369863014</v>
      </c>
      <c r="K20" s="250">
        <f>SUM('Pro Forma Income Statment'!U23:W23)</f>
        <v>11501.340410958905</v>
      </c>
      <c r="L20" s="21">
        <f>SUM('Pro Forma Income Statment'!X23:Z23)</f>
        <v>12696.265150684932</v>
      </c>
      <c r="M20" s="21">
        <f>SUM('Pro Forma Income Statment'!AA23:AC23)</f>
        <v>13923.074794520549</v>
      </c>
      <c r="N20" s="21">
        <f>SUM('Pro Forma Income Statment'!AD23:AF23)</f>
        <v>15195.940410958905</v>
      </c>
      <c r="O20" s="187"/>
      <c r="P20" s="21">
        <f>SUM(G20:J20)</f>
        <v>30483.263044759351</v>
      </c>
      <c r="Q20" s="176"/>
      <c r="R20" s="24">
        <f>SUM(K20:N20)</f>
        <v>53316.620767123299</v>
      </c>
      <c r="S20" s="178"/>
      <c r="T20" s="24">
        <f>'Pro Forma Income Statment'!AK23</f>
        <v>93253.207369935772</v>
      </c>
    </row>
    <row r="21" spans="2:20">
      <c r="B21" s="15"/>
      <c r="C21" s="15" t="s">
        <v>115</v>
      </c>
      <c r="E21" s="22">
        <f>'Pro Forma Income Statment'!G24</f>
        <v>33492.787500000006</v>
      </c>
      <c r="F21" s="188"/>
      <c r="G21" s="22">
        <f>SUM('Pro Forma Income Statment'!I24:K24)</f>
        <v>12218.966380948936</v>
      </c>
      <c r="H21" s="22">
        <f>SUM('Pro Forma Income Statment'!L24:N24)</f>
        <v>17992.950031306082</v>
      </c>
      <c r="I21" s="22">
        <f>SUM('Pro Forma Income Statment'!O24:Q24)</f>
        <v>21882.804904109587</v>
      </c>
      <c r="J21" s="22">
        <f>SUM('Pro Forma Income Statment'!R24:T24)</f>
        <v>25153.935780821921</v>
      </c>
      <c r="K21" s="251">
        <f>SUM('Pro Forma Income Statment'!U24:W24)</f>
        <v>29574.875342465755</v>
      </c>
      <c r="L21" s="22">
        <f>SUM('Pro Forma Income Statment'!X24:Z24)</f>
        <v>32647.538958904108</v>
      </c>
      <c r="M21" s="22">
        <f>SUM('Pro Forma Income Statment'!AA24:AC24)</f>
        <v>35802.192328767123</v>
      </c>
      <c r="N21" s="22">
        <f>SUM('Pro Forma Income Statment'!AD24:AF24)</f>
        <v>39075.275342465757</v>
      </c>
      <c r="O21" s="188"/>
      <c r="P21" s="22">
        <f>SUM(G21:J21)</f>
        <v>77248.657097186529</v>
      </c>
      <c r="Q21" s="176"/>
      <c r="R21" s="160">
        <f>SUM(K21:N21)</f>
        <v>137099.88197260274</v>
      </c>
      <c r="S21" s="178"/>
      <c r="T21" s="160">
        <f>'Pro Forma Income Statment'!AK24</f>
        <v>243323.03425357782</v>
      </c>
    </row>
    <row r="22" spans="2:20" s="1" customFormat="1">
      <c r="B22" s="1" t="s">
        <v>268</v>
      </c>
      <c r="E22" s="34">
        <f>SUM(E19:E21)</f>
        <v>574543.27500000002</v>
      </c>
      <c r="F22" s="189"/>
      <c r="G22" s="34">
        <f t="shared" ref="G22:N22" si="3">SUM(G19:G21)</f>
        <v>165811.15889638592</v>
      </c>
      <c r="H22" s="34">
        <f t="shared" si="3"/>
        <v>224911.87539132603</v>
      </c>
      <c r="I22" s="34">
        <f t="shared" si="3"/>
        <v>273535.06130136986</v>
      </c>
      <c r="J22" s="34">
        <f t="shared" si="3"/>
        <v>314424.19726027397</v>
      </c>
      <c r="K22" s="252">
        <f t="shared" si="3"/>
        <v>369685.94178082189</v>
      </c>
      <c r="L22" s="34">
        <f t="shared" si="3"/>
        <v>408094.23698630137</v>
      </c>
      <c r="M22" s="34">
        <f t="shared" si="3"/>
        <v>447527.40410958906</v>
      </c>
      <c r="N22" s="34">
        <f t="shared" si="3"/>
        <v>488440.94178082189</v>
      </c>
      <c r="O22" s="189"/>
      <c r="P22" s="34">
        <f>SUM(G22:J22)</f>
        <v>978682.29284935573</v>
      </c>
      <c r="Q22" s="177"/>
      <c r="R22" s="35">
        <f>SUM(K22:N22)</f>
        <v>1713748.5246575342</v>
      </c>
      <c r="S22" s="179"/>
      <c r="T22" s="35">
        <f>SUM(T19:T21)</f>
        <v>2377904.1977878967</v>
      </c>
    </row>
    <row r="23" spans="2:20">
      <c r="E23" s="21"/>
      <c r="F23" s="187"/>
      <c r="G23" s="21"/>
      <c r="H23" s="21"/>
      <c r="I23" s="21"/>
      <c r="J23" s="21"/>
      <c r="K23" s="250"/>
      <c r="L23" s="21"/>
      <c r="M23" s="21"/>
      <c r="N23" s="21"/>
      <c r="O23" s="187"/>
      <c r="P23" s="21"/>
      <c r="Q23" s="176"/>
      <c r="R23" s="24"/>
      <c r="S23" s="178"/>
      <c r="T23" s="24"/>
    </row>
    <row r="24" spans="2:20">
      <c r="B24" t="s">
        <v>191</v>
      </c>
      <c r="E24" s="21"/>
      <c r="F24" s="187"/>
      <c r="G24" s="21"/>
      <c r="H24" s="21"/>
      <c r="I24" s="21"/>
      <c r="J24" s="21"/>
      <c r="K24" s="250"/>
      <c r="L24" s="21"/>
      <c r="M24" s="21"/>
      <c r="N24" s="21"/>
      <c r="O24" s="187"/>
      <c r="P24" s="21"/>
      <c r="Q24" s="176"/>
      <c r="R24" s="24"/>
      <c r="S24" s="178"/>
      <c r="T24" s="24"/>
    </row>
    <row r="25" spans="2:20">
      <c r="C25" t="s">
        <v>193</v>
      </c>
      <c r="E25" s="21">
        <f>'Pro Forma Income Statment'!G28+'Pro Forma Income Statment'!G29</f>
        <v>41328.862500000003</v>
      </c>
      <c r="F25" s="187"/>
      <c r="G25" s="21">
        <f>SUM('Pro Forma Income Statment'!I28:K28)+SUM('Pro Forma Income Statment'!I29:K29)</f>
        <v>12567.923763189767</v>
      </c>
      <c r="H25" s="21">
        <f>SUM('Pro Forma Income Statment'!L28:N28)+SUM('Pro Forma Income Statment'!L29:N29)</f>
        <v>18867.333284445547</v>
      </c>
      <c r="I25" s="21">
        <f>SUM('Pro Forma Income Statment'!O28:Q28)+SUM('Pro Forma Income Statment'!O29:Q29)</f>
        <v>24340.724212328765</v>
      </c>
      <c r="J25" s="21">
        <f>SUM('Pro Forma Income Statment'!R28:T28)+SUM('Pro Forma Income Statment'!R29:T29)</f>
        <v>28157.540342465752</v>
      </c>
      <c r="K25" s="250">
        <f>SUM('Pro Forma Income Statment'!U28:W28)+SUM('Pro Forma Income Statment'!U29:W29)</f>
        <v>32999.926027397261</v>
      </c>
      <c r="L25" s="21">
        <f>SUM('Pro Forma Income Statment'!X28:Z28)+SUM('Pro Forma Income Statment'!X29:Z29)</f>
        <v>36988.11287671233</v>
      </c>
      <c r="M25" s="21">
        <f>SUM('Pro Forma Income Statment'!AA28:AC28)+SUM('Pro Forma Income Statment'!AA29:AC29)</f>
        <v>41125.311986301371</v>
      </c>
      <c r="N25" s="21">
        <f>SUM('Pro Forma Income Statment'!AD28:AF28)+SUM('Pro Forma Income Statment'!AD29:AF29)</f>
        <v>45477.751027397258</v>
      </c>
      <c r="O25" s="187"/>
      <c r="P25" s="21">
        <f>SUM(G25:J25)</f>
        <v>83933.521602429828</v>
      </c>
      <c r="Q25" s="176"/>
      <c r="R25" s="24">
        <f t="shared" si="0"/>
        <v>156591.10191780824</v>
      </c>
      <c r="S25" s="178"/>
      <c r="T25" s="24">
        <f>'Pro Forma Income Statment'!AK28+'Pro Forma Income Statment'!AK29</f>
        <v>295955.49103596702</v>
      </c>
    </row>
    <row r="26" spans="2:20">
      <c r="C26" t="s">
        <v>194</v>
      </c>
      <c r="E26" s="21">
        <f>'Pro Forma Income Statment'!G30</f>
        <v>3762.9375</v>
      </c>
      <c r="F26" s="187"/>
      <c r="G26" s="21">
        <f>SUM('Pro Forma Income Statment'!I30:K30)</f>
        <v>1650</v>
      </c>
      <c r="H26" s="21">
        <f>SUM('Pro Forma Income Statment'!L30:N30)</f>
        <v>1950</v>
      </c>
      <c r="I26" s="21">
        <f>SUM('Pro Forma Income Statment'!O30:Q30)</f>
        <v>2175</v>
      </c>
      <c r="J26" s="21">
        <f>SUM('Pro Forma Income Statment'!R30:T30)</f>
        <v>2475</v>
      </c>
      <c r="K26" s="250">
        <f>SUM('Pro Forma Income Statment'!U30:W30)</f>
        <v>2925</v>
      </c>
      <c r="L26" s="21">
        <f>SUM('Pro Forma Income Statment'!X30:Z30)</f>
        <v>3150</v>
      </c>
      <c r="M26" s="21">
        <f>SUM('Pro Forma Income Statment'!AA30:AC30)</f>
        <v>3375</v>
      </c>
      <c r="N26" s="21">
        <f>SUM('Pro Forma Income Statment'!AD30:AF30)</f>
        <v>3600</v>
      </c>
      <c r="O26" s="187"/>
      <c r="P26" s="21">
        <f>SUM(G26:J26)</f>
        <v>8250</v>
      </c>
      <c r="Q26" s="176"/>
      <c r="R26" s="24">
        <f t="shared" si="0"/>
        <v>13050</v>
      </c>
      <c r="S26" s="178"/>
      <c r="T26" s="24">
        <f>'Pro Forma Income Statment'!AK30</f>
        <v>20642.727272727272</v>
      </c>
    </row>
    <row r="27" spans="2:20">
      <c r="C27" s="15" t="s">
        <v>195</v>
      </c>
      <c r="E27" s="22">
        <f>'Pro Forma Income Statment'!G31</f>
        <v>287.28750000000002</v>
      </c>
      <c r="F27" s="188"/>
      <c r="G27" s="22">
        <f>SUM('Pro Forma Income Statment'!I31:K31)</f>
        <v>140.58189999820328</v>
      </c>
      <c r="H27" s="22">
        <f>SUM('Pro Forma Income Statment'!L31:N31)</f>
        <v>189.39149963481626</v>
      </c>
      <c r="I27" s="22">
        <f>SUM('Pro Forma Income Statment'!O31:Q31)</f>
        <v>230.33561643835617</v>
      </c>
      <c r="J27" s="22">
        <f>SUM('Pro Forma Income Statment'!R31:T31)</f>
        <v>264.76712328767121</v>
      </c>
      <c r="K27" s="251">
        <f>SUM('Pro Forma Income Statment'!U31:W31)</f>
        <v>311.30136986301369</v>
      </c>
      <c r="L27" s="22">
        <f>SUM('Pro Forma Income Statment'!X31:Z31)</f>
        <v>343.64383561643837</v>
      </c>
      <c r="M27" s="22">
        <f>SUM('Pro Forma Income Statment'!AA31:AC31)</f>
        <v>376.84931506849318</v>
      </c>
      <c r="N27" s="22">
        <f>SUM('Pro Forma Income Statment'!AD31:AF31)</f>
        <v>411.30136986301375</v>
      </c>
      <c r="O27" s="188"/>
      <c r="P27" s="22">
        <f>SUM(G27:J27)</f>
        <v>825.07613935904692</v>
      </c>
      <c r="Q27" s="176"/>
      <c r="R27" s="160">
        <f t="shared" si="0"/>
        <v>1443.0958904109589</v>
      </c>
      <c r="S27" s="178"/>
      <c r="T27" s="160">
        <f>'Pro Forma Income Statment'!AK31</f>
        <v>2524.04069100676</v>
      </c>
    </row>
    <row r="28" spans="2:20" s="1" customFormat="1">
      <c r="B28" s="1" t="s">
        <v>198</v>
      </c>
      <c r="E28" s="34">
        <f>SUM(E25:E27)+E22</f>
        <v>619922.36250000005</v>
      </c>
      <c r="F28" s="189"/>
      <c r="G28" s="34">
        <f t="shared" ref="G28:N28" si="4">SUM(G25:G27)+G22</f>
        <v>180169.6645595739</v>
      </c>
      <c r="H28" s="34">
        <f t="shared" si="4"/>
        <v>245918.60017540641</v>
      </c>
      <c r="I28" s="34">
        <f t="shared" si="4"/>
        <v>300281.12113013701</v>
      </c>
      <c r="J28" s="34">
        <f t="shared" si="4"/>
        <v>345321.50472602737</v>
      </c>
      <c r="K28" s="252">
        <f t="shared" si="4"/>
        <v>405922.16917808214</v>
      </c>
      <c r="L28" s="34">
        <f t="shared" si="4"/>
        <v>448575.99369863013</v>
      </c>
      <c r="M28" s="34">
        <f t="shared" si="4"/>
        <v>492404.56541095895</v>
      </c>
      <c r="N28" s="34">
        <f t="shared" si="4"/>
        <v>537929.99417808221</v>
      </c>
      <c r="O28" s="189"/>
      <c r="P28" s="34">
        <f>SUM(P25:P27)+P22</f>
        <v>1071690.8905911446</v>
      </c>
      <c r="Q28" s="177"/>
      <c r="R28" s="35">
        <f>SUM(R25:R27)+R22</f>
        <v>1884832.7224657533</v>
      </c>
      <c r="S28" s="179"/>
      <c r="T28" s="35">
        <f>SUM(T25:T27)+T22</f>
        <v>2697026.4567875979</v>
      </c>
    </row>
    <row r="29" spans="2:20" s="1" customFormat="1" ht="9" customHeight="1">
      <c r="E29" s="34"/>
      <c r="F29" s="189"/>
      <c r="G29" s="34"/>
      <c r="H29" s="34"/>
      <c r="I29" s="34"/>
      <c r="J29" s="34"/>
      <c r="K29" s="252"/>
      <c r="L29" s="34"/>
      <c r="M29" s="34"/>
      <c r="N29" s="34"/>
      <c r="O29" s="189"/>
      <c r="P29" s="34"/>
      <c r="Q29" s="177"/>
      <c r="R29" s="35"/>
      <c r="S29" s="179"/>
      <c r="T29" s="35"/>
    </row>
    <row r="30" spans="2:20" s="1" customFormat="1">
      <c r="B30" s="1" t="s">
        <v>166</v>
      </c>
      <c r="E30" s="34">
        <f>E16-E28</f>
        <v>-235284.27010638302</v>
      </c>
      <c r="F30" s="189"/>
      <c r="G30" s="34">
        <f t="shared" ref="G30:N30" si="5">G16-G28</f>
        <v>34386.24833611917</v>
      </c>
      <c r="H30" s="34">
        <f t="shared" si="5"/>
        <v>125908.7891735851</v>
      </c>
      <c r="I30" s="34">
        <f t="shared" si="5"/>
        <v>212484.38074603374</v>
      </c>
      <c r="J30" s="34">
        <f t="shared" si="5"/>
        <v>250491.45518341754</v>
      </c>
      <c r="K30" s="252">
        <f t="shared" si="5"/>
        <v>287197.04284112307</v>
      </c>
      <c r="L30" s="34">
        <f t="shared" si="5"/>
        <v>341351.10876755614</v>
      </c>
      <c r="M30" s="34">
        <f t="shared" si="5"/>
        <v>398965.13248738379</v>
      </c>
      <c r="N30" s="34">
        <f t="shared" si="5"/>
        <v>461516.47026282584</v>
      </c>
      <c r="O30" s="189"/>
      <c r="P30" s="34">
        <f>P16-P28</f>
        <v>623270.87343915575</v>
      </c>
      <c r="Q30" s="177"/>
      <c r="R30" s="35">
        <f>R16-R28</f>
        <v>1489029.7543588888</v>
      </c>
      <c r="S30" s="179"/>
      <c r="T30" s="35">
        <f>T16-T28</f>
        <v>2218034.3611502689</v>
      </c>
    </row>
    <row r="31" spans="2:20" ht="9" customHeight="1">
      <c r="E31" s="21"/>
      <c r="F31" s="187"/>
      <c r="G31" s="21"/>
      <c r="H31" s="21"/>
      <c r="I31" s="21"/>
      <c r="J31" s="21"/>
      <c r="K31" s="250"/>
      <c r="L31" s="21"/>
      <c r="M31" s="21"/>
      <c r="N31" s="21"/>
      <c r="O31" s="187"/>
      <c r="P31" s="21"/>
      <c r="Q31" s="176"/>
      <c r="R31" s="24"/>
      <c r="S31" s="178"/>
      <c r="T31" s="24"/>
    </row>
    <row r="32" spans="2:20">
      <c r="B32" s="1" t="s">
        <v>94</v>
      </c>
      <c r="E32" s="21"/>
      <c r="F32" s="187"/>
      <c r="G32" s="21"/>
      <c r="H32" s="21"/>
      <c r="I32" s="21"/>
      <c r="J32" s="21"/>
      <c r="K32" s="250"/>
      <c r="L32" s="21"/>
      <c r="M32" s="21"/>
      <c r="N32" s="21"/>
      <c r="O32" s="187"/>
      <c r="P32" s="21"/>
      <c r="Q32" s="176"/>
      <c r="R32" s="24"/>
      <c r="S32" s="178"/>
      <c r="T32" s="24"/>
    </row>
    <row r="33" spans="2:20">
      <c r="C33" t="s">
        <v>111</v>
      </c>
      <c r="E33" s="21">
        <f>'Pro Forma Income Statment'!G37</f>
        <v>231236.47499999998</v>
      </c>
      <c r="F33" s="187"/>
      <c r="G33" s="21">
        <f>SUM('Pro Forma Income Statment'!I37:K37)</f>
        <v>122916.66666666669</v>
      </c>
      <c r="H33" s="21">
        <f>SUM('Pro Forma Income Statment'!L37:N37)</f>
        <v>155000</v>
      </c>
      <c r="I33" s="21">
        <f>SUM('Pro Forma Income Statment'!O37:Q37)</f>
        <v>181250</v>
      </c>
      <c r="J33" s="21">
        <f>SUM('Pro Forma Income Statment'!R37:T37)</f>
        <v>181250</v>
      </c>
      <c r="K33" s="250">
        <f>SUM('Pro Forma Income Statment'!U37:W37)</f>
        <v>213131.25</v>
      </c>
      <c r="L33" s="21">
        <f>SUM('Pro Forma Income Statment'!X37:Z37)</f>
        <v>213131.25</v>
      </c>
      <c r="M33" s="21">
        <f>SUM('Pro Forma Income Statment'!AA37:AC37)</f>
        <v>213131.25</v>
      </c>
      <c r="N33" s="21">
        <f>SUM('Pro Forma Income Statment'!AD37:AF37)</f>
        <v>213131.25</v>
      </c>
      <c r="O33" s="187"/>
      <c r="P33" s="21">
        <f>SUM(G33:J33)</f>
        <v>640416.66666666674</v>
      </c>
      <c r="Q33" s="176"/>
      <c r="R33" s="24">
        <f>SUM(K33:N33)</f>
        <v>852525</v>
      </c>
      <c r="S33" s="178"/>
      <c r="T33" s="24">
        <f>'Pro Forma Income Statment'!AK37</f>
        <v>1134884.3861418348</v>
      </c>
    </row>
    <row r="34" spans="2:20">
      <c r="C34" t="s">
        <v>87</v>
      </c>
      <c r="E34" s="21">
        <f>'Pro Forma Income Statment'!G38</f>
        <v>0</v>
      </c>
      <c r="F34" s="187"/>
      <c r="G34" s="21">
        <f>SUM('Pro Forma Income Statment'!I38:K38)</f>
        <v>13750</v>
      </c>
      <c r="H34" s="21">
        <f>SUM('Pro Forma Income Statment'!L38:N38)</f>
        <v>18750</v>
      </c>
      <c r="I34" s="21">
        <f>SUM('Pro Forma Income Statment'!O38:Q38)</f>
        <v>18750</v>
      </c>
      <c r="J34" s="21">
        <f>SUM('Pro Forma Income Statment'!R38:T38)</f>
        <v>18750</v>
      </c>
      <c r="K34" s="250">
        <f>SUM('Pro Forma Income Statment'!U38:W38)</f>
        <v>42206.25</v>
      </c>
      <c r="L34" s="21">
        <f>SUM('Pro Forma Income Statment'!X38:Z38)</f>
        <v>42206.25</v>
      </c>
      <c r="M34" s="21">
        <f>SUM('Pro Forma Income Statment'!AA38:AC38)</f>
        <v>42206.25</v>
      </c>
      <c r="N34" s="21">
        <f>SUM('Pro Forma Income Statment'!AD38:AF38)</f>
        <v>42206.25</v>
      </c>
      <c r="O34" s="187"/>
      <c r="P34" s="21">
        <f>SUM(G34:J34)</f>
        <v>70000</v>
      </c>
      <c r="Q34" s="176"/>
      <c r="R34" s="24">
        <f>SUM(K34:N34)</f>
        <v>168825</v>
      </c>
      <c r="S34" s="178"/>
      <c r="T34" s="24">
        <f>'Pro Forma Income Statment'!AK38</f>
        <v>194148.74999999997</v>
      </c>
    </row>
    <row r="35" spans="2:20">
      <c r="C35" t="s">
        <v>137</v>
      </c>
      <c r="E35" s="21">
        <f>'Pro Forma Income Statment'!G39</f>
        <v>39127.5</v>
      </c>
      <c r="F35" s="187"/>
      <c r="G35" s="21">
        <f>SUM('Pro Forma Income Statment'!I39:K39)</f>
        <v>10279.120312499999</v>
      </c>
      <c r="H35" s="21">
        <f>SUM('Pro Forma Income Statment'!L39:N39)</f>
        <v>11899.366651757815</v>
      </c>
      <c r="I35" s="21">
        <f>SUM('Pro Forma Income Statment'!O39:Q39)</f>
        <v>13775.004320241143</v>
      </c>
      <c r="J35" s="21">
        <f>SUM('Pro Forma Income Statment'!R39:T39)</f>
        <v>15946.289376219156</v>
      </c>
      <c r="K35" s="250">
        <f>SUM('Pro Forma Income Statment'!U39:W39)</f>
        <v>18459.823239145706</v>
      </c>
      <c r="L35" s="21">
        <f>SUM('Pro Forma Income Statment'!X39:Z39)</f>
        <v>21369.552877216051</v>
      </c>
      <c r="M35" s="21">
        <f>SUM('Pro Forma Income Statment'!AA39:AC39)</f>
        <v>24737.928649487232</v>
      </c>
      <c r="N35" s="21">
        <f>SUM('Pro Forma Income Statment'!AD39:AF39)</f>
        <v>28637.244652862661</v>
      </c>
      <c r="O35" s="187"/>
      <c r="P35" s="21">
        <f>SUM(G35:J35)</f>
        <v>51899.780660718112</v>
      </c>
      <c r="Q35" s="176"/>
      <c r="R35" s="24">
        <f>SUM(K35:N35)</f>
        <v>93204.549418711656</v>
      </c>
      <c r="S35" s="178"/>
      <c r="T35" s="24">
        <f>'Pro Forma Income Statment'!AK39</f>
        <v>107185.23183151838</v>
      </c>
    </row>
    <row r="36" spans="2:20">
      <c r="C36" t="s">
        <v>196</v>
      </c>
      <c r="E36" s="21">
        <f>'Pro Forma Income Statment'!G41+'Pro Forma Income Statment'!G42</f>
        <v>98017.912500000006</v>
      </c>
      <c r="F36" s="187"/>
      <c r="G36" s="21">
        <f>SUM('Pro Forma Income Statment'!I41:K41)+SUM('Pro Forma Income Statment'!I42:K42)</f>
        <v>35475.199082043415</v>
      </c>
      <c r="H36" s="21">
        <f>SUM('Pro Forma Income Statment'!L41:N41)+SUM('Pro Forma Income Statment'!L42:N42)</f>
        <v>55389.566207959026</v>
      </c>
      <c r="I36" s="21">
        <f>SUM('Pro Forma Income Statment'!O41:Q41)+SUM('Pro Forma Income Statment'!O42:Q42)</f>
        <v>35510.001559312681</v>
      </c>
      <c r="J36" s="21">
        <f>SUM('Pro Forma Income Statment'!R41:T41)+SUM('Pro Forma Income Statment'!R42:T42)</f>
        <v>27421.445369862951</v>
      </c>
      <c r="K36" s="250">
        <f>SUM('Pro Forma Income Statment'!U41:W41)+SUM('Pro Forma Income Statment'!U42:W42)</f>
        <v>32278.140301369825</v>
      </c>
      <c r="L36" s="21">
        <f>SUM('Pro Forma Income Statment'!X41:Z41)+SUM('Pro Forma Income Statment'!X42:Z42)</f>
        <v>32091.24364383566</v>
      </c>
      <c r="M36" s="21">
        <f>SUM('Pro Forma Income Statment'!AA41:AC41)+SUM('Pro Forma Income Statment'!AA42:AC42)</f>
        <v>34265.729863013752</v>
      </c>
      <c r="N36" s="21">
        <f>SUM('Pro Forma Income Statment'!AD41:AF41)+SUM('Pro Forma Income Statment'!AD42:AF42)</f>
        <v>34978.676164383534</v>
      </c>
      <c r="O36" s="187"/>
      <c r="P36" s="21">
        <f>SUM(G36:J36)</f>
        <v>153796.21221917807</v>
      </c>
      <c r="Q36" s="176"/>
      <c r="R36" s="24">
        <f>SUM(K36:N36)</f>
        <v>133613.78997260277</v>
      </c>
      <c r="S36" s="178"/>
      <c r="T36" s="24">
        <f>'Pro Forma Income Statment'!AK41+'Pro Forma Income Statment'!AK42</f>
        <v>116079.87357582414</v>
      </c>
    </row>
    <row r="37" spans="2:20" ht="7" customHeight="1">
      <c r="E37" s="21"/>
      <c r="F37" s="187"/>
      <c r="G37" s="21"/>
      <c r="H37" s="21"/>
      <c r="I37" s="21"/>
      <c r="J37" s="21"/>
      <c r="K37" s="250"/>
      <c r="L37" s="21"/>
      <c r="M37" s="21"/>
      <c r="N37" s="21"/>
      <c r="O37" s="187"/>
      <c r="P37" s="21"/>
      <c r="Q37" s="176"/>
      <c r="R37" s="24"/>
      <c r="S37" s="178"/>
      <c r="T37" s="24"/>
    </row>
    <row r="38" spans="2:20">
      <c r="C38" t="s">
        <v>192</v>
      </c>
      <c r="E38" s="21">
        <f>'Pro Forma Income Statment'!G49+'Pro Forma Income Statment'!G51</f>
        <v>68521.065000000002</v>
      </c>
      <c r="F38" s="187"/>
      <c r="G38" s="21">
        <f>SUM('Pro Forma Income Statment'!I49:K49)+SUM('Pro Forma Income Statment'!I51:K51)</f>
        <v>18516.224155312499</v>
      </c>
      <c r="H38" s="21">
        <f>SUM('Pro Forma Income Statment'!L49:N49)+SUM('Pro Forma Income Statment'!L51:N51)</f>
        <v>19362.015185862914</v>
      </c>
      <c r="I38" s="21">
        <f>SUM('Pro Forma Income Statment'!O49:Q49)+SUM('Pro Forma Income Statment'!O51:Q51)</f>
        <v>20246.440576278448</v>
      </c>
      <c r="J38" s="21">
        <f>SUM('Pro Forma Income Statment'!R49:T49)+SUM('Pro Forma Income Statment'!R51:T51)</f>
        <v>21171.265081336904</v>
      </c>
      <c r="K38" s="250">
        <f>SUM('Pro Forma Income Statment'!U49:W49)+SUM('Pro Forma Income Statment'!U51:W51)</f>
        <v>22138.334066946609</v>
      </c>
      <c r="L38" s="21">
        <f>SUM('Pro Forma Income Statment'!X49:Z49)+SUM('Pro Forma Income Statment'!X51:Z51)</f>
        <v>23149.577192331864</v>
      </c>
      <c r="M38" s="21">
        <f>SUM('Pro Forma Income Statment'!AA49:AC49)+SUM('Pro Forma Income Statment'!AA51:AC51)</f>
        <v>24207.012260414638</v>
      </c>
      <c r="N38" s="21">
        <f>SUM('Pro Forma Income Statment'!AD49:AF49)+SUM('Pro Forma Income Statment'!AD51:AF51)</f>
        <v>25312.74924407545</v>
      </c>
      <c r="O38" s="187"/>
      <c r="P38" s="21">
        <f>SUM(G38:J38)</f>
        <v>79295.944998790772</v>
      </c>
      <c r="Q38" s="176"/>
      <c r="R38" s="24">
        <f>SUM(K38:N38)</f>
        <v>94807.672763768554</v>
      </c>
      <c r="S38" s="178"/>
      <c r="T38" s="24">
        <f>'Pro Forma Income Statment'!AK49+'Pro Forma Income Statment'!AK51</f>
        <v>113353.77635034043</v>
      </c>
    </row>
    <row r="39" spans="2:20">
      <c r="C39" t="s">
        <v>98</v>
      </c>
      <c r="E39" s="21">
        <f>'Pro Forma Income Statment'!G50</f>
        <v>22750.350000000002</v>
      </c>
      <c r="F39" s="187"/>
      <c r="G39" s="21">
        <f>SUM('Pro Forma Income Statment'!I50:K50)</f>
        <v>5976.7065312500008</v>
      </c>
      <c r="H39" s="21">
        <f>SUM('Pro Forma Income Statment'!L50:N50)</f>
        <v>6918.7848982382839</v>
      </c>
      <c r="I39" s="21">
        <f>SUM('Pro Forma Income Statment'!O50:Q50)</f>
        <v>8009.3583678230943</v>
      </c>
      <c r="J39" s="21">
        <f>SUM('Pro Forma Income Statment'!R50:T50)</f>
        <v>9271.8334805512113</v>
      </c>
      <c r="K39" s="250">
        <f>SUM('Pro Forma Income Statment'!U50:W50)</f>
        <v>10733.306232923096</v>
      </c>
      <c r="L39" s="21">
        <f>SUM('Pro Forma Income Statment'!X50:Z50)</f>
        <v>12425.143627887603</v>
      </c>
      <c r="M39" s="21">
        <f>SUM('Pro Forma Income Statment'!AA50:AC50)</f>
        <v>14383.656892233386</v>
      </c>
      <c r="N39" s="21">
        <f>SUM('Pro Forma Income Statment'!AD50:AF50)</f>
        <v>16650.880809871676</v>
      </c>
      <c r="O39" s="187"/>
      <c r="P39" s="21">
        <f t="shared" ref="P39:P42" si="6">SUM(G39:J39)</f>
        <v>30176.68327786259</v>
      </c>
      <c r="Q39" s="176"/>
      <c r="R39" s="24">
        <f t="shared" si="0"/>
        <v>54192.987562915761</v>
      </c>
      <c r="S39" s="178"/>
      <c r="T39" s="24">
        <f>'Pro Forma Income Statment'!AK50</f>
        <v>97322.819540900906</v>
      </c>
    </row>
    <row r="40" spans="2:20">
      <c r="C40" t="s">
        <v>95</v>
      </c>
      <c r="E40" s="21">
        <f>'Pro Forma Income Statment'!G52</f>
        <v>35665.949999999997</v>
      </c>
      <c r="F40" s="187"/>
      <c r="G40" s="21">
        <f>SUM('Pro Forma Income Statment'!I52:K52)</f>
        <v>9005.9495912500006</v>
      </c>
      <c r="H40" s="21">
        <f>SUM('Pro Forma Income Statment'!L52:N52)</f>
        <v>9278.8388698144663</v>
      </c>
      <c r="I40" s="21">
        <f>SUM('Pro Forma Income Statment'!O52:Q52)</f>
        <v>9559.9969664087148</v>
      </c>
      <c r="J40" s="21">
        <f>SUM('Pro Forma Income Statment'!R52:T52)</f>
        <v>9849.6744344878643</v>
      </c>
      <c r="K40" s="250">
        <f>SUM('Pro Forma Income Statment'!U52:W52)</f>
        <v>10148.129419527282</v>
      </c>
      <c r="L40" s="21">
        <f>SUM('Pro Forma Income Statment'!X52:Z52)</f>
        <v>10455.627889068379</v>
      </c>
      <c r="M40" s="21">
        <f>SUM('Pro Forma Income Statment'!AA52:AC52)</f>
        <v>10772.44386973504</v>
      </c>
      <c r="N40" s="21">
        <f>SUM('Pro Forma Income Statment'!AD52:AF52)</f>
        <v>11098.859691431882</v>
      </c>
      <c r="O40" s="187"/>
      <c r="P40" s="21">
        <f>SUM(G40:J40)</f>
        <v>37694.459861961048</v>
      </c>
      <c r="Q40" s="176"/>
      <c r="R40" s="24">
        <f>SUM(K40:O40)</f>
        <v>42475.060869762587</v>
      </c>
      <c r="S40" s="178"/>
      <c r="T40" s="24">
        <f>'Pro Forma Income Statment'!AK52</f>
        <v>47861.961744427477</v>
      </c>
    </row>
    <row r="41" spans="2:20">
      <c r="C41" t="s">
        <v>197</v>
      </c>
      <c r="E41" s="21">
        <f>'Pro Forma Income Statment'!G44+'Pro Forma Income Statment'!G45</f>
        <v>27376.912499999999</v>
      </c>
      <c r="F41" s="187"/>
      <c r="G41" s="21">
        <f>SUM('Pro Forma Income Statment'!I44:K44)+SUM('Pro Forma Income Statment'!I45:K45)</f>
        <v>7192.1430546874999</v>
      </c>
      <c r="H41" s="21">
        <f>SUM('Pro Forma Income Statment'!L44:N44)+SUM('Pro Forma Income Statment'!L45:N45)</f>
        <v>8325.8046036826181</v>
      </c>
      <c r="I41" s="21">
        <f>SUM('Pro Forma Income Statment'!O44:Q44)+SUM('Pro Forma Income Statment'!O45:Q45)</f>
        <v>9638.1595543380918</v>
      </c>
      <c r="J41" s="21">
        <f>SUM('Pro Forma Income Statment'!R44:T44)+SUM('Pro Forma Income Statment'!R45:T45)</f>
        <v>11157.374454090634</v>
      </c>
      <c r="K41" s="250">
        <f>SUM('Pro Forma Income Statment'!U44:W44)+SUM('Pro Forma Income Statment'!U45:W45)</f>
        <v>12916.055602416673</v>
      </c>
      <c r="L41" s="21">
        <f>SUM('Pro Forma Income Statment'!X44:Z44)+SUM('Pro Forma Income Statment'!X45:Z45)</f>
        <v>14951.9488667476</v>
      </c>
      <c r="M41" s="21">
        <f>SUM('Pro Forma Income Statment'!AA44:AC44)+SUM('Pro Forma Income Statment'!AA45:AC45)</f>
        <v>17308.749806868695</v>
      </c>
      <c r="N41" s="21">
        <f>SUM('Pro Forma Income Statment'!AD44:AF44)+SUM('Pro Forma Income Statment'!AD45:AF45)</f>
        <v>20037.041495176374</v>
      </c>
      <c r="O41" s="187"/>
      <c r="P41" s="21">
        <f t="shared" si="6"/>
        <v>36313.481666798842</v>
      </c>
      <c r="Q41" s="176"/>
      <c r="R41" s="24">
        <f t="shared" si="0"/>
        <v>65213.795771209341</v>
      </c>
      <c r="S41" s="178"/>
      <c r="T41" s="24">
        <f>SUM('Pro Forma Income Statment'!AK44:AK45)</f>
        <v>74995.86513689073</v>
      </c>
    </row>
    <row r="42" spans="2:20">
      <c r="B42" s="15"/>
      <c r="C42" s="15" t="s">
        <v>195</v>
      </c>
      <c r="E42" s="22">
        <f>SUM('Pro Forma Income Statment'!G53:G56) + SUM('Pro Forma Income Statment'!G46:G47)</f>
        <v>7797.3000000000011</v>
      </c>
      <c r="F42" s="188"/>
      <c r="G42" s="22">
        <f>SUM('Pro Forma Income Statment'!I54:K54)+SUM('Pro Forma Income Statment'!I55:K55)+SUM('Pro Forma Income Statment'!I46:K46)+SUM('Pro Forma Income Statment'!I56:K56)+SUM('Pro Forma Income Statment'!I53:K53)+SUM('Pro Forma Income Statment'!I47:K47)</f>
        <v>2048.4156875000003</v>
      </c>
      <c r="H42" s="22">
        <f>SUM('Pro Forma Income Statment'!L54:N54)+SUM('Pro Forma Income Statment'!L55:N55)+SUM('Pro Forma Income Statment'!L46:N46)+SUM('Pro Forma Income Statment'!L56:N56)+SUM('Pro Forma Income Statment'!L53:N53)+SUM('Pro Forma Income Statment'!L47:N47)</f>
        <v>2371.2972102421882</v>
      </c>
      <c r="I42" s="22">
        <f>SUM('Pro Forma Income Statment'!O54:Q54)+SUM('Pro Forma Income Statment'!O55:Q55)+SUM('Pro Forma Income Statment'!O46:Q46)+SUM('Pro Forma Income Statment'!O56:Q56)+SUM('Pro Forma Income Statment'!O53:Q53)+SUM('Pro Forma Income Statment'!O47:Q47)</f>
        <v>2745.0729330066133</v>
      </c>
      <c r="J42" s="22">
        <f>SUM('Pro Forma Income Statment'!R54:T54)+SUM('Pro Forma Income Statment'!R55:T55)+SUM('Pro Forma Income Statment'!R46:T46)+SUM('Pro Forma Income Statment'!R56:T56)+SUM('Pro Forma Income Statment'!R53:T53)+SUM('Pro Forma Income Statment'!R47:T47)</f>
        <v>3177.7650540717809</v>
      </c>
      <c r="K42" s="251">
        <f>SUM('Pro Forma Income Statment'!U54:W54)+SUM('Pro Forma Income Statment'!U55:W55)+SUM('Pro Forma Income Statment'!U46:W46)+SUM('Pro Forma Income Statment'!U56:W56)+SUM('Pro Forma Income Statment'!U53:W53)+SUM('Pro Forma Income Statment'!U47:W47)</f>
        <v>3678.6602707198463</v>
      </c>
      <c r="L42" s="22">
        <f>SUM('Pro Forma Income Statment'!X54:Z54)+SUM('Pro Forma Income Statment'!X55:Z55)+SUM('Pro Forma Income Statment'!X46:Z46)+SUM('Pro Forma Income Statment'!X56:Z56)+SUM('Pro Forma Income Statment'!X53:Z53)+SUM('Pro Forma Income Statment'!X47:Z47)</f>
        <v>4258.5090958920628</v>
      </c>
      <c r="M42" s="22">
        <f>SUM('Pro Forma Income Statment'!AA54:AC54)+SUM('Pro Forma Income Statment'!AA55:AC55)+SUM('Pro Forma Income Statment'!AA46:AC46)+SUM('Pro Forma Income Statment'!AA56:AC56)+SUM('Pro Forma Income Statment'!AA53:AC53)+SUM('Pro Forma Income Statment'!AA47:AC47)</f>
        <v>4929.7565921320502</v>
      </c>
      <c r="N42" s="22">
        <f>SUM('Pro Forma Income Statment'!AD54:AF54)+SUM('Pro Forma Income Statment'!AD55:AF55)+SUM('Pro Forma Income Statment'!AD46:AF46)+SUM('Pro Forma Income Statment'!AD56:AF56)+SUM('Pro Forma Income Statment'!AD53:AF53)+SUM('Pro Forma Income Statment'!AD47:AF47)</f>
        <v>5706.8094749668644</v>
      </c>
      <c r="O42" s="188"/>
      <c r="P42" s="22">
        <f t="shared" si="6"/>
        <v>10342.550884820583</v>
      </c>
      <c r="Q42" s="176"/>
      <c r="R42" s="160">
        <f t="shared" si="0"/>
        <v>18573.735433710823</v>
      </c>
      <c r="S42" s="178"/>
      <c r="T42" s="160">
        <f>SUM('Pro Forma Income Statment'!AK53:AK56)+SUM('Pro Forma Income Statment'!AK46:AK47)</f>
        <v>21359.795748767443</v>
      </c>
    </row>
    <row r="43" spans="2:20" s="1" customFormat="1">
      <c r="B43" s="1" t="s">
        <v>107</v>
      </c>
      <c r="E43" s="34">
        <f>SUM(E33:E42)</f>
        <v>530493.46499999997</v>
      </c>
      <c r="F43" s="189"/>
      <c r="G43" s="34">
        <f>SUM(G33:G42)</f>
        <v>225160.42508121012</v>
      </c>
      <c r="H43" s="34">
        <f t="shared" ref="H43:N43" si="7">SUM(H33:H42)</f>
        <v>287295.67362755729</v>
      </c>
      <c r="I43" s="34">
        <f t="shared" si="7"/>
        <v>299484.03427740885</v>
      </c>
      <c r="J43" s="34">
        <f t="shared" si="7"/>
        <v>297995.64725062053</v>
      </c>
      <c r="K43" s="252">
        <f t="shared" si="7"/>
        <v>365689.94913304906</v>
      </c>
      <c r="L43" s="34">
        <f t="shared" si="7"/>
        <v>374039.10319297924</v>
      </c>
      <c r="M43" s="34">
        <f t="shared" si="7"/>
        <v>385942.77793388476</v>
      </c>
      <c r="N43" s="34">
        <f t="shared" si="7"/>
        <v>397759.76153276837</v>
      </c>
      <c r="O43" s="189"/>
      <c r="P43" s="34">
        <f>SUM(G43:J43)</f>
        <v>1109935.7802367969</v>
      </c>
      <c r="Q43" s="177"/>
      <c r="R43" s="35">
        <f t="shared" si="0"/>
        <v>1523431.5917926815</v>
      </c>
      <c r="S43" s="179"/>
      <c r="T43" s="35">
        <f>SUM(T33:T42)</f>
        <v>1907192.4600705041</v>
      </c>
    </row>
    <row r="44" spans="2:20" ht="11" customHeight="1">
      <c r="F44" s="190"/>
      <c r="K44" s="254"/>
      <c r="O44" s="190"/>
      <c r="R44" s="24"/>
    </row>
    <row r="45" spans="2:20">
      <c r="B45" s="1" t="s">
        <v>108</v>
      </c>
      <c r="C45" s="1"/>
      <c r="D45" s="1"/>
      <c r="E45" s="121">
        <f>E16-E28-E43</f>
        <v>-765777.73510638298</v>
      </c>
      <c r="F45" s="195"/>
      <c r="G45" s="121">
        <f t="shared" ref="G45:N45" si="8">G16-G28-G43</f>
        <v>-190774.17674509095</v>
      </c>
      <c r="H45" s="121">
        <f t="shared" si="8"/>
        <v>-161386.88445397219</v>
      </c>
      <c r="I45" s="121">
        <f t="shared" si="8"/>
        <v>-86999.653531375108</v>
      </c>
      <c r="J45" s="121">
        <f t="shared" si="8"/>
        <v>-47504.192067202996</v>
      </c>
      <c r="K45" s="255">
        <f t="shared" si="8"/>
        <v>-78492.906291925989</v>
      </c>
      <c r="L45" s="121">
        <f t="shared" si="8"/>
        <v>-32687.994425423094</v>
      </c>
      <c r="M45" s="121">
        <f t="shared" si="8"/>
        <v>13022.354553499026</v>
      </c>
      <c r="N45" s="121">
        <f t="shared" si="8"/>
        <v>63756.708730057464</v>
      </c>
      <c r="O45" s="195"/>
      <c r="P45" s="121">
        <f>P16-P28-P43</f>
        <v>-486664.90679764119</v>
      </c>
      <c r="Q45" s="196"/>
      <c r="R45" s="121">
        <f t="shared" si="0"/>
        <v>-34401.837433792592</v>
      </c>
      <c r="S45" s="196"/>
      <c r="T45" s="121">
        <f>T16-T28-T43</f>
        <v>310841.90107976482</v>
      </c>
    </row>
    <row r="46" spans="2:20" ht="9" customHeight="1">
      <c r="B46" s="1"/>
      <c r="C46" s="1"/>
      <c r="D46" s="1"/>
      <c r="E46" s="121"/>
      <c r="F46" s="195"/>
      <c r="G46" s="121"/>
      <c r="H46" s="121"/>
      <c r="I46" s="121"/>
      <c r="J46" s="121"/>
      <c r="K46" s="255"/>
      <c r="L46" s="121"/>
      <c r="M46" s="121"/>
      <c r="N46" s="121"/>
      <c r="O46" s="195"/>
      <c r="P46" s="121"/>
      <c r="Q46" s="196"/>
      <c r="R46" s="121"/>
      <c r="S46" s="196"/>
      <c r="T46" s="121"/>
    </row>
    <row r="47" spans="2:20">
      <c r="B47" t="s">
        <v>157</v>
      </c>
      <c r="D47" s="1"/>
      <c r="E47" s="121"/>
      <c r="F47" s="195"/>
      <c r="G47" s="121"/>
      <c r="H47" s="121"/>
      <c r="I47" s="121"/>
      <c r="J47" s="121"/>
      <c r="K47" s="255"/>
      <c r="L47" s="121"/>
      <c r="M47" s="121"/>
      <c r="N47" s="121"/>
      <c r="O47" s="195"/>
      <c r="P47" s="121"/>
      <c r="Q47" s="196"/>
      <c r="R47" s="121"/>
      <c r="S47" s="196"/>
      <c r="T47" s="121"/>
    </row>
    <row r="48" spans="2:20" ht="15" customHeight="1">
      <c r="C48" t="s">
        <v>158</v>
      </c>
      <c r="G48" s="21">
        <f>SUM('Pro Forma Income Statment'!I62:K62)</f>
        <v>50000</v>
      </c>
      <c r="H48" s="21">
        <f>SUM('Pro Forma Income Statment'!L62:N62)</f>
        <v>50000</v>
      </c>
      <c r="I48" s="21">
        <f>SUM('Pro Forma Income Statment'!O62:Q62)</f>
        <v>50000</v>
      </c>
      <c r="J48" s="21">
        <f>SUM('Pro Forma Income Statment'!R62:T62)</f>
        <v>50000</v>
      </c>
      <c r="K48" s="250">
        <f>SUM('Pro Forma Income Statment'!U62:W62)</f>
        <v>100000</v>
      </c>
      <c r="L48" s="21">
        <f>SUM('Pro Forma Income Statment'!X62:Z62)</f>
        <v>50000</v>
      </c>
      <c r="M48" s="21">
        <f>SUM('Pro Forma Income Statment'!AA62:AC62)</f>
        <v>50000</v>
      </c>
      <c r="N48" s="21">
        <f>SUM('Pro Forma Income Statment'!AD62:AF62)</f>
        <v>50000</v>
      </c>
      <c r="O48" s="21"/>
      <c r="P48" s="21">
        <f>SUM(G48:J48)</f>
        <v>200000</v>
      </c>
      <c r="Q48" s="176"/>
      <c r="R48" s="21">
        <f>SUM(K48:N48)</f>
        <v>250000</v>
      </c>
      <c r="S48" s="176"/>
      <c r="T48" s="21">
        <f>'Pro Forma Income Statment'!AK62</f>
        <v>200000</v>
      </c>
    </row>
    <row r="49" spans="2:20" ht="9" customHeight="1">
      <c r="K49" s="254"/>
    </row>
    <row r="50" spans="2:20">
      <c r="B50" s="453">
        <f>'Pro Forma Income Statment'!H66</f>
        <v>1200000</v>
      </c>
      <c r="C50" s="454"/>
      <c r="D50" s="1"/>
      <c r="E50" s="1"/>
      <c r="F50" s="1"/>
      <c r="G50" s="121">
        <f>'Pro Forma Income Statment'!H66+'Consolidated P&amp;L'!G45-'Consolidated P&amp;L'!G48</f>
        <v>959225.82325490902</v>
      </c>
      <c r="H50" s="121">
        <f t="shared" ref="H50:N50" si="9">G50+H45-H48</f>
        <v>747838.9388009368</v>
      </c>
      <c r="I50" s="121">
        <f t="shared" si="9"/>
        <v>610839.28526956169</v>
      </c>
      <c r="J50" s="121">
        <f t="shared" si="9"/>
        <v>513335.09320235869</v>
      </c>
      <c r="K50" s="255">
        <f t="shared" si="9"/>
        <v>334842.18691043271</v>
      </c>
      <c r="L50" s="121">
        <f t="shared" si="9"/>
        <v>252154.19248500961</v>
      </c>
      <c r="M50" s="121">
        <f t="shared" si="9"/>
        <v>215176.54703850864</v>
      </c>
      <c r="N50" s="121">
        <f t="shared" si="9"/>
        <v>228933.2557685661</v>
      </c>
      <c r="O50" s="1"/>
      <c r="P50" s="121">
        <f>J50</f>
        <v>513335.09320235869</v>
      </c>
      <c r="Q50" s="174"/>
      <c r="R50" s="121">
        <f>N50</f>
        <v>228933.2557685661</v>
      </c>
      <c r="S50" s="174"/>
      <c r="T50" s="121">
        <f>R50+T45-T48</f>
        <v>339775.15684833098</v>
      </c>
    </row>
  </sheetData>
  <mergeCells count="1">
    <mergeCell ref="B50:C50"/>
  </mergeCells>
  <pageMargins left="0.75" right="0.75" top="1" bottom="1" header="0.5" footer="0.5"/>
  <pageSetup orientation="portrait" horizontalDpi="4294967292" verticalDpi="4294967292"/>
  <ignoredErrors>
    <ignoredError sqref="R8:R18 R39:R40 R31:R32 R25:R27 R41:R43 R23:R24 R44:R45 E43:Q43 S43:T43" emptyCellReference="1"/>
    <ignoredError sqref="R28" formula="1" emptyCellReferenc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71"/>
  <sheetViews>
    <sheetView showGridLines="0" workbookViewId="0">
      <selection activeCell="X56" sqref="X56"/>
    </sheetView>
  </sheetViews>
  <sheetFormatPr baseColWidth="10" defaultRowHeight="15" x14ac:dyDescent="0"/>
  <cols>
    <col min="1" max="1" width="3.83203125" customWidth="1"/>
    <col min="2" max="2" width="1" customWidth="1"/>
    <col min="3" max="3" width="2.33203125" customWidth="1"/>
    <col min="4" max="4" width="17.33203125" customWidth="1"/>
    <col min="5" max="5" width="16.5" customWidth="1"/>
    <col min="6" max="6" width="13.33203125" customWidth="1"/>
    <col min="7" max="7" width="5.5" customWidth="1"/>
    <col min="8" max="8" width="1.6640625" customWidth="1"/>
    <col min="9" max="9" width="28.6640625" customWidth="1"/>
    <col min="10" max="11" width="11" bestFit="1" customWidth="1"/>
    <col min="12" max="12" width="11.6640625" customWidth="1"/>
    <col min="13" max="19" width="11.83203125" bestFit="1" customWidth="1"/>
    <col min="20" max="20" width="11" bestFit="1" customWidth="1"/>
    <col min="22" max="24" width="10.83203125" customWidth="1"/>
    <col min="25" max="30" width="11.33203125" customWidth="1"/>
    <col min="31" max="32" width="13.5" customWidth="1"/>
    <col min="33" max="33" width="11.5" bestFit="1" customWidth="1"/>
  </cols>
  <sheetData>
    <row r="2" spans="2:21" ht="37" customHeight="1">
      <c r="B2" s="104"/>
      <c r="C2" s="105" t="s">
        <v>177</v>
      </c>
    </row>
    <row r="3" spans="2:21" ht="18" customHeight="1">
      <c r="B3" s="201"/>
      <c r="C3" s="105"/>
    </row>
    <row r="4" spans="2:21" ht="18" customHeight="1" thickBot="1">
      <c r="B4" s="201"/>
      <c r="C4" s="105"/>
      <c r="H4" s="352" t="s">
        <v>213</v>
      </c>
      <c r="I4" s="353"/>
      <c r="J4" s="353"/>
    </row>
    <row r="5" spans="2:21" ht="6" customHeight="1" thickBot="1">
      <c r="N5" s="354"/>
      <c r="R5" s="169"/>
      <c r="T5" s="164"/>
    </row>
    <row r="6" spans="2:21" ht="18" hidden="1" customHeight="1">
      <c r="J6" s="141">
        <v>0</v>
      </c>
      <c r="K6" s="141">
        <f t="shared" ref="K6:Q6" si="0">J8</f>
        <v>91.25</v>
      </c>
      <c r="L6" s="141">
        <f t="shared" si="0"/>
        <v>182.5</v>
      </c>
      <c r="M6" s="141">
        <f t="shared" si="0"/>
        <v>273.75</v>
      </c>
      <c r="N6" s="355">
        <f t="shared" si="0"/>
        <v>365</v>
      </c>
      <c r="O6" s="141">
        <f t="shared" si="0"/>
        <v>456.25</v>
      </c>
      <c r="P6" s="141">
        <f t="shared" si="0"/>
        <v>547.5</v>
      </c>
      <c r="Q6" s="141">
        <f t="shared" si="0"/>
        <v>638.75</v>
      </c>
      <c r="R6" s="141"/>
      <c r="S6" s="141"/>
      <c r="T6" s="141"/>
      <c r="U6" s="141"/>
    </row>
    <row r="7" spans="2:21" ht="16" thickBot="1">
      <c r="B7" s="88"/>
      <c r="C7" s="89" t="s">
        <v>0</v>
      </c>
      <c r="D7" s="89"/>
      <c r="E7" s="89"/>
      <c r="F7" s="90"/>
      <c r="J7" s="107" t="s">
        <v>203</v>
      </c>
      <c r="K7" s="107" t="s">
        <v>47</v>
      </c>
      <c r="L7" s="107" t="s">
        <v>48</v>
      </c>
      <c r="M7" s="107" t="s">
        <v>49</v>
      </c>
      <c r="N7" s="356" t="s">
        <v>51</v>
      </c>
      <c r="O7" s="107" t="s">
        <v>50</v>
      </c>
      <c r="P7" s="107" t="s">
        <v>62</v>
      </c>
      <c r="Q7" s="107" t="s">
        <v>63</v>
      </c>
      <c r="R7" s="167" t="s">
        <v>55</v>
      </c>
      <c r="S7" s="107" t="s">
        <v>34</v>
      </c>
      <c r="T7" s="165" t="s">
        <v>210</v>
      </c>
    </row>
    <row r="8" spans="2:21" hidden="1">
      <c r="B8" s="80"/>
      <c r="C8" s="16"/>
      <c r="D8" s="16"/>
      <c r="E8" s="16"/>
      <c r="F8" s="81"/>
      <c r="J8">
        <f>365/4</f>
        <v>91.25</v>
      </c>
      <c r="K8">
        <f>J8+J8</f>
        <v>182.5</v>
      </c>
      <c r="L8">
        <f t="shared" ref="L8:Q8" si="1">K8+$J$8</f>
        <v>273.75</v>
      </c>
      <c r="M8">
        <f t="shared" si="1"/>
        <v>365</v>
      </c>
      <c r="N8" s="354">
        <f t="shared" si="1"/>
        <v>456.25</v>
      </c>
      <c r="O8">
        <f t="shared" si="1"/>
        <v>547.5</v>
      </c>
      <c r="P8">
        <f t="shared" si="1"/>
        <v>638.75</v>
      </c>
      <c r="Q8">
        <f t="shared" si="1"/>
        <v>730</v>
      </c>
      <c r="R8" s="168">
        <f>Q8</f>
        <v>730</v>
      </c>
      <c r="T8" s="166"/>
    </row>
    <row r="9" spans="2:21">
      <c r="B9" s="80"/>
      <c r="C9" s="16"/>
      <c r="D9" s="16"/>
      <c r="E9" s="16"/>
      <c r="F9" s="81"/>
      <c r="H9" t="s">
        <v>36</v>
      </c>
      <c r="J9" s="307">
        <v>1</v>
      </c>
      <c r="K9" s="308">
        <f t="shared" ref="K9:Q9" si="2">MIN((K$8/($F$32*365/12))*($R9-$J9)+$J9,$R9)</f>
        <v>1.25</v>
      </c>
      <c r="L9" s="308">
        <f t="shared" si="2"/>
        <v>1.375</v>
      </c>
      <c r="M9" s="308">
        <f t="shared" si="2"/>
        <v>1.5</v>
      </c>
      <c r="N9" s="357">
        <f t="shared" si="2"/>
        <v>1.625</v>
      </c>
      <c r="O9" s="308">
        <f t="shared" si="2"/>
        <v>1.75</v>
      </c>
      <c r="P9" s="308">
        <f t="shared" si="2"/>
        <v>1.875</v>
      </c>
      <c r="Q9" s="308">
        <f t="shared" si="2"/>
        <v>2</v>
      </c>
      <c r="R9" s="309">
        <f>F35</f>
        <v>2</v>
      </c>
      <c r="S9" s="310">
        <f>F12</f>
        <v>3</v>
      </c>
      <c r="T9" s="311">
        <v>1</v>
      </c>
    </row>
    <row r="10" spans="2:21">
      <c r="B10" s="80"/>
      <c r="C10" s="16" t="s">
        <v>1</v>
      </c>
      <c r="D10" s="16"/>
      <c r="E10" s="16"/>
      <c r="F10" s="256">
        <v>50000</v>
      </c>
      <c r="H10" t="s">
        <v>212</v>
      </c>
      <c r="J10" s="223">
        <f t="shared" ref="J10:T10" si="3">(J9*$F$13)/($F$17/60)</f>
        <v>24</v>
      </c>
      <c r="K10" s="223">
        <f t="shared" si="3"/>
        <v>30</v>
      </c>
      <c r="L10" s="223">
        <f t="shared" si="3"/>
        <v>33</v>
      </c>
      <c r="M10" s="223">
        <f t="shared" si="3"/>
        <v>36</v>
      </c>
      <c r="N10" s="358">
        <f t="shared" si="3"/>
        <v>39</v>
      </c>
      <c r="O10" s="223">
        <f t="shared" si="3"/>
        <v>42</v>
      </c>
      <c r="P10" s="223">
        <f t="shared" si="3"/>
        <v>45</v>
      </c>
      <c r="Q10" s="223">
        <f t="shared" si="3"/>
        <v>48</v>
      </c>
      <c r="R10" s="312">
        <f t="shared" si="3"/>
        <v>48</v>
      </c>
      <c r="S10" s="223">
        <f t="shared" si="3"/>
        <v>72</v>
      </c>
      <c r="T10" s="313">
        <f t="shared" si="3"/>
        <v>24</v>
      </c>
    </row>
    <row r="11" spans="2:21">
      <c r="B11" s="80"/>
      <c r="C11" s="16"/>
      <c r="D11" s="16"/>
      <c r="E11" s="16"/>
      <c r="F11" s="256"/>
      <c r="H11" t="s">
        <v>11</v>
      </c>
      <c r="J11" s="314">
        <v>10</v>
      </c>
      <c r="K11" s="315">
        <f t="shared" ref="K11:Q11" si="4">MIN((K$8/($F$32*365/12))*($R11-$J11)+$J11,$R11)</f>
        <v>54.25</v>
      </c>
      <c r="L11" s="315">
        <f t="shared" si="4"/>
        <v>76.375</v>
      </c>
      <c r="M11" s="315">
        <f t="shared" si="4"/>
        <v>98.5</v>
      </c>
      <c r="N11" s="359">
        <f t="shared" si="4"/>
        <v>120.625</v>
      </c>
      <c r="O11" s="315">
        <f t="shared" si="4"/>
        <v>142.75</v>
      </c>
      <c r="P11" s="315">
        <f t="shared" si="4"/>
        <v>164.875</v>
      </c>
      <c r="Q11" s="315">
        <f t="shared" si="4"/>
        <v>187</v>
      </c>
      <c r="R11" s="309">
        <f>FLOOR(R12*F33,1)</f>
        <v>187</v>
      </c>
      <c r="S11" s="310">
        <f>FLOOR(S12,1)</f>
        <v>468</v>
      </c>
      <c r="T11" s="316">
        <v>15</v>
      </c>
    </row>
    <row r="12" spans="2:21">
      <c r="B12" s="80"/>
      <c r="C12" s="16" t="s">
        <v>54</v>
      </c>
      <c r="D12" s="16"/>
      <c r="E12" s="16"/>
      <c r="F12" s="257">
        <v>3</v>
      </c>
      <c r="I12" s="14" t="s">
        <v>37</v>
      </c>
      <c r="J12" s="223">
        <f t="shared" ref="J12:T12" si="5">((J10*$F$18)*$F$15)/$F$19</f>
        <v>156</v>
      </c>
      <c r="K12" s="223">
        <f t="shared" si="5"/>
        <v>195</v>
      </c>
      <c r="L12" s="223">
        <f t="shared" si="5"/>
        <v>214.5</v>
      </c>
      <c r="M12" s="223">
        <f t="shared" si="5"/>
        <v>234</v>
      </c>
      <c r="N12" s="358">
        <f t="shared" si="5"/>
        <v>253.5</v>
      </c>
      <c r="O12" s="223">
        <f t="shared" si="5"/>
        <v>273</v>
      </c>
      <c r="P12" s="223">
        <f t="shared" si="5"/>
        <v>292.5</v>
      </c>
      <c r="Q12" s="223">
        <f t="shared" si="5"/>
        <v>312</v>
      </c>
      <c r="R12" s="312">
        <f t="shared" si="5"/>
        <v>312</v>
      </c>
      <c r="S12" s="223">
        <f t="shared" si="5"/>
        <v>468</v>
      </c>
      <c r="T12" s="313">
        <f t="shared" si="5"/>
        <v>156</v>
      </c>
    </row>
    <row r="13" spans="2:21">
      <c r="B13" s="80"/>
      <c r="C13" s="16" t="s">
        <v>2</v>
      </c>
      <c r="D13" s="16"/>
      <c r="E13" s="16"/>
      <c r="F13" s="257">
        <v>12</v>
      </c>
      <c r="I13" s="11" t="s">
        <v>14</v>
      </c>
      <c r="J13" s="320">
        <f>J11/J12</f>
        <v>6.4102564102564097E-2</v>
      </c>
      <c r="K13" s="320">
        <f t="shared" ref="K13:S13" si="6">K11/K12</f>
        <v>0.27820512820512822</v>
      </c>
      <c r="L13" s="320">
        <f t="shared" si="6"/>
        <v>0.35606060606060608</v>
      </c>
      <c r="M13" s="320">
        <f t="shared" si="6"/>
        <v>0.42094017094017094</v>
      </c>
      <c r="N13" s="360">
        <f t="shared" si="6"/>
        <v>0.47583826429980275</v>
      </c>
      <c r="O13" s="320">
        <f t="shared" si="6"/>
        <v>0.52289377289377292</v>
      </c>
      <c r="P13" s="320">
        <f>P11/P12</f>
        <v>0.56367521367521367</v>
      </c>
      <c r="Q13" s="320">
        <f>Q11/Q12</f>
        <v>0.59935897435897434</v>
      </c>
      <c r="R13" s="321">
        <f>R11/R12</f>
        <v>0.59935897435897434</v>
      </c>
      <c r="S13" s="320">
        <f t="shared" si="6"/>
        <v>1</v>
      </c>
      <c r="T13" s="322">
        <f>T11/T12</f>
        <v>9.6153846153846159E-2</v>
      </c>
    </row>
    <row r="14" spans="2:21">
      <c r="B14" s="80"/>
      <c r="C14" s="16" t="s">
        <v>39</v>
      </c>
      <c r="D14" s="16"/>
      <c r="E14" s="16"/>
      <c r="F14" s="257">
        <v>2.5</v>
      </c>
      <c r="H14" t="s">
        <v>12</v>
      </c>
      <c r="J14" s="323">
        <f t="shared" ref="J14:O14" si="7">J11*$F$21</f>
        <v>1200</v>
      </c>
      <c r="K14" s="323">
        <f t="shared" si="7"/>
        <v>6510</v>
      </c>
      <c r="L14" s="323">
        <f t="shared" si="7"/>
        <v>9165</v>
      </c>
      <c r="M14" s="323">
        <f t="shared" si="7"/>
        <v>11820</v>
      </c>
      <c r="N14" s="361">
        <f t="shared" si="7"/>
        <v>14475</v>
      </c>
      <c r="O14" s="323">
        <f t="shared" si="7"/>
        <v>17130</v>
      </c>
      <c r="P14" s="323">
        <f>P11*$F$21</f>
        <v>19785</v>
      </c>
      <c r="Q14" s="323">
        <f>Q11*$F$21</f>
        <v>22440</v>
      </c>
      <c r="R14" s="324">
        <f>R11*$F$21</f>
        <v>22440</v>
      </c>
      <c r="S14" s="323">
        <f>S11*$F$21</f>
        <v>56160</v>
      </c>
      <c r="T14" s="325">
        <f>T11*$F$21</f>
        <v>1800</v>
      </c>
    </row>
    <row r="15" spans="2:21">
      <c r="B15" s="80"/>
      <c r="C15" s="16" t="s">
        <v>3</v>
      </c>
      <c r="D15" s="16"/>
      <c r="E15" s="16"/>
      <c r="F15" s="257">
        <v>26</v>
      </c>
      <c r="J15" s="226"/>
      <c r="K15" s="226"/>
      <c r="L15" s="226"/>
      <c r="M15" s="226"/>
      <c r="N15" s="362"/>
      <c r="O15" s="226"/>
      <c r="P15" s="226"/>
      <c r="Q15" s="226"/>
      <c r="R15" s="309"/>
      <c r="S15" s="226"/>
      <c r="T15" s="326"/>
    </row>
    <row r="16" spans="2:21">
      <c r="B16" s="80"/>
      <c r="C16" s="16"/>
      <c r="D16" s="16"/>
      <c r="E16" s="16"/>
      <c r="F16" s="257"/>
      <c r="H16" t="s">
        <v>27</v>
      </c>
      <c r="J16" s="314">
        <v>20</v>
      </c>
      <c r="K16" s="315">
        <f t="shared" ref="K16:Q16" si="8">MIN((K$8/($F$32*365/12))*($R16-$J16)+$J16,$R16)</f>
        <v>73.5</v>
      </c>
      <c r="L16" s="315">
        <f t="shared" si="8"/>
        <v>100.25</v>
      </c>
      <c r="M16" s="315">
        <f t="shared" si="8"/>
        <v>127</v>
      </c>
      <c r="N16" s="359">
        <f t="shared" si="8"/>
        <v>153.75</v>
      </c>
      <c r="O16" s="315">
        <f t="shared" si="8"/>
        <v>180.5</v>
      </c>
      <c r="P16" s="315">
        <f t="shared" si="8"/>
        <v>207.25</v>
      </c>
      <c r="Q16" s="315">
        <f t="shared" si="8"/>
        <v>234</v>
      </c>
      <c r="R16" s="309">
        <f>FLOOR(R17*F34,1)</f>
        <v>234</v>
      </c>
      <c r="S16" s="310">
        <f>FLOOR(S17,1)</f>
        <v>468</v>
      </c>
      <c r="T16" s="311">
        <f>FLOOR(T17,1)</f>
        <v>156</v>
      </c>
    </row>
    <row r="17" spans="2:22">
      <c r="B17" s="80"/>
      <c r="C17" s="16" t="s">
        <v>7</v>
      </c>
      <c r="D17" s="16"/>
      <c r="E17" s="16"/>
      <c r="F17" s="258">
        <v>30</v>
      </c>
      <c r="I17" s="14" t="s">
        <v>37</v>
      </c>
      <c r="J17" s="223">
        <f t="shared" ref="J17:T17" si="9">(J10*(1-$F$18))*$F$15</f>
        <v>156</v>
      </c>
      <c r="K17" s="223">
        <f t="shared" si="9"/>
        <v>195</v>
      </c>
      <c r="L17" s="223">
        <f t="shared" si="9"/>
        <v>214.5</v>
      </c>
      <c r="M17" s="223">
        <f t="shared" si="9"/>
        <v>234</v>
      </c>
      <c r="N17" s="358">
        <f t="shared" si="9"/>
        <v>253.5</v>
      </c>
      <c r="O17" s="223">
        <f t="shared" si="9"/>
        <v>273</v>
      </c>
      <c r="P17" s="223">
        <f t="shared" si="9"/>
        <v>292.5</v>
      </c>
      <c r="Q17" s="223">
        <f t="shared" si="9"/>
        <v>312</v>
      </c>
      <c r="R17" s="312">
        <f t="shared" si="9"/>
        <v>312</v>
      </c>
      <c r="S17" s="223">
        <f t="shared" si="9"/>
        <v>468</v>
      </c>
      <c r="T17" s="313">
        <f t="shared" si="9"/>
        <v>156</v>
      </c>
    </row>
    <row r="18" spans="2:22">
      <c r="B18" s="80"/>
      <c r="C18" s="16" t="s">
        <v>8</v>
      </c>
      <c r="D18" s="16"/>
      <c r="E18" s="16"/>
      <c r="F18" s="259">
        <v>0.75</v>
      </c>
      <c r="I18" s="11" t="s">
        <v>14</v>
      </c>
      <c r="J18" s="320">
        <f>J16/J17</f>
        <v>0.12820512820512819</v>
      </c>
      <c r="K18" s="320">
        <f t="shared" ref="K18:S18" si="10">K16/K17</f>
        <v>0.37692307692307692</v>
      </c>
      <c r="L18" s="320">
        <f t="shared" si="10"/>
        <v>0.46736596736596736</v>
      </c>
      <c r="M18" s="320">
        <f t="shared" si="10"/>
        <v>0.54273504273504269</v>
      </c>
      <c r="N18" s="360">
        <f t="shared" si="10"/>
        <v>0.60650887573964496</v>
      </c>
      <c r="O18" s="320">
        <f t="shared" si="10"/>
        <v>0.66117216117216115</v>
      </c>
      <c r="P18" s="320">
        <f>P16/P17</f>
        <v>0.70854700854700858</v>
      </c>
      <c r="Q18" s="320">
        <f>Q16/Q17</f>
        <v>0.75</v>
      </c>
      <c r="R18" s="321">
        <f>R16/R17</f>
        <v>0.75</v>
      </c>
      <c r="S18" s="320">
        <f t="shared" si="10"/>
        <v>1</v>
      </c>
      <c r="T18" s="322">
        <f>T16/T17</f>
        <v>1</v>
      </c>
    </row>
    <row r="19" spans="2:22">
      <c r="B19" s="80"/>
      <c r="C19" s="16" t="s">
        <v>4</v>
      </c>
      <c r="D19" s="16"/>
      <c r="E19" s="16"/>
      <c r="F19" s="265">
        <v>3</v>
      </c>
      <c r="H19" t="s">
        <v>13</v>
      </c>
      <c r="J19" s="224">
        <f t="shared" ref="J19:T19" si="11">J16*$F$22</f>
        <v>600</v>
      </c>
      <c r="K19" s="224">
        <f t="shared" si="11"/>
        <v>2205</v>
      </c>
      <c r="L19" s="224">
        <f t="shared" si="11"/>
        <v>3007.5</v>
      </c>
      <c r="M19" s="224">
        <f t="shared" si="11"/>
        <v>3810</v>
      </c>
      <c r="N19" s="363">
        <f t="shared" si="11"/>
        <v>4612.5</v>
      </c>
      <c r="O19" s="224">
        <f t="shared" si="11"/>
        <v>5415</v>
      </c>
      <c r="P19" s="224">
        <f t="shared" si="11"/>
        <v>6217.5</v>
      </c>
      <c r="Q19" s="224">
        <f t="shared" si="11"/>
        <v>7020</v>
      </c>
      <c r="R19" s="327">
        <f t="shared" si="11"/>
        <v>7020</v>
      </c>
      <c r="S19" s="224">
        <f t="shared" si="11"/>
        <v>14040</v>
      </c>
      <c r="T19" s="328">
        <f t="shared" si="11"/>
        <v>4680</v>
      </c>
    </row>
    <row r="20" spans="2:22">
      <c r="B20" s="80"/>
      <c r="C20" s="16"/>
      <c r="D20" s="16"/>
      <c r="E20" s="16"/>
      <c r="F20" s="259"/>
      <c r="H20" t="s">
        <v>44</v>
      </c>
      <c r="J20" s="317">
        <f t="shared" ref="J20:T20" si="12">J16+(J11*$F$19)</f>
        <v>50</v>
      </c>
      <c r="K20" s="317">
        <f t="shared" si="12"/>
        <v>236.25</v>
      </c>
      <c r="L20" s="317">
        <f t="shared" si="12"/>
        <v>329.375</v>
      </c>
      <c r="M20" s="317">
        <f t="shared" si="12"/>
        <v>422.5</v>
      </c>
      <c r="N20" s="364">
        <f t="shared" si="12"/>
        <v>515.625</v>
      </c>
      <c r="O20" s="317">
        <f t="shared" si="12"/>
        <v>608.75</v>
      </c>
      <c r="P20" s="317">
        <f t="shared" si="12"/>
        <v>701.875</v>
      </c>
      <c r="Q20" s="317">
        <f t="shared" si="12"/>
        <v>795</v>
      </c>
      <c r="R20" s="318">
        <f t="shared" si="12"/>
        <v>795</v>
      </c>
      <c r="S20" s="317">
        <f t="shared" si="12"/>
        <v>1872</v>
      </c>
      <c r="T20" s="319">
        <f t="shared" si="12"/>
        <v>201</v>
      </c>
    </row>
    <row r="21" spans="2:22">
      <c r="B21" s="80"/>
      <c r="C21" s="16" t="s">
        <v>217</v>
      </c>
      <c r="D21" s="16"/>
      <c r="E21" s="16"/>
      <c r="F21" s="260">
        <v>120</v>
      </c>
      <c r="H21" s="15" t="s">
        <v>43</v>
      </c>
      <c r="I21" s="15"/>
      <c r="J21" s="329">
        <f t="shared" ref="J21:T21" si="13">J20*$F$23</f>
        <v>75</v>
      </c>
      <c r="K21" s="329">
        <f t="shared" si="13"/>
        <v>354.375</v>
      </c>
      <c r="L21" s="329">
        <f t="shared" si="13"/>
        <v>494.0625</v>
      </c>
      <c r="M21" s="329">
        <f t="shared" si="13"/>
        <v>633.75</v>
      </c>
      <c r="N21" s="365">
        <f t="shared" si="13"/>
        <v>773.4375</v>
      </c>
      <c r="O21" s="329">
        <f t="shared" si="13"/>
        <v>913.125</v>
      </c>
      <c r="P21" s="329">
        <f t="shared" si="13"/>
        <v>1052.8125</v>
      </c>
      <c r="Q21" s="329">
        <f t="shared" si="13"/>
        <v>1192.5</v>
      </c>
      <c r="R21" s="330">
        <f t="shared" si="13"/>
        <v>1192.5</v>
      </c>
      <c r="S21" s="329">
        <f t="shared" si="13"/>
        <v>2808</v>
      </c>
      <c r="T21" s="331">
        <f t="shared" si="13"/>
        <v>301.5</v>
      </c>
    </row>
    <row r="22" spans="2:22">
      <c r="B22" s="80"/>
      <c r="C22" s="16" t="s">
        <v>218</v>
      </c>
      <c r="D22" s="16"/>
      <c r="E22" s="16"/>
      <c r="F22" s="260">
        <v>30</v>
      </c>
      <c r="H22" s="1" t="s">
        <v>110</v>
      </c>
      <c r="I22" s="1"/>
      <c r="J22" s="391">
        <f>J21+J19+J14</f>
        <v>1875</v>
      </c>
      <c r="K22" s="391">
        <f t="shared" ref="K22:S22" si="14">K21+K19+K14</f>
        <v>9069.375</v>
      </c>
      <c r="L22" s="391">
        <f t="shared" si="14"/>
        <v>12666.5625</v>
      </c>
      <c r="M22" s="391">
        <f t="shared" si="14"/>
        <v>16263.75</v>
      </c>
      <c r="N22" s="392">
        <f t="shared" si="14"/>
        <v>19860.9375</v>
      </c>
      <c r="O22" s="391">
        <f t="shared" si="14"/>
        <v>23458.125</v>
      </c>
      <c r="P22" s="391">
        <f>P21+P19+P14</f>
        <v>27055.3125</v>
      </c>
      <c r="Q22" s="391">
        <f>Q21+Q19+Q14</f>
        <v>30652.5</v>
      </c>
      <c r="R22" s="393">
        <f>R21+R19+R14</f>
        <v>30652.5</v>
      </c>
      <c r="S22" s="391">
        <f t="shared" si="14"/>
        <v>73008</v>
      </c>
      <c r="T22" s="394">
        <f>T21+T19+T14</f>
        <v>6781.5</v>
      </c>
    </row>
    <row r="23" spans="2:22">
      <c r="B23" s="80"/>
      <c r="C23" s="16" t="s">
        <v>42</v>
      </c>
      <c r="D23" s="16"/>
      <c r="E23" s="16"/>
      <c r="F23" s="261">
        <v>1.5</v>
      </c>
      <c r="H23" s="381" t="s">
        <v>168</v>
      </c>
      <c r="I23" s="1"/>
      <c r="J23" s="391">
        <f>J20*$F$25</f>
        <v>62.5</v>
      </c>
      <c r="K23" s="391">
        <f t="shared" ref="K23:T23" si="15">K20*$F$25</f>
        <v>295.3125</v>
      </c>
      <c r="L23" s="391">
        <f t="shared" si="15"/>
        <v>411.71875</v>
      </c>
      <c r="M23" s="391">
        <f t="shared" si="15"/>
        <v>528.125</v>
      </c>
      <c r="N23" s="392">
        <f t="shared" si="15"/>
        <v>644.53125</v>
      </c>
      <c r="O23" s="391">
        <f t="shared" si="15"/>
        <v>760.9375</v>
      </c>
      <c r="P23" s="391">
        <f t="shared" si="15"/>
        <v>877.34375</v>
      </c>
      <c r="Q23" s="391">
        <f t="shared" si="15"/>
        <v>993.75</v>
      </c>
      <c r="R23" s="393">
        <f t="shared" si="15"/>
        <v>993.75</v>
      </c>
      <c r="S23" s="391">
        <f t="shared" si="15"/>
        <v>2340</v>
      </c>
      <c r="T23" s="394">
        <f t="shared" si="15"/>
        <v>251.25</v>
      </c>
    </row>
    <row r="24" spans="2:22">
      <c r="B24" s="80"/>
      <c r="C24" s="16"/>
      <c r="D24" s="16"/>
      <c r="E24" s="16"/>
      <c r="F24" s="265"/>
      <c r="H24" s="382" t="s">
        <v>169</v>
      </c>
      <c r="I24" s="382"/>
      <c r="J24" s="383">
        <f>J22-J23</f>
        <v>1812.5</v>
      </c>
      <c r="K24" s="383">
        <f t="shared" ref="K24:T24" si="16">K22-K23</f>
        <v>8774.0625</v>
      </c>
      <c r="L24" s="383">
        <f t="shared" si="16"/>
        <v>12254.84375</v>
      </c>
      <c r="M24" s="383">
        <f t="shared" si="16"/>
        <v>15735.625</v>
      </c>
      <c r="N24" s="384">
        <f t="shared" si="16"/>
        <v>19216.40625</v>
      </c>
      <c r="O24" s="383">
        <f t="shared" si="16"/>
        <v>22697.1875</v>
      </c>
      <c r="P24" s="383">
        <f t="shared" si="16"/>
        <v>26177.96875</v>
      </c>
      <c r="Q24" s="383">
        <f t="shared" si="16"/>
        <v>29658.75</v>
      </c>
      <c r="R24" s="385">
        <f t="shared" si="16"/>
        <v>29658.75</v>
      </c>
      <c r="S24" s="383">
        <f t="shared" si="16"/>
        <v>70668</v>
      </c>
      <c r="T24" s="386">
        <f t="shared" si="16"/>
        <v>6530.25</v>
      </c>
    </row>
    <row r="25" spans="2:22">
      <c r="B25" s="80"/>
      <c r="C25" s="16" t="s">
        <v>41</v>
      </c>
      <c r="D25" s="16"/>
      <c r="E25" s="16"/>
      <c r="F25" s="261">
        <v>1.25</v>
      </c>
      <c r="J25" s="226"/>
      <c r="K25" s="226"/>
      <c r="L25" s="226"/>
      <c r="M25" s="226"/>
      <c r="N25" s="362"/>
      <c r="O25" s="226"/>
      <c r="P25" s="226"/>
      <c r="Q25" s="226"/>
      <c r="R25" s="332"/>
      <c r="S25" s="226"/>
      <c r="T25" s="326"/>
    </row>
    <row r="26" spans="2:22">
      <c r="B26" s="80"/>
      <c r="C26" s="16" t="s">
        <v>5</v>
      </c>
      <c r="D26" s="16"/>
      <c r="E26" s="16"/>
      <c r="F26" s="260">
        <v>14</v>
      </c>
      <c r="G26" s="5"/>
      <c r="H26" s="381" t="s">
        <v>38</v>
      </c>
      <c r="I26" s="381"/>
      <c r="J26" s="387">
        <f t="shared" ref="J26:T26" si="17">J9*($F$13+$F$14)*$F$15</f>
        <v>377</v>
      </c>
      <c r="K26" s="387">
        <f t="shared" si="17"/>
        <v>471.25</v>
      </c>
      <c r="L26" s="387">
        <f t="shared" si="17"/>
        <v>518.375</v>
      </c>
      <c r="M26" s="387">
        <f t="shared" si="17"/>
        <v>565.5</v>
      </c>
      <c r="N26" s="388">
        <f t="shared" si="17"/>
        <v>612.625</v>
      </c>
      <c r="O26" s="387">
        <f t="shared" si="17"/>
        <v>659.75</v>
      </c>
      <c r="P26" s="387">
        <f t="shared" si="17"/>
        <v>706.875</v>
      </c>
      <c r="Q26" s="387">
        <f t="shared" si="17"/>
        <v>754</v>
      </c>
      <c r="R26" s="389">
        <f t="shared" si="17"/>
        <v>754</v>
      </c>
      <c r="S26" s="387">
        <f t="shared" si="17"/>
        <v>1131</v>
      </c>
      <c r="T26" s="390">
        <f t="shared" si="17"/>
        <v>377</v>
      </c>
      <c r="U26" s="381"/>
      <c r="V26" s="381"/>
    </row>
    <row r="27" spans="2:22">
      <c r="B27" s="80"/>
      <c r="C27" s="16" t="s">
        <v>6</v>
      </c>
      <c r="D27" s="16"/>
      <c r="E27" s="16"/>
      <c r="F27" s="260">
        <v>75</v>
      </c>
      <c r="H27" t="s">
        <v>10</v>
      </c>
      <c r="J27" s="223">
        <f>J26*$F$26</f>
        <v>5278</v>
      </c>
      <c r="K27" s="223">
        <f t="shared" ref="K27:S27" si="18">K26*$F$26</f>
        <v>6597.5</v>
      </c>
      <c r="L27" s="223">
        <f t="shared" si="18"/>
        <v>7257.25</v>
      </c>
      <c r="M27" s="223">
        <f t="shared" si="18"/>
        <v>7917</v>
      </c>
      <c r="N27" s="358">
        <f t="shared" si="18"/>
        <v>8576.75</v>
      </c>
      <c r="O27" s="223">
        <f t="shared" si="18"/>
        <v>9236.5</v>
      </c>
      <c r="P27" s="223">
        <f>P26*$F$26</f>
        <v>9896.25</v>
      </c>
      <c r="Q27" s="223">
        <f>Q26*$F$26</f>
        <v>10556</v>
      </c>
      <c r="R27" s="333">
        <f>R26*$F$26</f>
        <v>10556</v>
      </c>
      <c r="S27" s="223">
        <f t="shared" si="18"/>
        <v>15834</v>
      </c>
      <c r="T27" s="313">
        <f>T26*$F$26</f>
        <v>5278</v>
      </c>
    </row>
    <row r="28" spans="2:22">
      <c r="B28" s="80"/>
      <c r="C28" s="16" t="s">
        <v>45</v>
      </c>
      <c r="D28" s="16"/>
      <c r="E28" s="16"/>
      <c r="F28" s="373">
        <v>0.1</v>
      </c>
      <c r="H28" t="s">
        <v>260</v>
      </c>
      <c r="J28" s="223">
        <f t="shared" ref="J28:T28" si="19">J27*0.125</f>
        <v>659.75</v>
      </c>
      <c r="K28" s="223">
        <f t="shared" si="19"/>
        <v>824.6875</v>
      </c>
      <c r="L28" s="223">
        <f t="shared" si="19"/>
        <v>907.15625</v>
      </c>
      <c r="M28" s="223">
        <f t="shared" si="19"/>
        <v>989.625</v>
      </c>
      <c r="N28" s="358">
        <f t="shared" si="19"/>
        <v>1072.09375</v>
      </c>
      <c r="O28" s="223">
        <f t="shared" si="19"/>
        <v>1154.5625</v>
      </c>
      <c r="P28" s="223">
        <f t="shared" si="19"/>
        <v>1237.03125</v>
      </c>
      <c r="Q28" s="223">
        <f t="shared" si="19"/>
        <v>1319.5</v>
      </c>
      <c r="R28" s="333">
        <f t="shared" si="19"/>
        <v>1319.5</v>
      </c>
      <c r="S28" s="223">
        <f t="shared" si="19"/>
        <v>1979.25</v>
      </c>
      <c r="T28" s="313">
        <f t="shared" si="19"/>
        <v>659.75</v>
      </c>
    </row>
    <row r="29" spans="2:22">
      <c r="B29" s="80"/>
      <c r="C29" s="16" t="s">
        <v>262</v>
      </c>
      <c r="D29" s="16"/>
      <c r="E29" s="16"/>
      <c r="F29" s="262">
        <v>0.03</v>
      </c>
      <c r="H29" t="s">
        <v>91</v>
      </c>
      <c r="J29" s="223">
        <f t="shared" ref="J29:T29" si="20">J22*$F$29</f>
        <v>56.25</v>
      </c>
      <c r="K29" s="223">
        <f t="shared" si="20"/>
        <v>272.08125000000001</v>
      </c>
      <c r="L29" s="223">
        <f t="shared" si="20"/>
        <v>379.99687499999999</v>
      </c>
      <c r="M29" s="223">
        <f t="shared" si="20"/>
        <v>487.91249999999997</v>
      </c>
      <c r="N29" s="358">
        <f t="shared" si="20"/>
        <v>595.828125</v>
      </c>
      <c r="O29" s="223">
        <f t="shared" si="20"/>
        <v>703.74374999999998</v>
      </c>
      <c r="P29" s="223">
        <f t="shared" si="20"/>
        <v>811.65937499999995</v>
      </c>
      <c r="Q29" s="223">
        <f t="shared" si="20"/>
        <v>919.57499999999993</v>
      </c>
      <c r="R29" s="333">
        <f t="shared" si="20"/>
        <v>919.57499999999993</v>
      </c>
      <c r="S29" s="223">
        <f t="shared" si="20"/>
        <v>2190.2399999999998</v>
      </c>
      <c r="T29" s="313">
        <f t="shared" si="20"/>
        <v>203.44499999999999</v>
      </c>
    </row>
    <row r="30" spans="2:22">
      <c r="B30" s="87"/>
      <c r="C30" s="103" t="s">
        <v>56</v>
      </c>
      <c r="D30" s="86"/>
      <c r="E30" s="86"/>
      <c r="F30" s="263"/>
      <c r="H30" s="380" t="s">
        <v>90</v>
      </c>
      <c r="J30" s="223">
        <v>275</v>
      </c>
      <c r="K30" s="223">
        <v>275</v>
      </c>
      <c r="L30" s="223">
        <v>275</v>
      </c>
      <c r="M30" s="223">
        <v>275</v>
      </c>
      <c r="N30" s="358">
        <f>275</f>
        <v>275</v>
      </c>
      <c r="O30" s="223">
        <v>275</v>
      </c>
      <c r="P30" s="223">
        <v>275</v>
      </c>
      <c r="Q30" s="223">
        <v>275</v>
      </c>
      <c r="R30" s="333">
        <v>275</v>
      </c>
      <c r="S30" s="223">
        <v>275</v>
      </c>
      <c r="T30" s="313">
        <v>275</v>
      </c>
    </row>
    <row r="31" spans="2:22" ht="14" customHeight="1">
      <c r="B31" s="139"/>
      <c r="C31" s="140"/>
      <c r="D31" s="141"/>
      <c r="E31" s="141"/>
      <c r="F31" s="266"/>
      <c r="H31" t="s">
        <v>92</v>
      </c>
      <c r="J31" s="223">
        <v>5</v>
      </c>
      <c r="K31" s="223">
        <v>5</v>
      </c>
      <c r="L31" s="223">
        <v>5</v>
      </c>
      <c r="M31" s="223">
        <v>5</v>
      </c>
      <c r="N31" s="358">
        <v>10</v>
      </c>
      <c r="O31" s="223">
        <v>10</v>
      </c>
      <c r="P31" s="223">
        <v>10</v>
      </c>
      <c r="Q31" s="223">
        <v>10</v>
      </c>
      <c r="R31" s="333">
        <v>10</v>
      </c>
      <c r="S31" s="223">
        <v>10</v>
      </c>
      <c r="T31" s="313">
        <v>10</v>
      </c>
    </row>
    <row r="32" spans="2:22" ht="14" customHeight="1">
      <c r="B32" s="139"/>
      <c r="C32" s="141" t="s">
        <v>186</v>
      </c>
      <c r="D32" s="16"/>
      <c r="E32" s="141"/>
      <c r="F32" s="264">
        <v>24</v>
      </c>
      <c r="H32" s="380" t="s">
        <v>261</v>
      </c>
      <c r="I32" s="16"/>
      <c r="J32" s="334">
        <v>75</v>
      </c>
      <c r="K32" s="334">
        <v>75</v>
      </c>
      <c r="L32" s="334">
        <v>75</v>
      </c>
      <c r="M32" s="334">
        <v>75</v>
      </c>
      <c r="N32" s="358">
        <v>75</v>
      </c>
      <c r="O32" s="334">
        <v>75</v>
      </c>
      <c r="P32" s="334">
        <v>75</v>
      </c>
      <c r="Q32" s="334">
        <v>75</v>
      </c>
      <c r="R32" s="333">
        <v>75</v>
      </c>
      <c r="S32" s="334">
        <v>75</v>
      </c>
      <c r="T32" s="313">
        <v>75</v>
      </c>
    </row>
    <row r="33" spans="2:30" ht="14" customHeight="1">
      <c r="B33" s="80"/>
      <c r="C33" s="16" t="s">
        <v>57</v>
      </c>
      <c r="D33" s="16"/>
      <c r="E33" s="16"/>
      <c r="F33" s="259">
        <v>0.6</v>
      </c>
      <c r="H33" s="15" t="s">
        <v>46</v>
      </c>
      <c r="I33" s="15"/>
      <c r="J33" s="225">
        <f t="shared" ref="J33:T33" si="21">$F$28*J22</f>
        <v>187.5</v>
      </c>
      <c r="K33" s="225">
        <f t="shared" si="21"/>
        <v>906.9375</v>
      </c>
      <c r="L33" s="225">
        <f t="shared" si="21"/>
        <v>1266.65625</v>
      </c>
      <c r="M33" s="225">
        <f t="shared" si="21"/>
        <v>1626.375</v>
      </c>
      <c r="N33" s="366">
        <f t="shared" si="21"/>
        <v>1986.09375</v>
      </c>
      <c r="O33" s="225">
        <f t="shared" si="21"/>
        <v>2345.8125</v>
      </c>
      <c r="P33" s="225">
        <f t="shared" si="21"/>
        <v>2705.53125</v>
      </c>
      <c r="Q33" s="225">
        <f t="shared" si="21"/>
        <v>3065.25</v>
      </c>
      <c r="R33" s="335">
        <f t="shared" si="21"/>
        <v>3065.25</v>
      </c>
      <c r="S33" s="225">
        <f t="shared" si="21"/>
        <v>7300.8</v>
      </c>
      <c r="T33" s="336">
        <f t="shared" si="21"/>
        <v>678.15000000000009</v>
      </c>
    </row>
    <row r="34" spans="2:30" ht="14" customHeight="1">
      <c r="B34" s="80"/>
      <c r="C34" s="16" t="s">
        <v>58</v>
      </c>
      <c r="D34" s="16"/>
      <c r="E34" s="16"/>
      <c r="F34" s="259">
        <v>0.75</v>
      </c>
      <c r="H34" s="1" t="s">
        <v>88</v>
      </c>
      <c r="I34" s="1"/>
      <c r="J34" s="337">
        <f t="shared" ref="J34:T34" si="22">J33+J32+J31+J30+J29+J28+J27</f>
        <v>6536.5</v>
      </c>
      <c r="K34" s="337">
        <f t="shared" si="22"/>
        <v>8956.2062499999993</v>
      </c>
      <c r="L34" s="337">
        <f t="shared" si="22"/>
        <v>10166.059375000001</v>
      </c>
      <c r="M34" s="337">
        <f t="shared" si="22"/>
        <v>11375.9125</v>
      </c>
      <c r="N34" s="367">
        <f t="shared" si="22"/>
        <v>12590.765625</v>
      </c>
      <c r="O34" s="337">
        <f t="shared" si="22"/>
        <v>13800.61875</v>
      </c>
      <c r="P34" s="337">
        <f t="shared" si="22"/>
        <v>15010.471874999999</v>
      </c>
      <c r="Q34" s="337">
        <f t="shared" si="22"/>
        <v>16220.325000000001</v>
      </c>
      <c r="R34" s="338">
        <f t="shared" si="22"/>
        <v>16220.325000000001</v>
      </c>
      <c r="S34" s="339">
        <f t="shared" si="22"/>
        <v>27664.29</v>
      </c>
      <c r="T34" s="340">
        <f t="shared" si="22"/>
        <v>7179.3450000000003</v>
      </c>
    </row>
    <row r="35" spans="2:30" ht="14" customHeight="1">
      <c r="B35" s="80"/>
      <c r="C35" s="16" t="s">
        <v>59</v>
      </c>
      <c r="D35" s="16"/>
      <c r="E35" s="16"/>
      <c r="F35" s="257">
        <v>2</v>
      </c>
      <c r="J35" s="341"/>
      <c r="K35" s="341"/>
      <c r="L35" s="341"/>
      <c r="M35" s="341"/>
      <c r="N35" s="368"/>
      <c r="O35" s="341"/>
      <c r="P35" s="341"/>
      <c r="Q35" s="341"/>
      <c r="R35" s="342"/>
      <c r="S35" s="341"/>
      <c r="T35" s="343"/>
    </row>
    <row r="36" spans="2:30" ht="14" customHeight="1" thickBot="1">
      <c r="B36" s="80"/>
      <c r="C36" s="16"/>
      <c r="D36" s="16"/>
      <c r="E36" s="16"/>
      <c r="F36" s="257"/>
      <c r="H36" s="38" t="s">
        <v>93</v>
      </c>
      <c r="I36" s="38"/>
      <c r="J36" s="344">
        <f t="shared" ref="J36:T36" si="23">J22-J34</f>
        <v>-4661.5</v>
      </c>
      <c r="K36" s="344">
        <f t="shared" si="23"/>
        <v>113.16875000000073</v>
      </c>
      <c r="L36" s="344">
        <f t="shared" si="23"/>
        <v>2500.5031249999993</v>
      </c>
      <c r="M36" s="344">
        <f t="shared" si="23"/>
        <v>4887.8374999999996</v>
      </c>
      <c r="N36" s="369">
        <f t="shared" si="23"/>
        <v>7270.171875</v>
      </c>
      <c r="O36" s="344">
        <f t="shared" si="23"/>
        <v>9657.5062500000004</v>
      </c>
      <c r="P36" s="344">
        <f t="shared" si="23"/>
        <v>12044.840625000001</v>
      </c>
      <c r="Q36" s="344">
        <f t="shared" si="23"/>
        <v>14432.174999999999</v>
      </c>
      <c r="R36" s="345">
        <f t="shared" si="23"/>
        <v>14432.174999999999</v>
      </c>
      <c r="S36" s="344">
        <f t="shared" si="23"/>
        <v>45343.71</v>
      </c>
      <c r="T36" s="346">
        <f t="shared" si="23"/>
        <v>-397.84500000000025</v>
      </c>
    </row>
    <row r="37" spans="2:30" ht="16" thickTop="1">
      <c r="B37" s="304"/>
      <c r="C37" s="371" t="s">
        <v>211</v>
      </c>
      <c r="D37" s="305"/>
      <c r="E37" s="305"/>
      <c r="F37" s="306"/>
      <c r="I37" s="11" t="s">
        <v>53</v>
      </c>
      <c r="J37" s="320">
        <f t="shared" ref="J37:T37" si="24">MAX(J36,0)/J22</f>
        <v>0</v>
      </c>
      <c r="K37" s="320">
        <f t="shared" si="24"/>
        <v>1.2478120046861082E-2</v>
      </c>
      <c r="L37" s="320">
        <f t="shared" si="24"/>
        <v>0.19740976488293482</v>
      </c>
      <c r="M37" s="320">
        <f t="shared" si="24"/>
        <v>0.30053570056106371</v>
      </c>
      <c r="N37" s="360">
        <f t="shared" si="24"/>
        <v>0.36605381165919282</v>
      </c>
      <c r="O37" s="320">
        <f t="shared" si="24"/>
        <v>0.41169131164575173</v>
      </c>
      <c r="P37" s="320">
        <f t="shared" si="24"/>
        <v>0.44519318063688973</v>
      </c>
      <c r="Q37" s="320">
        <f t="shared" si="24"/>
        <v>0.47083190604355268</v>
      </c>
      <c r="R37" s="347">
        <f t="shared" si="24"/>
        <v>0.47083190604355268</v>
      </c>
      <c r="S37" s="320">
        <f t="shared" si="24"/>
        <v>0.62107864891518738</v>
      </c>
      <c r="T37" s="322">
        <f t="shared" si="24"/>
        <v>0</v>
      </c>
    </row>
    <row r="38" spans="2:30">
      <c r="B38" s="80"/>
      <c r="C38" s="445" t="s">
        <v>214</v>
      </c>
      <c r="D38" s="445"/>
      <c r="E38" s="445"/>
      <c r="F38" s="446">
        <f>AD56</f>
        <v>0.36636662389988073</v>
      </c>
      <c r="H38" s="1" t="s">
        <v>9</v>
      </c>
      <c r="I38" s="1"/>
      <c r="J38" s="227">
        <f t="shared" ref="J38:T38" si="25">(J20*($F$17/60))/J26</f>
        <v>6.6312997347480113E-2</v>
      </c>
      <c r="K38" s="227">
        <f t="shared" si="25"/>
        <v>0.25066312997347479</v>
      </c>
      <c r="L38" s="227">
        <f t="shared" si="25"/>
        <v>0.3176995418374729</v>
      </c>
      <c r="M38" s="227">
        <f t="shared" si="25"/>
        <v>0.37356321839080459</v>
      </c>
      <c r="N38" s="370">
        <f t="shared" si="25"/>
        <v>0.42083248316670069</v>
      </c>
      <c r="O38" s="227">
        <f t="shared" si="25"/>
        <v>0.46134899583175443</v>
      </c>
      <c r="P38" s="227">
        <f t="shared" si="25"/>
        <v>0.49646330680813439</v>
      </c>
      <c r="Q38" s="227">
        <f t="shared" si="25"/>
        <v>0.52718832891246681</v>
      </c>
      <c r="R38" s="348">
        <f t="shared" si="25"/>
        <v>0.52718832891246681</v>
      </c>
      <c r="S38" s="227">
        <f t="shared" si="25"/>
        <v>0.82758620689655171</v>
      </c>
      <c r="T38" s="349">
        <f t="shared" si="25"/>
        <v>0.26657824933687002</v>
      </c>
    </row>
    <row r="39" spans="2:30" ht="16" thickBot="1">
      <c r="B39" s="84"/>
      <c r="C39" s="302" t="s">
        <v>296</v>
      </c>
      <c r="D39" s="85"/>
      <c r="E39" s="85"/>
      <c r="F39" s="303">
        <f>X56</f>
        <v>0.62652752078553275</v>
      </c>
      <c r="J39" s="226"/>
      <c r="K39" s="226"/>
      <c r="L39" s="226"/>
      <c r="M39" s="226"/>
      <c r="N39" s="362"/>
      <c r="O39" s="226"/>
      <c r="P39" s="226"/>
      <c r="Q39" s="226"/>
      <c r="R39" s="350"/>
      <c r="S39" s="226"/>
      <c r="T39" s="351"/>
    </row>
    <row r="41" spans="2:30" ht="16" thickBot="1"/>
    <row r="42" spans="2:30" ht="18">
      <c r="H42" s="267" t="s">
        <v>209</v>
      </c>
      <c r="I42" s="268"/>
      <c r="J42" s="204"/>
      <c r="K42" s="205"/>
      <c r="L42" s="205"/>
      <c r="M42" s="204"/>
      <c r="N42" s="206"/>
      <c r="O42" s="206"/>
      <c r="P42" s="204"/>
      <c r="Q42" s="204"/>
      <c r="R42" s="204"/>
      <c r="S42" s="204"/>
      <c r="T42" s="204"/>
      <c r="U42" s="204"/>
      <c r="V42" s="204"/>
      <c r="W42" s="204"/>
      <c r="X42" s="204"/>
      <c r="Y42" s="204"/>
      <c r="Z42" s="204"/>
      <c r="AB42" s="271"/>
      <c r="AC42" s="272"/>
      <c r="AD42" s="273"/>
    </row>
    <row r="43" spans="2:30" s="171" customFormat="1" ht="26" customHeight="1">
      <c r="B43"/>
      <c r="C43"/>
      <c r="D43"/>
      <c r="E43"/>
      <c r="F43"/>
      <c r="H43" s="268"/>
      <c r="I43" s="269">
        <v>42674</v>
      </c>
      <c r="J43" s="243" t="s">
        <v>283</v>
      </c>
      <c r="K43" s="243"/>
      <c r="L43" s="243"/>
      <c r="M43" s="243" t="s">
        <v>285</v>
      </c>
      <c r="N43" s="243"/>
      <c r="O43" s="243"/>
      <c r="P43" s="243" t="s">
        <v>284</v>
      </c>
      <c r="Q43" s="243"/>
      <c r="R43" s="243"/>
      <c r="S43" s="243" t="s">
        <v>286</v>
      </c>
      <c r="T43" s="243"/>
      <c r="U43" s="243"/>
      <c r="V43" s="458" t="s">
        <v>287</v>
      </c>
      <c r="W43" s="243"/>
      <c r="X43" s="243"/>
      <c r="Y43" s="458" t="s">
        <v>288</v>
      </c>
      <c r="Z43" s="243"/>
      <c r="AA43" s="99"/>
      <c r="AB43" s="274" t="s">
        <v>167</v>
      </c>
      <c r="AC43" s="275"/>
      <c r="AD43" s="276"/>
    </row>
    <row r="44" spans="2:30" ht="17" hidden="1" customHeight="1">
      <c r="I44" s="7"/>
      <c r="M44" s="170"/>
      <c r="P44" s="170"/>
      <c r="S44" s="170"/>
      <c r="V44" s="170"/>
      <c r="Y44" s="170"/>
      <c r="AB44" s="80"/>
      <c r="AC44" s="16"/>
      <c r="AD44" s="81"/>
    </row>
    <row r="45" spans="2:30" ht="17" hidden="1" customHeight="1">
      <c r="I45" s="7"/>
      <c r="J45" s="19">
        <f>'Salon Schedule'!$E$6</f>
        <v>41671</v>
      </c>
      <c r="K45" s="19"/>
      <c r="L45" s="19"/>
      <c r="M45" s="203">
        <f>'Salon Schedule'!$E$7</f>
        <v>41671</v>
      </c>
      <c r="N45" s="19"/>
      <c r="O45" s="19"/>
      <c r="P45" s="203">
        <f>'Salon Schedule'!$E$8</f>
        <v>42186</v>
      </c>
      <c r="Q45" s="19"/>
      <c r="R45" s="19"/>
      <c r="S45" s="203">
        <f>'Salon Schedule'!$E$9</f>
        <v>42353</v>
      </c>
      <c r="T45" s="19"/>
      <c r="U45" s="19"/>
      <c r="V45" s="203">
        <f>'Salon Schedule'!$E$10</f>
        <v>42461</v>
      </c>
      <c r="W45" s="19"/>
      <c r="X45" s="19"/>
      <c r="Y45" s="203">
        <f>'Salon Schedule'!$E$11</f>
        <v>42644</v>
      </c>
      <c r="AB45" s="277">
        <f>'Salon Schedule'!$E$11</f>
        <v>42644</v>
      </c>
      <c r="AC45" s="16"/>
      <c r="AD45" s="81"/>
    </row>
    <row r="46" spans="2:30" ht="17" customHeight="1">
      <c r="I46" s="7"/>
      <c r="J46" s="244" t="str">
        <f>HLOOKUP(J47,$J$6:$Q$7,2,TRUE)</f>
        <v>Y2-Q4</v>
      </c>
      <c r="K46" s="244"/>
      <c r="L46" s="244"/>
      <c r="M46" s="245" t="str">
        <f>HLOOKUP(M47,$J$6:$Q$7,2,TRUE)</f>
        <v>Y2-Q4</v>
      </c>
      <c r="N46" s="244"/>
      <c r="O46" s="244"/>
      <c r="P46" s="245" t="str">
        <f>HLOOKUP(P47,$J$6:$Q$7,2,TRUE)</f>
        <v>Y2-Q2</v>
      </c>
      <c r="Q46" s="244"/>
      <c r="R46" s="244"/>
      <c r="S46" s="245" t="str">
        <f>HLOOKUP(S47,$J$6:$Q$7,2,TRUE)</f>
        <v>Y1-Q4</v>
      </c>
      <c r="T46" s="244"/>
      <c r="U46" s="244"/>
      <c r="V46" s="245" t="str">
        <f>HLOOKUP(V47,$J$6:$Q$7,2,TRUE)</f>
        <v>Y1-Q3</v>
      </c>
      <c r="W46" s="244"/>
      <c r="X46" s="244"/>
      <c r="Y46" s="245" t="str">
        <f>HLOOKUP(Y47,$J$6:$Q$7,2,TRUE)</f>
        <v>Y1 - Q1</v>
      </c>
      <c r="Z46" s="246"/>
      <c r="AA46" s="246"/>
      <c r="AB46" s="278"/>
      <c r="AC46" s="279"/>
      <c r="AD46" s="280"/>
    </row>
    <row r="47" spans="2:30" ht="17" hidden="1" customHeight="1">
      <c r="I47" s="7"/>
      <c r="J47">
        <f>$I$43-J45</f>
        <v>1003</v>
      </c>
      <c r="M47" s="170">
        <f>$I$43-M45</f>
        <v>1003</v>
      </c>
      <c r="P47" s="170">
        <f>$I$43-P45</f>
        <v>488</v>
      </c>
      <c r="S47" s="170">
        <f>$I$43-S45</f>
        <v>321</v>
      </c>
      <c r="V47" s="170">
        <f>$I$43-V45</f>
        <v>213</v>
      </c>
      <c r="Y47" s="170">
        <f>$I$43-Y45</f>
        <v>30</v>
      </c>
      <c r="AB47" s="80">
        <f>$I$43-AB45</f>
        <v>30</v>
      </c>
      <c r="AC47" s="16"/>
      <c r="AD47" s="81"/>
    </row>
    <row r="48" spans="2:30" ht="17" customHeight="1" thickBot="1">
      <c r="I48" s="7"/>
      <c r="J48" s="207" t="s">
        <v>206</v>
      </c>
      <c r="K48" s="207" t="s">
        <v>207</v>
      </c>
      <c r="L48" s="207" t="s">
        <v>208</v>
      </c>
      <c r="M48" s="208" t="s">
        <v>206</v>
      </c>
      <c r="N48" s="207" t="s">
        <v>207</v>
      </c>
      <c r="O48" s="207" t="s">
        <v>208</v>
      </c>
      <c r="P48" s="208" t="s">
        <v>206</v>
      </c>
      <c r="Q48" s="207" t="s">
        <v>207</v>
      </c>
      <c r="R48" s="207" t="s">
        <v>208</v>
      </c>
      <c r="S48" s="208" t="s">
        <v>206</v>
      </c>
      <c r="T48" s="207" t="s">
        <v>207</v>
      </c>
      <c r="U48" s="207" t="s">
        <v>208</v>
      </c>
      <c r="V48" s="208" t="s">
        <v>206</v>
      </c>
      <c r="W48" s="207" t="s">
        <v>207</v>
      </c>
      <c r="X48" s="207" t="s">
        <v>208</v>
      </c>
      <c r="Y48" s="208" t="s">
        <v>206</v>
      </c>
      <c r="Z48" s="207" t="s">
        <v>207</v>
      </c>
      <c r="AA48" s="207" t="s">
        <v>208</v>
      </c>
      <c r="AB48" s="281" t="s">
        <v>206</v>
      </c>
      <c r="AC48" s="207" t="s">
        <v>207</v>
      </c>
      <c r="AD48" s="282" t="s">
        <v>208</v>
      </c>
    </row>
    <row r="49" spans="2:30" ht="17" customHeight="1">
      <c r="H49" s="171"/>
      <c r="I49" s="240"/>
      <c r="J49" s="241"/>
      <c r="K49" s="241"/>
      <c r="L49" s="241"/>
      <c r="M49" s="242"/>
      <c r="N49" s="241"/>
      <c r="O49" s="241"/>
      <c r="P49" s="242"/>
      <c r="Q49" s="241"/>
      <c r="R49" s="241"/>
      <c r="S49" s="242"/>
      <c r="T49" s="241"/>
      <c r="U49" s="241"/>
      <c r="V49" s="242"/>
      <c r="W49" s="241"/>
      <c r="X49" s="241"/>
      <c r="Y49" s="242"/>
      <c r="Z49" s="241"/>
      <c r="AA49" s="241"/>
      <c r="AB49" s="283"/>
      <c r="AC49" s="241"/>
      <c r="AD49" s="284"/>
    </row>
    <row r="50" spans="2:30" ht="17" customHeight="1">
      <c r="B50" s="171"/>
      <c r="C50" s="171"/>
      <c r="D50" s="171"/>
      <c r="E50" s="171"/>
      <c r="F50" s="171"/>
      <c r="H50" t="s">
        <v>11</v>
      </c>
      <c r="J50" s="209">
        <f>HLOOKUP(J$47,$J$6:$Q$38,6,TRUE)</f>
        <v>187</v>
      </c>
      <c r="K50" s="228">
        <v>78</v>
      </c>
      <c r="L50" s="239">
        <f>K50/J50</f>
        <v>0.41711229946524064</v>
      </c>
      <c r="M50" s="216">
        <f>HLOOKUP(M$47,$J$6:$Q$38,6,TRUE)</f>
        <v>187</v>
      </c>
      <c r="N50" s="228">
        <v>32.9</v>
      </c>
      <c r="O50" s="235">
        <f>N50/M50</f>
        <v>0.17593582887700535</v>
      </c>
      <c r="P50" s="216">
        <f>HLOOKUP(P$47,$J$6:$Q$38,6,TRUE)</f>
        <v>142.75</v>
      </c>
      <c r="Q50" s="228">
        <v>35.25</v>
      </c>
      <c r="R50" s="235">
        <f>Q50/P50</f>
        <v>0.2469352014010508</v>
      </c>
      <c r="S50" s="216">
        <f>HLOOKUP(S$47,$J$6:$Q$38,6,TRUE)</f>
        <v>98.5</v>
      </c>
      <c r="T50" s="228">
        <v>32.9</v>
      </c>
      <c r="U50" s="235">
        <f>T50/S50</f>
        <v>0.33401015228426395</v>
      </c>
      <c r="V50" s="216">
        <f>HLOOKUP(V$47,$J$6:$Q$38,6,TRUE)</f>
        <v>76.375</v>
      </c>
      <c r="W50" s="228">
        <v>69.325000000000003</v>
      </c>
      <c r="X50" s="235">
        <f>W50/V50</f>
        <v>0.90769230769230769</v>
      </c>
      <c r="Y50" s="216">
        <f>HLOOKUP(Y$47,$J$6:$Q$38,6,TRUE)</f>
        <v>10</v>
      </c>
      <c r="Z50" s="228">
        <v>10.575000000000001</v>
      </c>
      <c r="AA50" s="235">
        <f>Z50/Y50</f>
        <v>1.0575000000000001</v>
      </c>
      <c r="AB50" s="285">
        <f t="shared" ref="AB50:AC52" si="26">Y50+V50+S50+P50+M50+J50</f>
        <v>701.625</v>
      </c>
      <c r="AC50" s="286">
        <f t="shared" si="26"/>
        <v>258.95000000000005</v>
      </c>
      <c r="AD50" s="287">
        <f>AC50/AB50</f>
        <v>0.36907179761268488</v>
      </c>
    </row>
    <row r="51" spans="2:30" ht="17" customHeight="1">
      <c r="H51" t="s">
        <v>44</v>
      </c>
      <c r="J51" s="209">
        <f>HLOOKUP(J$47,$J$6:$Q$38,15,TRUE)</f>
        <v>795</v>
      </c>
      <c r="K51" s="228">
        <v>441.8</v>
      </c>
      <c r="L51" s="235">
        <f>K51/J51</f>
        <v>0.5557232704402516</v>
      </c>
      <c r="M51" s="216">
        <f>HLOOKUP(M$47,$J$6:$Q$38,15,TRUE)</f>
        <v>795</v>
      </c>
      <c r="N51" s="228">
        <v>209.15</v>
      </c>
      <c r="O51" s="235">
        <f>N51/M51</f>
        <v>0.26308176100628933</v>
      </c>
      <c r="P51" s="216">
        <f>HLOOKUP(P$47,$J$6:$Q$38,15,TRUE)</f>
        <v>608.75</v>
      </c>
      <c r="Q51" s="228">
        <v>387.75</v>
      </c>
      <c r="R51" s="235">
        <f>Q51/P51</f>
        <v>0.63696098562628334</v>
      </c>
      <c r="S51" s="216">
        <f>HLOOKUP(S$47,$J$6:$Q$38,15,TRUE)</f>
        <v>422.5</v>
      </c>
      <c r="T51" s="228">
        <v>249.10000000000002</v>
      </c>
      <c r="U51" s="235">
        <f>T51/S51</f>
        <v>0.58958579881656814</v>
      </c>
      <c r="V51" s="216">
        <f>HLOOKUP(V$47,$J$6:$Q$38,15,TRUE)</f>
        <v>329.375</v>
      </c>
      <c r="W51" s="228">
        <v>433.57499999999999</v>
      </c>
      <c r="X51" s="235">
        <f>W51/V51</f>
        <v>1.3163567362428843</v>
      </c>
      <c r="Y51" s="216">
        <f>HLOOKUP(Y$47,$J$6:$Q$38,15,TRUE)</f>
        <v>50</v>
      </c>
      <c r="Z51" s="228">
        <v>317.25</v>
      </c>
      <c r="AA51" s="235">
        <f>Z51/Y51</f>
        <v>6.3449999999999998</v>
      </c>
      <c r="AB51" s="285">
        <f t="shared" si="26"/>
        <v>3000.625</v>
      </c>
      <c r="AC51" s="286">
        <f t="shared" si="26"/>
        <v>2038.6250000000002</v>
      </c>
      <c r="AD51" s="287">
        <f>AC51/AB51</f>
        <v>0.67940012497396385</v>
      </c>
    </row>
    <row r="52" spans="2:30" ht="17" customHeight="1">
      <c r="H52" t="s">
        <v>38</v>
      </c>
      <c r="J52" s="209">
        <f>HLOOKUP(J$47,$J$6:$Q$38,21,TRUE)</f>
        <v>754</v>
      </c>
      <c r="K52" s="228">
        <v>497.02500000000003</v>
      </c>
      <c r="L52" s="235">
        <f>K52/J52</f>
        <v>0.659184350132626</v>
      </c>
      <c r="M52" s="216">
        <f>HLOOKUP(M$47,$J$6:$Q$38,21,TRUE)</f>
        <v>754</v>
      </c>
      <c r="N52" s="228">
        <v>216.20000000000002</v>
      </c>
      <c r="O52" s="235">
        <f>N52/M52</f>
        <v>0.28673740053050401</v>
      </c>
      <c r="P52" s="216">
        <f>HLOOKUP(P$47,$J$6:$Q$38,21,TRUE)</f>
        <v>659.75</v>
      </c>
      <c r="Q52" s="228">
        <v>450.02500000000003</v>
      </c>
      <c r="R52" s="235">
        <f>Q52/P52</f>
        <v>0.68211443728685117</v>
      </c>
      <c r="S52" s="216">
        <f>HLOOKUP(S$47,$J$6:$Q$38,21,TRUE)</f>
        <v>565.5</v>
      </c>
      <c r="T52" s="228">
        <v>323.125</v>
      </c>
      <c r="U52" s="235">
        <f>T52/S52</f>
        <v>0.5713969938107869</v>
      </c>
      <c r="V52" s="216">
        <f>HLOOKUP(V$47,$J$6:$Q$38,21,TRUE)</f>
        <v>518.375</v>
      </c>
      <c r="W52" s="228">
        <v>418.3</v>
      </c>
      <c r="X52" s="235">
        <f>W52/V52</f>
        <v>0.80694477935857245</v>
      </c>
      <c r="Y52" s="216">
        <f>HLOOKUP(Y$47,$J$6:$Q$38,21,TRUE)</f>
        <v>377</v>
      </c>
      <c r="Z52" s="228">
        <v>634.5</v>
      </c>
      <c r="AA52" s="235">
        <f>Z52/Y52</f>
        <v>1.6830238726790452</v>
      </c>
      <c r="AB52" s="285">
        <f t="shared" si="26"/>
        <v>3628.625</v>
      </c>
      <c r="AC52" s="286">
        <f t="shared" si="26"/>
        <v>2539.1750000000002</v>
      </c>
      <c r="AD52" s="287">
        <f>AC52/AB52</f>
        <v>0.69976230665885841</v>
      </c>
    </row>
    <row r="53" spans="2:30" ht="17" customHeight="1">
      <c r="J53" s="209"/>
      <c r="K53" s="228"/>
      <c r="L53" s="235"/>
      <c r="M53" s="216"/>
      <c r="N53" s="228"/>
      <c r="O53" s="235"/>
      <c r="P53" s="216"/>
      <c r="Q53" s="228"/>
      <c r="R53" s="235"/>
      <c r="S53" s="216"/>
      <c r="T53" s="228"/>
      <c r="U53" s="235"/>
      <c r="V53" s="216"/>
      <c r="W53" s="228"/>
      <c r="X53" s="235"/>
      <c r="Y53" s="216"/>
      <c r="Z53" s="228"/>
      <c r="AA53" s="235"/>
      <c r="AB53" s="285"/>
      <c r="AC53" s="286"/>
      <c r="AD53" s="287"/>
    </row>
    <row r="54" spans="2:30" ht="17" customHeight="1">
      <c r="H54" t="s">
        <v>12</v>
      </c>
      <c r="J54" s="213">
        <f>HLOOKUP(J$47,$J$6:$Q$38,9,TRUE)</f>
        <v>22440</v>
      </c>
      <c r="K54" s="229">
        <v>9007.5500000000011</v>
      </c>
      <c r="L54" s="235">
        <f>K54/J54</f>
        <v>0.40140597147950097</v>
      </c>
      <c r="M54" s="217">
        <f>HLOOKUP(M$47,$J$6:$Q$38,9,TRUE)</f>
        <v>22440</v>
      </c>
      <c r="N54" s="229">
        <v>4121.9000000000005</v>
      </c>
      <c r="O54" s="235">
        <f>N54/M54</f>
        <v>0.1836853832442068</v>
      </c>
      <c r="P54" s="217">
        <f>HLOOKUP(P$47,$J$6:$Q$38,9,TRUE)</f>
        <v>17130</v>
      </c>
      <c r="Q54" s="229">
        <v>4077.25</v>
      </c>
      <c r="R54" s="235">
        <f>Q54/P54</f>
        <v>0.23801809690601283</v>
      </c>
      <c r="S54" s="217">
        <f>HLOOKUP(S$47,$J$6:$Q$38,9,TRUE)</f>
        <v>11820</v>
      </c>
      <c r="T54" s="229">
        <v>4899.75</v>
      </c>
      <c r="U54" s="235">
        <f>T54/S54</f>
        <v>0.41453045685279188</v>
      </c>
      <c r="V54" s="217">
        <f>HLOOKUP(V$47,$J$6:$Q$38,9,TRUE)</f>
        <v>9165</v>
      </c>
      <c r="W54" s="229">
        <v>6420.2</v>
      </c>
      <c r="X54" s="235">
        <f>W54/V54</f>
        <v>0.70051282051282049</v>
      </c>
      <c r="Y54" s="217">
        <f>HLOOKUP(Y$47,$J$6:$Q$38,9,TRUE)</f>
        <v>1200</v>
      </c>
      <c r="Z54" s="229">
        <v>941.17500000000007</v>
      </c>
      <c r="AA54" s="235">
        <f>Z54/Y54</f>
        <v>0.78431250000000008</v>
      </c>
      <c r="AB54" s="288">
        <f>Y54+V54+S54+P54+M54+J54</f>
        <v>84195</v>
      </c>
      <c r="AC54" s="289">
        <f>Z54+W54+T54+Q54+N54+K54</f>
        <v>29467.825000000004</v>
      </c>
      <c r="AD54" s="287">
        <f>AC54/AB54</f>
        <v>0.34999495219431087</v>
      </c>
    </row>
    <row r="55" spans="2:30" ht="17" customHeight="1">
      <c r="H55" s="15" t="s">
        <v>13</v>
      </c>
      <c r="I55" s="15"/>
      <c r="J55" s="211">
        <f>HLOOKUP(J$47,$J$6:$Q$38,14,TRUE)</f>
        <v>7020</v>
      </c>
      <c r="K55" s="230">
        <v>959.97500000000002</v>
      </c>
      <c r="L55" s="236">
        <f>K55/J55</f>
        <v>0.1367485754985755</v>
      </c>
      <c r="M55" s="218">
        <f>HLOOKUP(M$47,$J$6:$Q$38,14,TRUE)</f>
        <v>7020</v>
      </c>
      <c r="N55" s="230">
        <v>1039.875</v>
      </c>
      <c r="O55" s="236">
        <f>N55/M55</f>
        <v>0.14813034188034188</v>
      </c>
      <c r="P55" s="218">
        <f>HLOOKUP(P$47,$J$6:$Q$38,14,TRUE)</f>
        <v>5415</v>
      </c>
      <c r="Q55" s="230">
        <v>6057.125</v>
      </c>
      <c r="R55" s="236">
        <f>Q55/P55</f>
        <v>1.1185826408125576</v>
      </c>
      <c r="S55" s="218">
        <f>HLOOKUP(S$47,$J$6:$Q$38,14,TRUE)</f>
        <v>3810</v>
      </c>
      <c r="T55" s="230">
        <v>675.625</v>
      </c>
      <c r="U55" s="236">
        <f>T55/S55</f>
        <v>0.17732939632545933</v>
      </c>
      <c r="V55" s="218">
        <f>HLOOKUP(V$47,$J$6:$Q$38,14,TRUE)</f>
        <v>3007.5</v>
      </c>
      <c r="W55" s="230">
        <v>1515.75</v>
      </c>
      <c r="X55" s="236">
        <f>W55/V55</f>
        <v>0.50399002493765588</v>
      </c>
      <c r="Y55" s="218">
        <f>HLOOKUP(Y$47,$J$6:$Q$38,14,TRUE)</f>
        <v>600</v>
      </c>
      <c r="Z55" s="230">
        <v>975.25</v>
      </c>
      <c r="AA55" s="236">
        <f>Z55/Y55</f>
        <v>1.6254166666666667</v>
      </c>
      <c r="AB55" s="290">
        <f>Y55+V55+S55+P55+M55+J55</f>
        <v>26872.5</v>
      </c>
      <c r="AC55" s="230">
        <f>Z55+W55+T55+Q55+N55+K55</f>
        <v>11223.6</v>
      </c>
      <c r="AD55" s="291">
        <f>AC55/AB55</f>
        <v>0.41766117778397993</v>
      </c>
    </row>
    <row r="56" spans="2:30" ht="17" customHeight="1">
      <c r="H56" s="1" t="s">
        <v>110</v>
      </c>
      <c r="I56" s="1"/>
      <c r="J56" s="214">
        <f>HLOOKUP(J$47,$J$6:$Q$38,17,TRUE)</f>
        <v>30652.5</v>
      </c>
      <c r="K56" s="231">
        <f>K55+K54</f>
        <v>9967.5250000000015</v>
      </c>
      <c r="L56" s="237">
        <f>K56/J56</f>
        <v>0.32517820732403563</v>
      </c>
      <c r="M56" s="219">
        <f>HLOOKUP(M$47,$J$6:$Q$38,17,TRUE)</f>
        <v>30652.5</v>
      </c>
      <c r="N56" s="231">
        <f>N55+N54</f>
        <v>5161.7750000000005</v>
      </c>
      <c r="O56" s="237">
        <f>N56/M56</f>
        <v>0.16839654188076014</v>
      </c>
      <c r="P56" s="219">
        <f>HLOOKUP(P$47,$J$6:$Q$38,17,TRUE)</f>
        <v>23458.125</v>
      </c>
      <c r="Q56" s="231">
        <f>Q55+Q54</f>
        <v>10134.375</v>
      </c>
      <c r="R56" s="237">
        <f>Q56/P56</f>
        <v>0.43201982255615057</v>
      </c>
      <c r="S56" s="219">
        <f>HLOOKUP(S$47,$J$6:$Q$38,17,TRUE)</f>
        <v>16263.75</v>
      </c>
      <c r="T56" s="231">
        <f>T55+T54</f>
        <v>5575.375</v>
      </c>
      <c r="U56" s="237">
        <f>T56/S56</f>
        <v>0.3428099300591807</v>
      </c>
      <c r="V56" s="219">
        <f>HLOOKUP(V$47,$J$6:$Q$38,17,TRUE)</f>
        <v>12666.5625</v>
      </c>
      <c r="W56" s="231">
        <f>W55+W54</f>
        <v>7935.95</v>
      </c>
      <c r="X56" s="237">
        <f>W56/V56</f>
        <v>0.62652752078553275</v>
      </c>
      <c r="Y56" s="219">
        <f>HLOOKUP(Y$47,$J$6:$Q$38,17,TRUE)</f>
        <v>1875</v>
      </c>
      <c r="Z56" s="231">
        <f>Z55+Z54</f>
        <v>1916.4250000000002</v>
      </c>
      <c r="AA56" s="237">
        <f>Z56/Y56</f>
        <v>1.0220933333333335</v>
      </c>
      <c r="AB56" s="292">
        <f>SUM(AB54:AB55)</f>
        <v>111067.5</v>
      </c>
      <c r="AC56" s="293">
        <f>SUM(AC54:AC55)</f>
        <v>40691.425000000003</v>
      </c>
      <c r="AD56" s="294">
        <f>AC56/AB56</f>
        <v>0.36636662389988073</v>
      </c>
    </row>
    <row r="57" spans="2:30" ht="17" customHeight="1">
      <c r="H57" s="16" t="s">
        <v>40</v>
      </c>
      <c r="I57" s="16"/>
      <c r="J57" s="209">
        <f>HLOOKUP(J$47,$J$6:$Q$38,18,TRUE)</f>
        <v>993.75</v>
      </c>
      <c r="K57" s="228">
        <f>F25*K51</f>
        <v>552.25</v>
      </c>
      <c r="L57" s="235">
        <f>K57/J57</f>
        <v>0.5557232704402516</v>
      </c>
      <c r="M57" s="216">
        <f>HLOOKUP(M$47,$J$6:$Q$38,18,TRUE)</f>
        <v>993.75</v>
      </c>
      <c r="N57" s="228">
        <f>F25*N51</f>
        <v>261.4375</v>
      </c>
      <c r="O57" s="235">
        <f>N57/M57</f>
        <v>0.26308176100628933</v>
      </c>
      <c r="P57" s="216">
        <f>HLOOKUP(P$47,$J$6:$Q$38,18,TRUE)</f>
        <v>760.9375</v>
      </c>
      <c r="Q57" s="228">
        <f>Q51*F25</f>
        <v>484.6875</v>
      </c>
      <c r="R57" s="235">
        <f>Q57/P57</f>
        <v>0.63696098562628334</v>
      </c>
      <c r="S57" s="216">
        <f>HLOOKUP(S$47,$J$6:$Q$38,18,TRUE)</f>
        <v>528.125</v>
      </c>
      <c r="T57" s="228">
        <f>T51*F25</f>
        <v>311.375</v>
      </c>
      <c r="U57" s="235">
        <f>T57/S57</f>
        <v>0.58958579881656803</v>
      </c>
      <c r="V57" s="216">
        <f>HLOOKUP(V$47,$J$6:$Q$38,18,TRUE)</f>
        <v>411.71875</v>
      </c>
      <c r="W57" s="228">
        <f>W51*F25</f>
        <v>541.96875</v>
      </c>
      <c r="X57" s="235">
        <f>W57/V57</f>
        <v>1.3163567362428843</v>
      </c>
      <c r="Y57" s="216">
        <f>HLOOKUP(Y$47,$J$6:$Q$38,18,TRUE)</f>
        <v>62.5</v>
      </c>
      <c r="Z57" s="228">
        <f>Z51*F25</f>
        <v>396.5625</v>
      </c>
      <c r="AA57" s="235">
        <f>Z57/Y57</f>
        <v>6.3449999999999998</v>
      </c>
      <c r="AB57" s="285">
        <f>Y57+V57+S57+P57+M57+J57</f>
        <v>3750.78125</v>
      </c>
      <c r="AC57" s="286">
        <f>Z57+W57+T57+Q57+N57+K57</f>
        <v>2548.28125</v>
      </c>
      <c r="AD57" s="287">
        <f>AC57/AB57</f>
        <v>0.67940012497396374</v>
      </c>
    </row>
    <row r="58" spans="2:30" s="1" customFormat="1" ht="17" customHeight="1">
      <c r="H58" s="382" t="s">
        <v>169</v>
      </c>
      <c r="I58" s="382"/>
      <c r="J58" s="395">
        <f>J56-J57</f>
        <v>29658.75</v>
      </c>
      <c r="K58" s="396">
        <f>K56-K57</f>
        <v>9415.2750000000015</v>
      </c>
      <c r="L58" s="399">
        <f>K58/J58</f>
        <v>0.3174535339486661</v>
      </c>
      <c r="M58" s="397">
        <f>M56-M57</f>
        <v>29658.75</v>
      </c>
      <c r="N58" s="396">
        <f>N56-N57</f>
        <v>4900.3375000000005</v>
      </c>
      <c r="O58" s="399">
        <f>N58/M58</f>
        <v>0.16522400640620391</v>
      </c>
      <c r="P58" s="397">
        <f>P56-P57</f>
        <v>22697.1875</v>
      </c>
      <c r="Q58" s="396">
        <f>Q56-Q57</f>
        <v>9649.6875</v>
      </c>
      <c r="R58" s="399">
        <f>Q58/P58</f>
        <v>0.42514904104308077</v>
      </c>
      <c r="S58" s="397">
        <f>S56-S57</f>
        <v>15735.625</v>
      </c>
      <c r="T58" s="396">
        <f>T56-T57</f>
        <v>5264</v>
      </c>
      <c r="U58" s="399">
        <f>T58/S58</f>
        <v>0.33452754498153076</v>
      </c>
      <c r="V58" s="397">
        <f>V56-V57</f>
        <v>12254.84375</v>
      </c>
      <c r="W58" s="396">
        <f>W56-W57</f>
        <v>7393.9812499999998</v>
      </c>
      <c r="X58" s="399">
        <f>W58/V58</f>
        <v>0.60335173592074565</v>
      </c>
      <c r="Y58" s="397">
        <f>Y56-Y57</f>
        <v>1812.5</v>
      </c>
      <c r="Z58" s="398">
        <f>Z56-Z57</f>
        <v>1519.8625000000002</v>
      </c>
      <c r="AA58" s="399">
        <f>Z58/Y58</f>
        <v>0.83854482758620696</v>
      </c>
      <c r="AB58" s="400">
        <f>AB56-AB57</f>
        <v>107316.71875</v>
      </c>
      <c r="AC58" s="398">
        <f>AC56-AC57</f>
        <v>38143.143750000003</v>
      </c>
      <c r="AD58" s="401">
        <f>AC58/AB58</f>
        <v>0.35542592239384885</v>
      </c>
    </row>
    <row r="59" spans="2:30" ht="17" customHeight="1">
      <c r="J59" s="209"/>
      <c r="K59" s="228"/>
      <c r="L59" s="235"/>
      <c r="M59" s="216"/>
      <c r="N59" s="228"/>
      <c r="O59" s="235"/>
      <c r="P59" s="216"/>
      <c r="Q59" s="228"/>
      <c r="R59" s="235"/>
      <c r="S59" s="216"/>
      <c r="T59" s="228"/>
      <c r="U59" s="235"/>
      <c r="V59" s="216"/>
      <c r="W59" s="228"/>
      <c r="X59" s="235"/>
      <c r="Y59" s="216"/>
      <c r="Z59" s="228"/>
      <c r="AA59" s="235"/>
      <c r="AB59" s="285"/>
      <c r="AC59" s="286"/>
      <c r="AD59" s="287"/>
    </row>
    <row r="60" spans="2:30" ht="17" customHeight="1">
      <c r="H60" t="s">
        <v>10</v>
      </c>
      <c r="J60" s="209">
        <f>HLOOKUP(J$47,$J$6:$Q$38,22,TRUE)</f>
        <v>10556</v>
      </c>
      <c r="K60" s="228">
        <v>6212.2250000000004</v>
      </c>
      <c r="L60" s="235">
        <f>K60/J60</f>
        <v>0.5885017999242137</v>
      </c>
      <c r="M60" s="216">
        <f>HLOOKUP(M$47,$J$6:$Q$38,22,TRUE)</f>
        <v>10556</v>
      </c>
      <c r="N60" s="228">
        <v>2702.5</v>
      </c>
      <c r="O60" s="235">
        <f>N60/M60</f>
        <v>0.25601553618794998</v>
      </c>
      <c r="P60" s="216">
        <f>HLOOKUP(P$47,$J$6:$Q$38,22,TRUE)</f>
        <v>9236.5</v>
      </c>
      <c r="Q60" s="228">
        <v>5624.7250000000004</v>
      </c>
      <c r="R60" s="235">
        <f>Q60/P60</f>
        <v>0.6089671412331511</v>
      </c>
      <c r="S60" s="216">
        <f>HLOOKUP(S$47,$J$6:$Q$38,22,TRUE)</f>
        <v>7917</v>
      </c>
      <c r="T60" s="228">
        <v>4038.4750000000004</v>
      </c>
      <c r="U60" s="235">
        <f>T60/S60</f>
        <v>0.51010167992926614</v>
      </c>
      <c r="V60" s="216">
        <f>HLOOKUP(V$47,$J$6:$Q$38,22,TRUE)</f>
        <v>7257.25</v>
      </c>
      <c r="W60" s="228">
        <v>5228.75</v>
      </c>
      <c r="X60" s="235">
        <f>W60/V60</f>
        <v>0.72048641014158255</v>
      </c>
      <c r="Y60" s="216">
        <f>HLOOKUP(Y$47,$J$6:$Q$38,22,TRUE)</f>
        <v>5278</v>
      </c>
      <c r="Z60" s="228">
        <v>7931.25</v>
      </c>
      <c r="AA60" s="235">
        <f>Z60/Y60</f>
        <v>1.5026998863205761</v>
      </c>
      <c r="AB60" s="285">
        <f t="shared" ref="AB60:AC63" si="27">Y60+V60+S60+P60+M60+J60</f>
        <v>50800.75</v>
      </c>
      <c r="AC60" s="286">
        <f t="shared" si="27"/>
        <v>31737.924999999996</v>
      </c>
      <c r="AD60" s="287">
        <f>AC60/AB60</f>
        <v>0.62475307943288227</v>
      </c>
    </row>
    <row r="61" spans="2:30" ht="17" customHeight="1">
      <c r="H61" t="s">
        <v>266</v>
      </c>
      <c r="J61" s="209">
        <f>HLOOKUP(J$47,$J$6:$Q$38,23,TRUE)</f>
        <v>1319.5</v>
      </c>
      <c r="K61" s="228">
        <f>K60*0.125</f>
        <v>776.52812500000005</v>
      </c>
      <c r="L61" s="235">
        <f>K61/J61</f>
        <v>0.5885017999242137</v>
      </c>
      <c r="M61" s="216">
        <f>HLOOKUP(M$47,$J$6:$Q$38,23,TRUE)</f>
        <v>1319.5</v>
      </c>
      <c r="N61" s="228">
        <f>N60*0.125</f>
        <v>337.8125</v>
      </c>
      <c r="O61" s="235">
        <f>N61/M61</f>
        <v>0.25601553618794998</v>
      </c>
      <c r="P61" s="216">
        <f>HLOOKUP(P$47,$J$6:$Q$38,23,TRUE)</f>
        <v>1154.5625</v>
      </c>
      <c r="Q61" s="228">
        <f>Q60*0.125</f>
        <v>703.09062500000005</v>
      </c>
      <c r="R61" s="235">
        <f>Q61/P61</f>
        <v>0.6089671412331511</v>
      </c>
      <c r="S61" s="216">
        <f>HLOOKUP(S$47,$J$6:$Q$38,23,TRUE)</f>
        <v>989.625</v>
      </c>
      <c r="T61" s="228">
        <f>T60*0.125</f>
        <v>504.80937500000005</v>
      </c>
      <c r="U61" s="235">
        <f>T61/S61</f>
        <v>0.51010167992926614</v>
      </c>
      <c r="V61" s="216">
        <f>HLOOKUP(V$47,$J$6:$Q$38,23,TRUE)</f>
        <v>907.15625</v>
      </c>
      <c r="W61" s="228">
        <f>W60*0.125</f>
        <v>653.59375</v>
      </c>
      <c r="X61" s="235">
        <f>W61/V61</f>
        <v>0.72048641014158255</v>
      </c>
      <c r="Y61" s="216">
        <f>HLOOKUP(Y$47,$J$6:$Q$38,23,TRUE)</f>
        <v>659.75</v>
      </c>
      <c r="Z61" s="228">
        <v>991.40625</v>
      </c>
      <c r="AA61" s="235">
        <f>Z61/Y61</f>
        <v>1.5026998863205761</v>
      </c>
      <c r="AB61" s="285">
        <f t="shared" si="27"/>
        <v>6350.09375</v>
      </c>
      <c r="AC61" s="286">
        <f t="shared" si="27"/>
        <v>3967.2406249999995</v>
      </c>
      <c r="AD61" s="287">
        <f>AC61/AB61</f>
        <v>0.62475307943288227</v>
      </c>
    </row>
    <row r="62" spans="2:30" ht="17" customHeight="1">
      <c r="H62" s="381" t="s">
        <v>264</v>
      </c>
      <c r="J62" s="209">
        <f>J64-J63-J61-J60</f>
        <v>1279.5750000000007</v>
      </c>
      <c r="K62" s="228">
        <v>1029.3</v>
      </c>
      <c r="L62" s="235">
        <f>K62/J62</f>
        <v>0.80440771349862206</v>
      </c>
      <c r="M62" s="216">
        <f>M64-M63-M61-M60</f>
        <v>1279.5750000000007</v>
      </c>
      <c r="N62" s="228">
        <v>423</v>
      </c>
      <c r="O62" s="235">
        <f>N62/M62</f>
        <v>0.330578512396694</v>
      </c>
      <c r="P62" s="216">
        <f>P64-P63-P61-P60</f>
        <v>1063.7437499999996</v>
      </c>
      <c r="Q62" s="228">
        <v>959.97500000000002</v>
      </c>
      <c r="R62" s="235">
        <f>Q62/P62</f>
        <v>0.90244948560214844</v>
      </c>
      <c r="S62" s="216">
        <f>S64-S63-S61-S60</f>
        <v>842.91250000000036</v>
      </c>
      <c r="T62" s="228">
        <v>499.375</v>
      </c>
      <c r="U62" s="235">
        <f>T62/S62</f>
        <v>0.59243990331143481</v>
      </c>
      <c r="V62" s="216">
        <f>V64-V63-V61-V60</f>
        <v>734.99687500000073</v>
      </c>
      <c r="W62" s="228">
        <v>810.75</v>
      </c>
      <c r="X62" s="235">
        <f>W62/V62</f>
        <v>1.1030659143958934</v>
      </c>
      <c r="Y62" s="216">
        <f>Y64-Y63-Y61-Y60</f>
        <v>411.25</v>
      </c>
      <c r="Z62" s="228">
        <v>0</v>
      </c>
      <c r="AA62" s="235">
        <f>Z62/Y62</f>
        <v>0</v>
      </c>
      <c r="AB62" s="285">
        <f t="shared" si="27"/>
        <v>5612.0531250000022</v>
      </c>
      <c r="AC62" s="286">
        <f t="shared" si="27"/>
        <v>3722.3999999999996</v>
      </c>
      <c r="AD62" s="287">
        <f>AC62/AB62</f>
        <v>0.66328666480683007</v>
      </c>
    </row>
    <row r="63" spans="2:30" ht="17" customHeight="1">
      <c r="H63" s="15" t="s">
        <v>46</v>
      </c>
      <c r="I63" s="15"/>
      <c r="J63" s="211">
        <f>HLOOKUP(J$47,$J$6:$Q$38,28,TRUE)</f>
        <v>3065.25</v>
      </c>
      <c r="K63" s="230">
        <f>K56*F28</f>
        <v>996.75250000000017</v>
      </c>
      <c r="L63" s="236">
        <f>K63/J63</f>
        <v>0.32517820732403563</v>
      </c>
      <c r="M63" s="218">
        <f>HLOOKUP(M$47,$J$6:$Q$38,28,TRUE)</f>
        <v>3065.25</v>
      </c>
      <c r="N63" s="230">
        <f>N56*F28</f>
        <v>516.17750000000012</v>
      </c>
      <c r="O63" s="236">
        <f>N63/M63</f>
        <v>0.16839654188076017</v>
      </c>
      <c r="P63" s="218">
        <f>HLOOKUP(P$47,$J$6:$Q$38,28,TRUE)</f>
        <v>2345.8125</v>
      </c>
      <c r="Q63" s="230">
        <f>Q56*F28</f>
        <v>1013.4375</v>
      </c>
      <c r="R63" s="236">
        <f>Q63/P63</f>
        <v>0.43201982255615057</v>
      </c>
      <c r="S63" s="218">
        <f>HLOOKUP(S$47,$J$6:$Q$38,28,TRUE)</f>
        <v>1626.375</v>
      </c>
      <c r="T63" s="230">
        <f>T54*F28</f>
        <v>489.97500000000002</v>
      </c>
      <c r="U63" s="236">
        <f>T63/S63</f>
        <v>0.30126815771270465</v>
      </c>
      <c r="V63" s="218">
        <f>HLOOKUP(V$47,$J$6:$Q$38,28,TRUE)</f>
        <v>1266.65625</v>
      </c>
      <c r="W63" s="230">
        <f>W56*F28</f>
        <v>793.59500000000003</v>
      </c>
      <c r="X63" s="236">
        <f>W63/V63</f>
        <v>0.62652752078553275</v>
      </c>
      <c r="Y63" s="218">
        <f>HLOOKUP(Y$47,$J$6:$Q$38,28,TRUE)</f>
        <v>187.5</v>
      </c>
      <c r="Z63" s="230">
        <f>Z56*F28</f>
        <v>191.64250000000004</v>
      </c>
      <c r="AA63" s="236">
        <f>Z63/Y63</f>
        <v>1.0220933333333335</v>
      </c>
      <c r="AB63" s="290">
        <f t="shared" si="27"/>
        <v>11556.84375</v>
      </c>
      <c r="AC63" s="230">
        <f t="shared" si="27"/>
        <v>4001.5800000000004</v>
      </c>
      <c r="AD63" s="291">
        <f>AC63/AB63</f>
        <v>0.34625197731863427</v>
      </c>
    </row>
    <row r="64" spans="2:30">
      <c r="H64" s="1" t="s">
        <v>263</v>
      </c>
      <c r="I64" s="1"/>
      <c r="J64" s="214">
        <f>HLOOKUP(J$47,$J$6:$Q$38,29,TRUE)</f>
        <v>16220.325000000001</v>
      </c>
      <c r="K64" s="231">
        <f>SUM(K60:K63)</f>
        <v>9014.8056250000009</v>
      </c>
      <c r="L64" s="237">
        <f>K64/J64</f>
        <v>0.55577219476181894</v>
      </c>
      <c r="M64" s="219">
        <f>HLOOKUP(M$47,$J$6:$Q$38,29,TRUE)</f>
        <v>16220.325000000001</v>
      </c>
      <c r="N64" s="231">
        <f>SUM(N60:N63)</f>
        <v>3979.4900000000002</v>
      </c>
      <c r="O64" s="237">
        <f>N64/M64</f>
        <v>0.24533972038168164</v>
      </c>
      <c r="P64" s="219">
        <f>HLOOKUP(P$47,$J$6:$Q$38,29,TRUE)</f>
        <v>13800.61875</v>
      </c>
      <c r="Q64" s="231">
        <f>SUM(Q60:Q63)</f>
        <v>8301.2281250000015</v>
      </c>
      <c r="R64" s="237">
        <f>Q64/P64</f>
        <v>0.6015112999915313</v>
      </c>
      <c r="S64" s="219">
        <f>HLOOKUP(S$47,$J$6:$Q$38,29,TRUE)</f>
        <v>11375.9125</v>
      </c>
      <c r="T64" s="231">
        <f>SUM(T60:T63)</f>
        <v>5532.6343750000005</v>
      </c>
      <c r="U64" s="237">
        <f>T64/S64</f>
        <v>0.48634642495711888</v>
      </c>
      <c r="V64" s="219">
        <f>HLOOKUP(V$47,$J$6:$Q$38,29,TRUE)</f>
        <v>10166.059375000001</v>
      </c>
      <c r="W64" s="231">
        <f>SUM(W60:W63)</f>
        <v>7486.6887500000003</v>
      </c>
      <c r="X64" s="237">
        <f>W64/V64</f>
        <v>0.73643960494771354</v>
      </c>
      <c r="Y64" s="219">
        <f>HLOOKUP(Y$47,$J$6:$Q$38,29,TRUE)</f>
        <v>6536.5</v>
      </c>
      <c r="Z64" s="231">
        <f>SUM(Z60:Z63)</f>
        <v>9114.2987499999999</v>
      </c>
      <c r="AA64" s="237">
        <f>Z64/Y64</f>
        <v>1.3943698844947603</v>
      </c>
      <c r="AB64" s="292">
        <f>SUM(AB60:AB63)</f>
        <v>74319.740625000006</v>
      </c>
      <c r="AC64" s="293">
        <f>SUM(AC60:AC63)</f>
        <v>43429.145624999997</v>
      </c>
      <c r="AD64" s="294">
        <f>AC64/AB64</f>
        <v>0.58435545199401717</v>
      </c>
    </row>
    <row r="65" spans="8:30">
      <c r="J65" s="209"/>
      <c r="K65" s="228"/>
      <c r="L65" s="235"/>
      <c r="M65" s="216"/>
      <c r="N65" s="228"/>
      <c r="O65" s="235"/>
      <c r="P65" s="216"/>
      <c r="Q65" s="228"/>
      <c r="R65" s="235"/>
      <c r="S65" s="216"/>
      <c r="T65" s="228"/>
      <c r="U65" s="235"/>
      <c r="V65" s="216"/>
      <c r="W65" s="228"/>
      <c r="X65" s="235"/>
      <c r="Y65" s="216"/>
      <c r="Z65" s="228"/>
      <c r="AA65" s="235"/>
      <c r="AB65" s="285"/>
      <c r="AC65" s="286"/>
      <c r="AD65" s="287"/>
    </row>
    <row r="66" spans="8:30" ht="16" thickBot="1">
      <c r="H66" s="38" t="s">
        <v>166</v>
      </c>
      <c r="I66" s="38"/>
      <c r="J66" s="215">
        <f>HLOOKUP(J$47,$J$6:$Q$38,31,TRUE)</f>
        <v>14432.174999999999</v>
      </c>
      <c r="K66" s="232">
        <f>K56-K64</f>
        <v>952.71937500000058</v>
      </c>
      <c r="L66" s="238">
        <f>K66/J66</f>
        <v>6.6013568640901368E-2</v>
      </c>
      <c r="M66" s="220">
        <f>HLOOKUP(M$47,$J$6:$Q$38,31,TRUE)</f>
        <v>14432.174999999999</v>
      </c>
      <c r="N66" s="232">
        <f>N56-N64</f>
        <v>1182.2850000000003</v>
      </c>
      <c r="O66" s="238">
        <f>N66/M66</f>
        <v>8.1920084810501559E-2</v>
      </c>
      <c r="P66" s="220">
        <f>HLOOKUP(P$47,$J$6:$Q$38,31,TRUE)</f>
        <v>9657.5062500000004</v>
      </c>
      <c r="Q66" s="232">
        <f>Q56-Q64</f>
        <v>1833.1468749999985</v>
      </c>
      <c r="R66" s="238">
        <f>Q66/P66</f>
        <v>0.18981575859710145</v>
      </c>
      <c r="S66" s="220">
        <f>HLOOKUP(S$47,$J$6:$Q$38,31,TRUE)</f>
        <v>4887.8374999999996</v>
      </c>
      <c r="T66" s="232">
        <f>T56-T64</f>
        <v>42.740624999999454</v>
      </c>
      <c r="U66" s="238">
        <f>T66/S66</f>
        <v>8.7442810854492306E-3</v>
      </c>
      <c r="V66" s="220">
        <f>HLOOKUP(V$47,$J$6:$Q$38,31,TRUE)</f>
        <v>2500.5031249999993</v>
      </c>
      <c r="W66" s="232">
        <f>W56-W64</f>
        <v>449.26124999999956</v>
      </c>
      <c r="X66" s="238">
        <f>W66/V66</f>
        <v>0.17966834174622345</v>
      </c>
      <c r="Y66" s="220">
        <f>HLOOKUP(Y$47,$J$6:$Q$38,31,TRUE)</f>
        <v>-4661.5</v>
      </c>
      <c r="Z66" s="232">
        <f>Z56-Z64</f>
        <v>-7197.8737499999997</v>
      </c>
      <c r="AA66" s="238">
        <f>Z66/Y66</f>
        <v>1.5441110693982623</v>
      </c>
      <c r="AB66" s="295">
        <f>AB56-AB64</f>
        <v>36747.759374999994</v>
      </c>
      <c r="AC66" s="232">
        <f>AC56-AC64</f>
        <v>-2737.7206249999945</v>
      </c>
      <c r="AD66" s="296">
        <f>AC66/AB66</f>
        <v>-7.4500341559940203E-2</v>
      </c>
    </row>
    <row r="67" spans="8:30" ht="16" thickTop="1">
      <c r="I67" s="11" t="s">
        <v>53</v>
      </c>
      <c r="J67" s="210">
        <f>HLOOKUP(J$47,$J$6:$Q$38,32,TRUE)</f>
        <v>0.47083190604355268</v>
      </c>
      <c r="K67" s="233">
        <f>K66/K56</f>
        <v>9.5582341152894074E-2</v>
      </c>
      <c r="L67" s="235">
        <f>K67/J67</f>
        <v>0.20300735767055803</v>
      </c>
      <c r="M67" s="221">
        <f>HLOOKUP(M$47,$J$6:$Q$38,32,TRUE)</f>
        <v>0.47083190604355268</v>
      </c>
      <c r="N67" s="233">
        <f>N66/N56</f>
        <v>0.22904620987935356</v>
      </c>
      <c r="O67" s="235">
        <f>N67/M67</f>
        <v>0.4864713009873346</v>
      </c>
      <c r="P67" s="221">
        <f>HLOOKUP(P$47,$J$6:$Q$38,32,TRUE)</f>
        <v>0.41169131164575173</v>
      </c>
      <c r="Q67" s="233">
        <f>Q66/Q56</f>
        <v>0.18088405797101434</v>
      </c>
      <c r="R67" s="235">
        <f>Q67/P67</f>
        <v>0.43936816943724999</v>
      </c>
      <c r="S67" s="221">
        <f>HLOOKUP(S$47,$J$6:$Q$38,32,TRUE)</f>
        <v>0.30053570056106371</v>
      </c>
      <c r="T67" s="233">
        <f>T66/T56</f>
        <v>7.6659641728133903E-3</v>
      </c>
      <c r="U67" s="235">
        <f>IF(S67&gt;0,T67/S67,0)</f>
        <v>2.5507665673335862E-2</v>
      </c>
      <c r="V67" s="221">
        <f>HLOOKUP(V$47,$J$6:$Q$38,32,TRUE)</f>
        <v>0.19740976488293482</v>
      </c>
      <c r="W67" s="233">
        <f>W66/W56</f>
        <v>5.6610897246076347E-2</v>
      </c>
      <c r="X67" s="235">
        <f>IF(V67&gt;0,W67/V67,0)</f>
        <v>0.28676847510378706</v>
      </c>
      <c r="Y67" s="221">
        <f>HLOOKUP(Y$47,$J$6:$Q$38,32,TRUE)</f>
        <v>0</v>
      </c>
      <c r="Z67" s="233">
        <f>MAX(Z66/Z56,0)</f>
        <v>0</v>
      </c>
      <c r="AA67" s="235">
        <f>IF(Y67&gt;0,Z67/Y67,0)</f>
        <v>0</v>
      </c>
      <c r="AB67" s="297">
        <f>AB66/AB56</f>
        <v>0.33085969680599631</v>
      </c>
      <c r="AC67" s="298">
        <f>AC66/AC56</f>
        <v>-6.7280038116138585E-2</v>
      </c>
      <c r="AD67" s="287">
        <f>AC67/AB67</f>
        <v>-0.20334915000417556</v>
      </c>
    </row>
    <row r="68" spans="8:30">
      <c r="H68" s="1" t="s">
        <v>9</v>
      </c>
      <c r="I68" s="1"/>
      <c r="J68" s="212">
        <f>HLOOKUP(J$47,$J$6:$Q$38,33,TRUE)</f>
        <v>0.52718832891246681</v>
      </c>
      <c r="K68" s="234">
        <v>0.42499999999999999</v>
      </c>
      <c r="L68" s="237">
        <f>K68/J68</f>
        <v>0.80616352201257868</v>
      </c>
      <c r="M68" s="222">
        <f>HLOOKUP(M$47,$J$6:$Q$38,33,TRUE)</f>
        <v>0.52718832891246681</v>
      </c>
      <c r="N68" s="234">
        <v>0.43475000000000003</v>
      </c>
      <c r="O68" s="237">
        <f>N68/M68</f>
        <v>0.82465786163522026</v>
      </c>
      <c r="P68" s="222">
        <f>HLOOKUP(P$47,$J$6:$Q$38,33,TRUE)</f>
        <v>0.46134899583175443</v>
      </c>
      <c r="Q68" s="234">
        <v>0.43475000000000003</v>
      </c>
      <c r="R68" s="237">
        <f>Q68/P68</f>
        <v>0.94234517453798783</v>
      </c>
      <c r="S68" s="222">
        <f>HLOOKUP(S$47,$J$6:$Q$38,33,TRUE)</f>
        <v>0.37356321839080459</v>
      </c>
      <c r="T68" s="234">
        <v>0.38540000000000002</v>
      </c>
      <c r="U68" s="237">
        <f>T68/S68</f>
        <v>1.0316861538461539</v>
      </c>
      <c r="V68" s="222">
        <f>HLOOKUP(V$47,$J$6:$Q$38,33,TRUE)</f>
        <v>0.3176995418374729</v>
      </c>
      <c r="W68" s="234">
        <v>0.46765000000000007</v>
      </c>
      <c r="X68" s="237">
        <f>W68/V68</f>
        <v>1.4719882732447818</v>
      </c>
      <c r="Y68" s="222">
        <f>HLOOKUP(Y$47,$J$6:$Q$38,33,TRUE)</f>
        <v>6.6312997347480113E-2</v>
      </c>
      <c r="Z68" s="234">
        <v>0.30902500000000005</v>
      </c>
      <c r="AA68" s="237">
        <f>Z68/Y68</f>
        <v>4.6600970000000004</v>
      </c>
      <c r="AB68" s="299">
        <f>AVERAGE(Y68,V68,S68,P68,M68,J68)</f>
        <v>0.37888356853874089</v>
      </c>
      <c r="AC68" s="300">
        <f>AVERAGE(Z68,W68,T68,Q68,N68,K68)</f>
        <v>0.40942916666666668</v>
      </c>
      <c r="AD68" s="294">
        <f>AC68/AB68</f>
        <v>1.0806200127541359</v>
      </c>
    </row>
    <row r="69" spans="8:30" ht="16" thickBot="1">
      <c r="L69" s="202"/>
      <c r="R69" s="141"/>
      <c r="AB69" s="84"/>
      <c r="AC69" s="85"/>
      <c r="AD69" s="301"/>
    </row>
    <row r="71" spans="8:30">
      <c r="H71" t="s">
        <v>265</v>
      </c>
    </row>
  </sheetData>
  <pageMargins left="0.75" right="0.75" top="1" bottom="1" header="0.5" footer="0.5"/>
  <pageSetup orientation="portrait" horizontalDpi="4294967292" verticalDpi="4294967292"/>
  <ignoredErrors>
    <ignoredError sqref="K10:Q10 R69:U69 K69:M69 AA67 AA64:AA66 AB56:AC56 L58 L61 O58 R58 U58 X58 AA58 U67 X67 O69:Q69" formula="1"/>
    <ignoredError sqref="J50 J51 L52 O52 R52 U52 X52 AA52 O51 R51 U51 X51 AA51 Y63:Y68 V63:V68 S63:S68 P63:P68 M63:M68 J65 J56 J59 J55 J54 J52:J53 J57:J58 J63:J64 J66:J68 J60:J61 M50:M61 P50:P61 S50:S61 V50:V61 Y50:Y61 L51" emptyCellReference="1"/>
    <ignoredError sqref="Z59 K59 N59 Q59 T59 W59 K56 Z63:Z67 K63:K68 N63:N67 Q63:Q67 T63:T67 W63:W67" formula="1" emptyCellReferenc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4"/>
  <sheetViews>
    <sheetView showGridLines="0" workbookViewId="0">
      <selection activeCell="C21" sqref="C21"/>
    </sheetView>
  </sheetViews>
  <sheetFormatPr baseColWidth="10" defaultRowHeight="15" x14ac:dyDescent="0"/>
  <cols>
    <col min="1" max="1" width="2" customWidth="1"/>
    <col min="2" max="2" width="1" customWidth="1"/>
    <col min="3" max="3" width="45.1640625" customWidth="1"/>
    <col min="4" max="4" width="1.1640625" customWidth="1"/>
    <col min="5" max="6" width="11.83203125" customWidth="1"/>
    <col min="7" max="7" width="1.5" customWidth="1"/>
  </cols>
  <sheetData>
    <row r="2" spans="2:32" ht="39" customHeight="1">
      <c r="B2" s="100"/>
      <c r="C2" s="101" t="s">
        <v>176</v>
      </c>
    </row>
    <row r="3" spans="2:32">
      <c r="E3" s="19"/>
    </row>
    <row r="4" spans="2:32">
      <c r="H4" s="18">
        <v>2017</v>
      </c>
      <c r="I4" s="17"/>
      <c r="J4" s="17"/>
      <c r="K4" s="17"/>
      <c r="L4" s="17"/>
      <c r="M4" s="17"/>
      <c r="N4" s="17"/>
      <c r="O4" s="17"/>
      <c r="P4" s="17"/>
      <c r="Q4" s="17"/>
      <c r="R4" s="17"/>
      <c r="S4" s="17"/>
      <c r="T4" s="43">
        <v>2018</v>
      </c>
      <c r="U4" s="44"/>
      <c r="V4" s="44"/>
      <c r="W4" s="44"/>
      <c r="X4" s="44"/>
      <c r="Y4" s="44"/>
      <c r="Z4" s="44"/>
      <c r="AA4" s="44"/>
      <c r="AB4" s="44"/>
      <c r="AC4" s="44"/>
      <c r="AD4" s="44"/>
      <c r="AE4" s="44"/>
      <c r="AF4" s="142">
        <v>2019</v>
      </c>
    </row>
    <row r="5" spans="2:32">
      <c r="B5" s="41" t="s">
        <v>60</v>
      </c>
      <c r="C5" s="41"/>
      <c r="D5" s="41"/>
      <c r="E5" s="41" t="s">
        <v>61</v>
      </c>
      <c r="F5" s="41" t="s">
        <v>164</v>
      </c>
      <c r="H5" s="26">
        <v>42736</v>
      </c>
      <c r="I5" s="26">
        <v>42767</v>
      </c>
      <c r="J5" s="26">
        <v>42795</v>
      </c>
      <c r="K5" s="26">
        <v>42826</v>
      </c>
      <c r="L5" s="26">
        <v>42856</v>
      </c>
      <c r="M5" s="26">
        <v>42887</v>
      </c>
      <c r="N5" s="26">
        <v>42917</v>
      </c>
      <c r="O5" s="26">
        <v>42948</v>
      </c>
      <c r="P5" s="26">
        <v>42979</v>
      </c>
      <c r="Q5" s="26">
        <v>43009</v>
      </c>
      <c r="R5" s="26">
        <v>43040</v>
      </c>
      <c r="S5" s="26">
        <v>43070</v>
      </c>
      <c r="T5" s="26">
        <v>43101</v>
      </c>
      <c r="U5" s="26">
        <v>43132</v>
      </c>
      <c r="V5" s="26">
        <v>43160</v>
      </c>
      <c r="W5" s="26">
        <v>43191</v>
      </c>
      <c r="X5" s="26">
        <v>43221</v>
      </c>
      <c r="Y5" s="26">
        <v>43252</v>
      </c>
      <c r="Z5" s="26">
        <v>43282</v>
      </c>
      <c r="AA5" s="26">
        <v>43313</v>
      </c>
      <c r="AB5" s="26">
        <v>43344</v>
      </c>
      <c r="AC5" s="26">
        <v>43374</v>
      </c>
      <c r="AD5" s="26">
        <v>43405</v>
      </c>
      <c r="AE5" s="26">
        <v>43435</v>
      </c>
      <c r="AF5" s="26">
        <v>43830</v>
      </c>
    </row>
    <row r="6" spans="2:32">
      <c r="B6" s="7" t="s">
        <v>289</v>
      </c>
      <c r="C6" s="7"/>
      <c r="D6" s="7"/>
      <c r="E6" s="91">
        <v>41671</v>
      </c>
      <c r="F6" s="270">
        <f>1-'Salon Model'!L50</f>
        <v>0.58288770053475936</v>
      </c>
      <c r="H6" s="46">
        <f>MIN(MAX(H$5-$E6,0)/('Salon Model'!$F$32*(365/12)),1)*(1-($F6*MAX((180-(H$5-$H$5))/180,0)))</f>
        <v>0.41711229946524064</v>
      </c>
      <c r="I6" s="46">
        <f>MIN(MAX(I$5-$E6,0)/('Salon Model'!$F$32*(365/12)),1)*(1-($F6*MAX((180-(I$5-$H$5))/180,0)))</f>
        <v>0.51749851455733809</v>
      </c>
      <c r="J6" s="46">
        <f>MIN(MAX(J$5-$E6,0)/('Salon Model'!$F$32*(365/12)),1)*(1-($F6*MAX((180-(J$5-$H$5))/180,0)))</f>
        <v>0.60816993464052282</v>
      </c>
      <c r="K6" s="46">
        <f>MIN(MAX(K$5-$E6,0)/('Salon Model'!$F$32*(365/12)),1)*(1-($F6*MAX((180-(K$5-$H$5))/180,0)))</f>
        <v>0.70855614973262027</v>
      </c>
      <c r="L6" s="46">
        <f>MIN(MAX(L$5-$E6,0)/('Salon Model'!$F$32*(365/12)),1)*(1-($F6*MAX((180-(L$5-$H$5))/180,0)))</f>
        <v>0.80570409982174684</v>
      </c>
      <c r="M6" s="46">
        <f>MIN(MAX(M$5-$E6,0)/('Salon Model'!$F$32*(365/12)),1)*(1-($F6*MAX((180-(M$5-$H$5))/180,0)))</f>
        <v>0.90609031491384429</v>
      </c>
      <c r="N6" s="46">
        <f>MIN(MAX(N$5-$E6,0)/('Salon Model'!$F$32*(365/12)),1)*(1-($F6*MAX((180-(N$5-$H$5))/180,0)))</f>
        <v>1</v>
      </c>
      <c r="O6" s="46">
        <f>MIN(MAX(O$5-$E6,0)/('Salon Model'!$F$32*(365/12)),1)*(1-($F6*MAX((180-(O$5-$H$5))/180,0)))</f>
        <v>1</v>
      </c>
      <c r="P6" s="46">
        <f>MIN(MAX(P$5-$E6,0)/('Salon Model'!$F$32*(365/12)),1)*(1-($F6*MAX((180-(P$5-$H$5))/180,0)))</f>
        <v>1</v>
      </c>
      <c r="Q6" s="46">
        <f>MIN(MAX(Q$5-$E6,0)/('Salon Model'!$F$32*(365/12)),1)*(1-($F6*MAX((180-(Q$5-$H$5))/180,0)))</f>
        <v>1</v>
      </c>
      <c r="R6" s="46">
        <f>MIN(MAX(R$5-$E6,0)/('Salon Model'!$F$32*(365/12)),1)*(1-($F6*MAX((180-(R$5-$H$5))/180,0)))</f>
        <v>1</v>
      </c>
      <c r="S6" s="46">
        <f>MIN(MAX(S$5-$E6,0)/('Salon Model'!$F$32*(365/12)),1)*(1-($F6*MAX((180-(S$5-$H$5))/180,0)))</f>
        <v>1</v>
      </c>
      <c r="T6" s="46">
        <f>MIN(MAX(T$5-$E6,0)/('Salon Model'!$F$32*(365/12)),1)*(1-($F6*MAX((180-(T$5-$H$5))/180,0)))</f>
        <v>1</v>
      </c>
      <c r="U6" s="46">
        <f>MIN(MAX(U$5-$E6,0)/('Salon Model'!$F$32*(365/12)),1)*(1-($F6*MAX((180-(U$5-$H$5))/180,0)))</f>
        <v>1</v>
      </c>
      <c r="V6" s="46">
        <f>MIN(MAX(V$5-$E6,0)/('Salon Model'!$F$32*(365/12)),1)*(1-($F6*MAX((180-(V$5-$H$5))/180,0)))</f>
        <v>1</v>
      </c>
      <c r="W6" s="46">
        <f>MIN(MAX(W$5-$E6,0)/('Salon Model'!$F$32*(365/12)),1)*(1-($F6*MAX((180-(W$5-$H$5))/180,0)))</f>
        <v>1</v>
      </c>
      <c r="X6" s="46">
        <f>MIN(MAX(X$5-$E6,0)/('Salon Model'!$F$32*(365/12)),1)*(1-($F6*MAX((180-(X$5-$H$5))/180,0)))</f>
        <v>1</v>
      </c>
      <c r="Y6" s="46">
        <f>MIN(MAX(Y$5-$E6,0)/('Salon Model'!$F$32*(365/12)),1)*(1-($F6*MAX((180-(Y$5-$H$5))/180,0)))</f>
        <v>1</v>
      </c>
      <c r="Z6" s="46">
        <f>MIN(MAX(Z$5-$E6,0)/('Salon Model'!$F$32*(365/12)),1)*(1-($F6*MAX((180-(Z$5-$H$5))/180,0)))</f>
        <v>1</v>
      </c>
      <c r="AA6" s="46">
        <f>MIN(MAX(AA$5-$E6,0)/('Salon Model'!$F$32*(365/12)),1)*(1-($F6*MAX((180-(AA$5-$H$5))/180,0)))</f>
        <v>1</v>
      </c>
      <c r="AB6" s="46">
        <f>MIN(MAX(AB$5-$E6,0)/('Salon Model'!$F$32*(365/12)),1)*(1-($F6*MAX((180-(AB$5-$H$5))/180,0)))</f>
        <v>1</v>
      </c>
      <c r="AC6" s="46">
        <f>MIN(MAX(AC$5-$E6,0)/('Salon Model'!$F$32*(365/12)),1)*(1-($F6*MAX((180-(AC$5-$H$5))/180,0)))</f>
        <v>1</v>
      </c>
      <c r="AD6" s="46">
        <f>MIN(MAX(AD$5-$E6,0)/('Salon Model'!$F$32*(365/12)),1)*(1-($F6*MAX((180-(AD$5-$H$5))/180,0)))</f>
        <v>1</v>
      </c>
      <c r="AE6" s="46">
        <f>MIN(MAX(AE$5-$E6,0)/('Salon Model'!$F$32*(365/12)),1)*(1-($F6*MAX((180-(AE$5-$H$5))/180,0)))</f>
        <v>1</v>
      </c>
      <c r="AF6" s="46">
        <f>MIN(MAX(AF$5-$E6,0)/('Salon Model'!$F$32*(365/12)),1)*(1-($F6*MAX((180-(AF$5-$H$5))/180,0)))</f>
        <v>1</v>
      </c>
    </row>
    <row r="7" spans="2:32">
      <c r="B7" s="7" t="s">
        <v>290</v>
      </c>
      <c r="C7" s="7"/>
      <c r="D7" s="7"/>
      <c r="E7" s="91">
        <v>41671</v>
      </c>
      <c r="F7" s="270">
        <f>1-'Salon Model'!O50</f>
        <v>0.82406417112299468</v>
      </c>
      <c r="H7" s="46">
        <f>MIN(MAX(H$5-$E7,0)/('Salon Model'!$F$32*(365/12)),1)*(1-($F7*MAX((180-(H$5-$H$5))/180,0)))</f>
        <v>0.17593582887700532</v>
      </c>
      <c r="I7" s="46">
        <f>MIN(MAX(I$5-$E7,0)/('Salon Model'!$F$32*(365/12)),1)*(1-($F7*MAX((180-(I$5-$H$5))/180,0)))</f>
        <v>0.31785799168152107</v>
      </c>
      <c r="J7" s="46">
        <f>MIN(MAX(J$5-$E7,0)/('Salon Model'!$F$32*(365/12)),1)*(1-($F7*MAX((180-(J$5-$H$5))/180,0)))</f>
        <v>0.44604575163398685</v>
      </c>
      <c r="K7" s="46">
        <f>MIN(MAX(K$5-$E7,0)/('Salon Model'!$F$32*(365/12)),1)*(1-($F7*MAX((180-(K$5-$H$5))/180,0)))</f>
        <v>0.5879679144385026</v>
      </c>
      <c r="L7" s="46">
        <f>MIN(MAX(L$5-$E7,0)/('Salon Model'!$F$32*(365/12)),1)*(1-($F7*MAX((180-(L$5-$H$5))/180,0)))</f>
        <v>0.72531194295900181</v>
      </c>
      <c r="M7" s="46">
        <f>MIN(MAX(M$5-$E7,0)/('Salon Model'!$F$32*(365/12)),1)*(1-($F7*MAX((180-(M$5-$H$5))/180,0)))</f>
        <v>0.86723410576351756</v>
      </c>
      <c r="N7" s="46">
        <f>MIN(MAX(N$5-$E7,0)/('Salon Model'!$F$32*(365/12)),1)*(1-($F7*MAX((180-(N$5-$H$5))/180,0)))</f>
        <v>1</v>
      </c>
      <c r="O7" s="46">
        <f>MIN(MAX(O$5-$E7,0)/('Salon Model'!$F$32*(365/12)),1)*(1-($F7*MAX((180-(O$5-$H$5))/180,0)))</f>
        <v>1</v>
      </c>
      <c r="P7" s="46">
        <f>MIN(MAX(P$5-$E7,0)/('Salon Model'!$F$32*(365/12)),1)*(1-($F7*MAX((180-(P$5-$H$5))/180,0)))</f>
        <v>1</v>
      </c>
      <c r="Q7" s="46">
        <f>MIN(MAX(Q$5-$E7,0)/('Salon Model'!$F$32*(365/12)),1)*(1-($F7*MAX((180-(Q$5-$H$5))/180,0)))</f>
        <v>1</v>
      </c>
      <c r="R7" s="46">
        <f>MIN(MAX(R$5-$E7,0)/('Salon Model'!$F$32*(365/12)),1)*(1-($F7*MAX((180-(R$5-$H$5))/180,0)))</f>
        <v>1</v>
      </c>
      <c r="S7" s="46">
        <f>MIN(MAX(S$5-$E7,0)/('Salon Model'!$F$32*(365/12)),1)*(1-($F7*MAX((180-(S$5-$H$5))/180,0)))</f>
        <v>1</v>
      </c>
      <c r="T7" s="46">
        <f>MIN(MAX(T$5-$E7,0)/('Salon Model'!$F$32*(365/12)),1)*(1-($F7*MAX((180-(T$5-$H$5))/180,0)))</f>
        <v>1</v>
      </c>
      <c r="U7" s="46">
        <f>MIN(MAX(U$5-$E7,0)/('Salon Model'!$F$32*(365/12)),1)*(1-($F7*MAX((180-(U$5-$H$5))/180,0)))</f>
        <v>1</v>
      </c>
      <c r="V7" s="46">
        <f>MIN(MAX(V$5-$E7,0)/('Salon Model'!$F$32*(365/12)),1)*(1-($F7*MAX((180-(V$5-$H$5))/180,0)))</f>
        <v>1</v>
      </c>
      <c r="W7" s="46">
        <f>MIN(MAX(W$5-$E7,0)/('Salon Model'!$F$32*(365/12)),1)*(1-($F7*MAX((180-(W$5-$H$5))/180,0)))</f>
        <v>1</v>
      </c>
      <c r="X7" s="46">
        <f>MIN(MAX(X$5-$E7,0)/('Salon Model'!$F$32*(365/12)),1)*(1-($F7*MAX((180-(X$5-$H$5))/180,0)))</f>
        <v>1</v>
      </c>
      <c r="Y7" s="46">
        <f>MIN(MAX(Y$5-$E7,0)/('Salon Model'!$F$32*(365/12)),1)*(1-($F7*MAX((180-(Y$5-$H$5))/180,0)))</f>
        <v>1</v>
      </c>
      <c r="Z7" s="46">
        <f>MIN(MAX(Z$5-$E7,0)/('Salon Model'!$F$32*(365/12)),1)*(1-($F7*MAX((180-(Z$5-$H$5))/180,0)))</f>
        <v>1</v>
      </c>
      <c r="AA7" s="46">
        <f>MIN(MAX(AA$5-$E7,0)/('Salon Model'!$F$32*(365/12)),1)*(1-($F7*MAX((180-(AA$5-$H$5))/180,0)))</f>
        <v>1</v>
      </c>
      <c r="AB7" s="46">
        <f>MIN(MAX(AB$5-$E7,0)/('Salon Model'!$F$32*(365/12)),1)*(1-($F7*MAX((180-(AB$5-$H$5))/180,0)))</f>
        <v>1</v>
      </c>
      <c r="AC7" s="46">
        <f>MIN(MAX(AC$5-$E7,0)/('Salon Model'!$F$32*(365/12)),1)*(1-($F7*MAX((180-(AC$5-$H$5))/180,0)))</f>
        <v>1</v>
      </c>
      <c r="AD7" s="46">
        <f>MIN(MAX(AD$5-$E7,0)/('Salon Model'!$F$32*(365/12)),1)*(1-($F7*MAX((180-(AD$5-$H$5))/180,0)))</f>
        <v>1</v>
      </c>
      <c r="AE7" s="46">
        <f>MIN(MAX(AE$5-$E7,0)/('Salon Model'!$F$32*(365/12)),1)*(1-($F7*MAX((180-(AE$5-$H$5))/180,0)))</f>
        <v>1</v>
      </c>
      <c r="AF7" s="46">
        <f>MIN(MAX(AF$5-$E7,0)/('Salon Model'!$F$32*(365/12)),1)*(1-($F7*MAX((180-(AF$5-$H$5))/180,0)))</f>
        <v>1</v>
      </c>
    </row>
    <row r="8" spans="2:32">
      <c r="B8" s="7" t="s">
        <v>291</v>
      </c>
      <c r="C8" s="7"/>
      <c r="D8" s="7"/>
      <c r="E8" s="91">
        <v>42186</v>
      </c>
      <c r="F8" s="270">
        <f>1-'Salon Model'!R50</f>
        <v>0.75306479859894915</v>
      </c>
      <c r="H8" s="46">
        <f>MIN(MAX(H$5-$E8,0)/('Salon Model'!$F$32*(365/12)),1)*(1-($F8*MAX((180-(H$5-$H$5))/180,0)))</f>
        <v>0.18604706954873695</v>
      </c>
      <c r="I8" s="46">
        <f>MIN(MAX(I$5-$E8,0)/('Salon Model'!$F$32*(365/12)),1)*(1-($F8*MAX((180-(I$5-$H$5))/180,0)))</f>
        <v>0.29975596232943363</v>
      </c>
      <c r="J8" s="46">
        <f>MIN(MAX(J$5-$E8,0)/('Salon Model'!$F$32*(365/12)),1)*(1-($F8*MAX((180-(J$5-$H$5))/180,0)))</f>
        <v>0.41192852401858471</v>
      </c>
      <c r="K8" s="46">
        <f>MIN(MAX(K$5-$E8,0)/('Salon Model'!$F$32*(365/12)),1)*(1-($F8*MAX((180-(K$5-$H$5))/180,0)))</f>
        <v>0.5466017321210086</v>
      </c>
      <c r="L8" s="46">
        <f>MIN(MAX(L$5-$E8,0)/('Salon Model'!$F$32*(365/12)),1)*(1-($F8*MAX((180-(L$5-$H$5))/180,0)))</f>
        <v>0.68741853193548141</v>
      </c>
      <c r="M8" s="46">
        <f>MIN(MAX(M$5-$E8,0)/('Salon Model'!$F$32*(365/12)),1)*(1-($F8*MAX((180-(M$5-$H$5))/180,0)))</f>
        <v>0.84376671011630111</v>
      </c>
      <c r="N8" s="46">
        <f>MIN(MAX(N$5-$E8,0)/('Salon Model'!$F$32*(365/12)),1)*(1-($F8*MAX((180-(N$5-$H$5))/180,0)))</f>
        <v>1</v>
      </c>
      <c r="O8" s="46">
        <f>MIN(MAX(O$5-$E8,0)/('Salon Model'!$F$32*(365/12)),1)*(1-($F8*MAX((180-(O$5-$H$5))/180,0)))</f>
        <v>1</v>
      </c>
      <c r="P8" s="46">
        <f>MIN(MAX(P$5-$E8,0)/('Salon Model'!$F$32*(365/12)),1)*(1-($F8*MAX((180-(P$5-$H$5))/180,0)))</f>
        <v>1</v>
      </c>
      <c r="Q8" s="46">
        <f>MIN(MAX(Q$5-$E8,0)/('Salon Model'!$F$32*(365/12)),1)*(1-($F8*MAX((180-(Q$5-$H$5))/180,0)))</f>
        <v>1</v>
      </c>
      <c r="R8" s="46">
        <f>MIN(MAX(R$5-$E8,0)/('Salon Model'!$F$32*(365/12)),1)*(1-($F8*MAX((180-(R$5-$H$5))/180,0)))</f>
        <v>1</v>
      </c>
      <c r="S8" s="46">
        <f>MIN(MAX(S$5-$E8,0)/('Salon Model'!$F$32*(365/12)),1)*(1-($F8*MAX((180-(S$5-$H$5))/180,0)))</f>
        <v>1</v>
      </c>
      <c r="T8" s="46">
        <f>MIN(MAX(T$5-$E8,0)/('Salon Model'!$F$32*(365/12)),1)*(1-($F8*MAX((180-(T$5-$H$5))/180,0)))</f>
        <v>1</v>
      </c>
      <c r="U8" s="46">
        <f>MIN(MAX(U$5-$E8,0)/('Salon Model'!$F$32*(365/12)),1)*(1-($F8*MAX((180-(U$5-$H$5))/180,0)))</f>
        <v>1</v>
      </c>
      <c r="V8" s="46">
        <f>MIN(MAX(V$5-$E8,0)/('Salon Model'!$F$32*(365/12)),1)*(1-($F8*MAX((180-(V$5-$H$5))/180,0)))</f>
        <v>1</v>
      </c>
      <c r="W8" s="46">
        <f>MIN(MAX(W$5-$E8,0)/('Salon Model'!$F$32*(365/12)),1)*(1-($F8*MAX((180-(W$5-$H$5))/180,0)))</f>
        <v>1</v>
      </c>
      <c r="X8" s="46">
        <f>MIN(MAX(X$5-$E8,0)/('Salon Model'!$F$32*(365/12)),1)*(1-($F8*MAX((180-(X$5-$H$5))/180,0)))</f>
        <v>1</v>
      </c>
      <c r="Y8" s="46">
        <f>MIN(MAX(Y$5-$E8,0)/('Salon Model'!$F$32*(365/12)),1)*(1-($F8*MAX((180-(Y$5-$H$5))/180,0)))</f>
        <v>1</v>
      </c>
      <c r="Z8" s="46">
        <f>MIN(MAX(Z$5-$E8,0)/('Salon Model'!$F$32*(365/12)),1)*(1-($F8*MAX((180-(Z$5-$H$5))/180,0)))</f>
        <v>1</v>
      </c>
      <c r="AA8" s="46">
        <f>MIN(MAX(AA$5-$E8,0)/('Salon Model'!$F$32*(365/12)),1)*(1-($F8*MAX((180-(AA$5-$H$5))/180,0)))</f>
        <v>1</v>
      </c>
      <c r="AB8" s="46">
        <f>MIN(MAX(AB$5-$E8,0)/('Salon Model'!$F$32*(365/12)),1)*(1-($F8*MAX((180-(AB$5-$H$5))/180,0)))</f>
        <v>1</v>
      </c>
      <c r="AC8" s="46">
        <f>MIN(MAX(AC$5-$E8,0)/('Salon Model'!$F$32*(365/12)),1)*(1-($F8*MAX((180-(AC$5-$H$5))/180,0)))</f>
        <v>1</v>
      </c>
      <c r="AD8" s="46">
        <f>MIN(MAX(AD$5-$E8,0)/('Salon Model'!$F$32*(365/12)),1)*(1-($F8*MAX((180-(AD$5-$H$5))/180,0)))</f>
        <v>1</v>
      </c>
      <c r="AE8" s="46">
        <f>MIN(MAX(AE$5-$E8,0)/('Salon Model'!$F$32*(365/12)),1)*(1-($F8*MAX((180-(AE$5-$H$5))/180,0)))</f>
        <v>1</v>
      </c>
      <c r="AF8" s="46">
        <f>MIN(MAX(AF$5-$E8,0)/('Salon Model'!$F$32*(365/12)),1)*(1-($F8*MAX((180-(AF$5-$H$5))/180,0)))</f>
        <v>1</v>
      </c>
    </row>
    <row r="9" spans="2:32">
      <c r="B9" s="7" t="s">
        <v>292</v>
      </c>
      <c r="C9" s="7"/>
      <c r="D9" s="7"/>
      <c r="E9" s="91">
        <v>42353</v>
      </c>
      <c r="F9" s="270">
        <f>1-'Salon Model'!U50</f>
        <v>0.66598984771573599</v>
      </c>
      <c r="H9" s="46">
        <f>MIN(MAX(H$5-$E9,0)/('Salon Model'!$F$32*(365/12)),1)*(1-($F9*MAX((180-(H$5-$H$5))/180,0)))</f>
        <v>0.1752409429107851</v>
      </c>
      <c r="I9" s="46">
        <f>MIN(MAX(I$5-$E9,0)/('Salon Model'!$F$32*(365/12)),1)*(1-($F9*MAX((180-(I$5-$H$5))/180,0)))</f>
        <v>0.2544729851887908</v>
      </c>
      <c r="J9" s="46">
        <f>MIN(MAX(J$5-$E9,0)/('Salon Model'!$F$32*(365/12)),1)*(1-($F9*MAX((180-(J$5-$H$5))/180,0)))</f>
        <v>0.33441043351953575</v>
      </c>
      <c r="K9" s="46">
        <f>MIN(MAX(K$5-$E9,0)/('Salon Model'!$F$32*(365/12)),1)*(1-($F9*MAX((180-(K$5-$H$5))/180,0)))</f>
        <v>0.43218274111675126</v>
      </c>
      <c r="L9" s="46">
        <f>MIN(MAX(L$5-$E9,0)/('Salon Model'!$F$32*(365/12)),1)*(1-($F9*MAX((180-(L$5-$H$5))/180,0)))</f>
        <v>0.53607630438309806</v>
      </c>
      <c r="M9" s="46">
        <f>MIN(MAX(M$5-$E9,0)/('Salon Model'!$F$32*(365/12)),1)*(1-($F9*MAX((180-(M$5-$H$5))/180,0)))</f>
        <v>0.653017360869666</v>
      </c>
      <c r="N9" s="46">
        <f>MIN(MAX(N$5-$E9,0)/('Salon Model'!$F$32*(365/12)),1)*(1-($F9*MAX((180-(N$5-$H$5))/180,0)))</f>
        <v>0.77260273972602744</v>
      </c>
      <c r="O9" s="46">
        <f>MIN(MAX(O$5-$E9,0)/('Salon Model'!$F$32*(365/12)),1)*(1-($F9*MAX((180-(O$5-$H$5))/180,0)))</f>
        <v>0.81506849315068497</v>
      </c>
      <c r="P9" s="46">
        <f>MIN(MAX(P$5-$E9,0)/('Salon Model'!$F$32*(365/12)),1)*(1-($F9*MAX((180-(P$5-$H$5))/180,0)))</f>
        <v>0.8575342465753425</v>
      </c>
      <c r="Q9" s="46">
        <f>MIN(MAX(Q$5-$E9,0)/('Salon Model'!$F$32*(365/12)),1)*(1-($F9*MAX((180-(Q$5-$H$5))/180,0)))</f>
        <v>0.89863013698630134</v>
      </c>
      <c r="R9" s="46">
        <f>MIN(MAX(R$5-$E9,0)/('Salon Model'!$F$32*(365/12)),1)*(1-($F9*MAX((180-(R$5-$H$5))/180,0)))</f>
        <v>0.94109589041095887</v>
      </c>
      <c r="S9" s="46">
        <f>MIN(MAX(S$5-$E9,0)/('Salon Model'!$F$32*(365/12)),1)*(1-($F9*MAX((180-(S$5-$H$5))/180,0)))</f>
        <v>0.98219178082191783</v>
      </c>
      <c r="T9" s="46">
        <f>MIN(MAX(T$5-$E9,0)/('Salon Model'!$F$32*(365/12)),1)*(1-($F9*MAX((180-(T$5-$H$5))/180,0)))</f>
        <v>1</v>
      </c>
      <c r="U9" s="46">
        <f>MIN(MAX(U$5-$E9,0)/('Salon Model'!$F$32*(365/12)),1)*(1-($F9*MAX((180-(U$5-$H$5))/180,0)))</f>
        <v>1</v>
      </c>
      <c r="V9" s="46">
        <f>MIN(MAX(V$5-$E9,0)/('Salon Model'!$F$32*(365/12)),1)*(1-($F9*MAX((180-(V$5-$H$5))/180,0)))</f>
        <v>1</v>
      </c>
      <c r="W9" s="46">
        <f>MIN(MAX(W$5-$E9,0)/('Salon Model'!$F$32*(365/12)),1)*(1-($F9*MAX((180-(W$5-$H$5))/180,0)))</f>
        <v>1</v>
      </c>
      <c r="X9" s="46">
        <f>MIN(MAX(X$5-$E9,0)/('Salon Model'!$F$32*(365/12)),1)*(1-($F9*MAX((180-(X$5-$H$5))/180,0)))</f>
        <v>1</v>
      </c>
      <c r="Y9" s="46">
        <f>MIN(MAX(Y$5-$E9,0)/('Salon Model'!$F$32*(365/12)),1)*(1-($F9*MAX((180-(Y$5-$H$5))/180,0)))</f>
        <v>1</v>
      </c>
      <c r="Z9" s="46">
        <f>MIN(MAX(Z$5-$E9,0)/('Salon Model'!$F$32*(365/12)),1)*(1-($F9*MAX((180-(Z$5-$H$5))/180,0)))</f>
        <v>1</v>
      </c>
      <c r="AA9" s="46">
        <f>MIN(MAX(AA$5-$E9,0)/('Salon Model'!$F$32*(365/12)),1)*(1-($F9*MAX((180-(AA$5-$H$5))/180,0)))</f>
        <v>1</v>
      </c>
      <c r="AB9" s="46">
        <f>MIN(MAX(AB$5-$E9,0)/('Salon Model'!$F$32*(365/12)),1)*(1-($F9*MAX((180-(AB$5-$H$5))/180,0)))</f>
        <v>1</v>
      </c>
      <c r="AC9" s="46">
        <f>MIN(MAX(AC$5-$E9,0)/('Salon Model'!$F$32*(365/12)),1)*(1-($F9*MAX((180-(AC$5-$H$5))/180,0)))</f>
        <v>1</v>
      </c>
      <c r="AD9" s="46">
        <f>MIN(MAX(AD$5-$E9,0)/('Salon Model'!$F$32*(365/12)),1)*(1-($F9*MAX((180-(AD$5-$H$5))/180,0)))</f>
        <v>1</v>
      </c>
      <c r="AE9" s="46">
        <f>MIN(MAX(AE$5-$E9,0)/('Salon Model'!$F$32*(365/12)),1)*(1-($F9*MAX((180-(AE$5-$H$5))/180,0)))</f>
        <v>1</v>
      </c>
      <c r="AF9" s="46">
        <f>MIN(MAX(AF$5-$E9,0)/('Salon Model'!$F$32*(365/12)),1)*(1-($F9*MAX((180-(AF$5-$H$5))/180,0)))</f>
        <v>1</v>
      </c>
    </row>
    <row r="10" spans="2:32">
      <c r="B10" s="7" t="s">
        <v>293</v>
      </c>
      <c r="C10" s="7"/>
      <c r="D10" s="7"/>
      <c r="E10" s="91">
        <v>42461</v>
      </c>
      <c r="F10" s="270">
        <f>1-'Salon Model'!X50</f>
        <v>9.2307692307692313E-2</v>
      </c>
      <c r="H10" s="46">
        <f>MIN(MAX(H$5-$E10,0)/('Salon Model'!$F$32*(365/12)),1)*(1-($F10*MAX((180-(H$5-$H$5))/180,0)))</f>
        <v>0.34193888303477343</v>
      </c>
      <c r="I10" s="46">
        <f>MIN(MAX(I$5-$E10,0)/('Salon Model'!$F$32*(365/12)),1)*(1-($F10*MAX((180-(I$5-$H$5))/180,0)))</f>
        <v>0.3871485774499473</v>
      </c>
      <c r="J10" s="46">
        <f>MIN(MAX(J$5-$E10,0)/('Salon Model'!$F$32*(365/12)),1)*(1-($F10*MAX((180-(J$5-$H$5))/180,0)))</f>
        <v>0.42914365999297505</v>
      </c>
      <c r="K10" s="46">
        <f>MIN(MAX(K$5-$E10,0)/('Salon Model'!$F$32*(365/12)),1)*(1-($F10*MAX((180-(K$5-$H$5))/180,0)))</f>
        <v>0.47692307692307689</v>
      </c>
      <c r="L10" s="46">
        <f>MIN(MAX(L$5-$E10,0)/('Salon Model'!$F$32*(365/12)),1)*(1-($F10*MAX((180-(L$5-$H$5))/180,0)))</f>
        <v>0.52444678609062179</v>
      </c>
      <c r="M10" s="46">
        <f>MIN(MAX(M$5-$E10,0)/('Salon Model'!$F$32*(365/12)),1)*(1-($F10*MAX((180-(M$5-$H$5))/180,0)))</f>
        <v>0.57488303477344571</v>
      </c>
      <c r="N10" s="46">
        <f>MIN(MAX(N$5-$E10,0)/('Salon Model'!$F$32*(365/12)),1)*(1-($F10*MAX((180-(N$5-$H$5))/180,0)))</f>
        <v>0.62465753424657533</v>
      </c>
      <c r="O10" s="46">
        <f>MIN(MAX(O$5-$E10,0)/('Salon Model'!$F$32*(365/12)),1)*(1-($F10*MAX((180-(O$5-$H$5))/180,0)))</f>
        <v>0.66712328767123286</v>
      </c>
      <c r="P10" s="46">
        <f>MIN(MAX(P$5-$E10,0)/('Salon Model'!$F$32*(365/12)),1)*(1-($F10*MAX((180-(P$5-$H$5))/180,0)))</f>
        <v>0.70958904109589038</v>
      </c>
      <c r="Q10" s="46">
        <f>MIN(MAX(Q$5-$E10,0)/('Salon Model'!$F$32*(365/12)),1)*(1-($F10*MAX((180-(Q$5-$H$5))/180,0)))</f>
        <v>0.75068493150684934</v>
      </c>
      <c r="R10" s="46">
        <f>MIN(MAX(R$5-$E10,0)/('Salon Model'!$F$32*(365/12)),1)*(1-($F10*MAX((180-(R$5-$H$5))/180,0)))</f>
        <v>0.79315068493150687</v>
      </c>
      <c r="S10" s="46">
        <f>MIN(MAX(S$5-$E10,0)/('Salon Model'!$F$32*(365/12)),1)*(1-($F10*MAX((180-(S$5-$H$5))/180,0)))</f>
        <v>0.83424657534246571</v>
      </c>
      <c r="T10" s="46">
        <f>MIN(MAX(T$5-$E10,0)/('Salon Model'!$F$32*(365/12)),1)*(1-($F10*MAX((180-(T$5-$H$5))/180,0)))</f>
        <v>0.87671232876712324</v>
      </c>
      <c r="U10" s="46">
        <f>MIN(MAX(U$5-$E10,0)/('Salon Model'!$F$32*(365/12)),1)*(1-($F10*MAX((180-(U$5-$H$5))/180,0)))</f>
        <v>0.91917808219178088</v>
      </c>
      <c r="V10" s="46">
        <f>MIN(MAX(V$5-$E10,0)/('Salon Model'!$F$32*(365/12)),1)*(1-($F10*MAX((180-(V$5-$H$5))/180,0)))</f>
        <v>0.95753424657534247</v>
      </c>
      <c r="W10" s="46">
        <f>MIN(MAX(W$5-$E10,0)/('Salon Model'!$F$32*(365/12)),1)*(1-($F10*MAX((180-(W$5-$H$5))/180,0)))</f>
        <v>1</v>
      </c>
      <c r="X10" s="46">
        <f>MIN(MAX(X$5-$E10,0)/('Salon Model'!$F$32*(365/12)),1)*(1-($F10*MAX((180-(X$5-$H$5))/180,0)))</f>
        <v>1</v>
      </c>
      <c r="Y10" s="46">
        <f>MIN(MAX(Y$5-$E10,0)/('Salon Model'!$F$32*(365/12)),1)*(1-($F10*MAX((180-(Y$5-$H$5))/180,0)))</f>
        <v>1</v>
      </c>
      <c r="Z10" s="46">
        <f>MIN(MAX(Z$5-$E10,0)/('Salon Model'!$F$32*(365/12)),1)*(1-($F10*MAX((180-(Z$5-$H$5))/180,0)))</f>
        <v>1</v>
      </c>
      <c r="AA10" s="46">
        <f>MIN(MAX(AA$5-$E10,0)/('Salon Model'!$F$32*(365/12)),1)*(1-($F10*MAX((180-(AA$5-$H$5))/180,0)))</f>
        <v>1</v>
      </c>
      <c r="AB10" s="46">
        <f>MIN(MAX(AB$5-$E10,0)/('Salon Model'!$F$32*(365/12)),1)*(1-($F10*MAX((180-(AB$5-$H$5))/180,0)))</f>
        <v>1</v>
      </c>
      <c r="AC10" s="46">
        <f>MIN(MAX(AC$5-$E10,0)/('Salon Model'!$F$32*(365/12)),1)*(1-($F10*MAX((180-(AC$5-$H$5))/180,0)))</f>
        <v>1</v>
      </c>
      <c r="AD10" s="46">
        <f>MIN(MAX(AD$5-$E10,0)/('Salon Model'!$F$32*(365/12)),1)*(1-($F10*MAX((180-(AD$5-$H$5))/180,0)))</f>
        <v>1</v>
      </c>
      <c r="AE10" s="46">
        <f>MIN(MAX(AE$5-$E10,0)/('Salon Model'!$F$32*(365/12)),1)*(1-($F10*MAX((180-(AE$5-$H$5))/180,0)))</f>
        <v>1</v>
      </c>
      <c r="AF10" s="46">
        <f>MIN(MAX(AF$5-$E10,0)/('Salon Model'!$F$32*(365/12)),1)*(1-($F10*MAX((180-(AF$5-$H$5))/180,0)))</f>
        <v>1</v>
      </c>
    </row>
    <row r="11" spans="2:32">
      <c r="B11" s="7" t="s">
        <v>294</v>
      </c>
      <c r="C11" s="7"/>
      <c r="D11" s="7"/>
      <c r="E11" s="91">
        <v>42644</v>
      </c>
      <c r="F11" s="270">
        <f>1-'Salon Model'!AA50</f>
        <v>-5.7500000000000107E-2</v>
      </c>
      <c r="H11" s="46">
        <f>MIN(MAX(H$5-$E11,0)/('Salon Model'!$F$32*(365/12)),1)*(1-($F11*MAX((180-(H$5-$H$5))/180,0)))</f>
        <v>0.13327397260273974</v>
      </c>
      <c r="I11" s="46">
        <f>MIN(MAX(I$5-$E11,0)/('Salon Model'!$F$32*(365/12)),1)*(1-($F11*MAX((180-(I$5-$H$5))/180,0)))</f>
        <v>0.17651295662100458</v>
      </c>
      <c r="J11" s="46">
        <f>MIN(MAX(J$5-$E11,0)/('Salon Model'!$F$32*(365/12)),1)*(1-($F11*MAX((180-(J$5-$H$5))/180,0)))</f>
        <v>0.21484461567732119</v>
      </c>
      <c r="K11" s="46">
        <f>MIN(MAX(K$5-$E11,0)/('Salon Model'!$F$32*(365/12)),1)*(1-($F11*MAX((180-(K$5-$H$5))/180,0)))</f>
        <v>0.25648287671232878</v>
      </c>
      <c r="L11" s="46">
        <f>MIN(MAX(L$5-$E11,0)/('Salon Model'!$F$32*(365/12)),1)*(1-($F11*MAX((180-(L$5-$H$5))/180,0)))</f>
        <v>0.29597716894977172</v>
      </c>
      <c r="M11" s="46">
        <f>MIN(MAX(M$5-$E11,0)/('Salon Model'!$F$32*(365/12)),1)*(1-($F11*MAX((180-(M$5-$H$5))/180,0)))</f>
        <v>0.33596044520547952</v>
      </c>
      <c r="N11" s="46">
        <f>MIN(MAX(N$5-$E11,0)/('Salon Model'!$F$32*(365/12)),1)*(1-($F11*MAX((180-(N$5-$H$5))/180,0)))</f>
        <v>0.37397260273972605</v>
      </c>
      <c r="O11" s="46">
        <f>MIN(MAX(O$5-$E11,0)/('Salon Model'!$F$32*(365/12)),1)*(1-($F11*MAX((180-(O$5-$H$5))/180,0)))</f>
        <v>0.41643835616438357</v>
      </c>
      <c r="P11" s="46">
        <f>MIN(MAX(P$5-$E11,0)/('Salon Model'!$F$32*(365/12)),1)*(1-($F11*MAX((180-(P$5-$H$5))/180,0)))</f>
        <v>0.4589041095890411</v>
      </c>
      <c r="Q11" s="46">
        <f>MIN(MAX(Q$5-$E11,0)/('Salon Model'!$F$32*(365/12)),1)*(1-($F11*MAX((180-(Q$5-$H$5))/180,0)))</f>
        <v>0.5</v>
      </c>
      <c r="R11" s="46">
        <f>MIN(MAX(R$5-$E11,0)/('Salon Model'!$F$32*(365/12)),1)*(1-($F11*MAX((180-(R$5-$H$5))/180,0)))</f>
        <v>0.54246575342465753</v>
      </c>
      <c r="S11" s="46">
        <f>MIN(MAX(S$5-$E11,0)/('Salon Model'!$F$32*(365/12)),1)*(1-($F11*MAX((180-(S$5-$H$5))/180,0)))</f>
        <v>0.58356164383561648</v>
      </c>
      <c r="T11" s="46">
        <f>MIN(MAX(T$5-$E11,0)/('Salon Model'!$F$32*(365/12)),1)*(1-($F11*MAX((180-(T$5-$H$5))/180,0)))</f>
        <v>0.62602739726027401</v>
      </c>
      <c r="U11" s="46">
        <f>MIN(MAX(U$5-$E11,0)/('Salon Model'!$F$32*(365/12)),1)*(1-($F11*MAX((180-(U$5-$H$5))/180,0)))</f>
        <v>0.66849315068493154</v>
      </c>
      <c r="V11" s="46">
        <f>MIN(MAX(V$5-$E11,0)/('Salon Model'!$F$32*(365/12)),1)*(1-($F11*MAX((180-(V$5-$H$5))/180,0)))</f>
        <v>0.70684931506849313</v>
      </c>
      <c r="W11" s="46">
        <f>MIN(MAX(W$5-$E11,0)/('Salon Model'!$F$32*(365/12)),1)*(1-($F11*MAX((180-(W$5-$H$5))/180,0)))</f>
        <v>0.74931506849315066</v>
      </c>
      <c r="X11" s="46">
        <f>MIN(MAX(X$5-$E11,0)/('Salon Model'!$F$32*(365/12)),1)*(1-($F11*MAX((180-(X$5-$H$5))/180,0)))</f>
        <v>0.79041095890410962</v>
      </c>
      <c r="Y11" s="46">
        <f>MIN(MAX(Y$5-$E11,0)/('Salon Model'!$F$32*(365/12)),1)*(1-($F11*MAX((180-(Y$5-$H$5))/180,0)))</f>
        <v>0.83287671232876714</v>
      </c>
      <c r="Z11" s="46">
        <f>MIN(MAX(Z$5-$E11,0)/('Salon Model'!$F$32*(365/12)),1)*(1-($F11*MAX((180-(Z$5-$H$5))/180,0)))</f>
        <v>0.87397260273972599</v>
      </c>
      <c r="AA11" s="46">
        <f>MIN(MAX(AA$5-$E11,0)/('Salon Model'!$F$32*(365/12)),1)*(1-($F11*MAX((180-(AA$5-$H$5))/180,0)))</f>
        <v>0.91643835616438352</v>
      </c>
      <c r="AB11" s="46">
        <f>MIN(MAX(AB$5-$E11,0)/('Salon Model'!$F$32*(365/12)),1)*(1-($F11*MAX((180-(AB$5-$H$5))/180,0)))</f>
        <v>0.95890410958904104</v>
      </c>
      <c r="AC11" s="46">
        <f>MIN(MAX(AC$5-$E11,0)/('Salon Model'!$F$32*(365/12)),1)*(1-($F11*MAX((180-(AC$5-$H$5))/180,0)))</f>
        <v>1</v>
      </c>
      <c r="AD11" s="46">
        <f>MIN(MAX(AD$5-$E11,0)/('Salon Model'!$F$32*(365/12)),1)*(1-($F11*MAX((180-(AD$5-$H$5))/180,0)))</f>
        <v>1</v>
      </c>
      <c r="AE11" s="46">
        <f>MIN(MAX(AE$5-$E11,0)/('Salon Model'!$F$32*(365/12)),1)*(1-($F11*MAX((180-(AE$5-$H$5))/180,0)))</f>
        <v>1</v>
      </c>
      <c r="AF11" s="46">
        <f>MIN(MAX(AF$5-$E11,0)/('Salon Model'!$F$32*(365/12)),1)*(1-($F11*MAX((180-(AF$5-$H$5))/180,0)))</f>
        <v>1</v>
      </c>
    </row>
    <row r="12" spans="2:32">
      <c r="B12" s="7" t="s">
        <v>295</v>
      </c>
      <c r="C12" s="7"/>
      <c r="D12" s="7"/>
      <c r="E12" s="91">
        <v>42705</v>
      </c>
      <c r="F12" s="6">
        <v>0</v>
      </c>
      <c r="H12" s="46">
        <f>MIN(MAX(H$5-$E12,0)/('Salon Model'!$F$32*(365/12)),1)*(1-($F12*MAX((180-(H$5-$H$5))/180,0)))</f>
        <v>4.2465753424657533E-2</v>
      </c>
      <c r="I12" s="46">
        <f>MIN(MAX(I$5-$E12,0)/('Salon Model'!$F$32*(365/12)),1)*(1-($F12*MAX((180-(I$5-$H$5))/180,0)))</f>
        <v>8.4931506849315067E-2</v>
      </c>
      <c r="J12" s="46">
        <f>MIN(MAX(J$5-$E12,0)/('Salon Model'!$F$32*(365/12)),1)*(1-($F12*MAX((180-(J$5-$H$5))/180,0)))</f>
        <v>0.12328767123287671</v>
      </c>
      <c r="K12" s="46">
        <f>MIN(MAX(K$5-$E12,0)/('Salon Model'!$F$32*(365/12)),1)*(1-($F12*MAX((180-(K$5-$H$5))/180,0)))</f>
        <v>0.16575342465753426</v>
      </c>
      <c r="L12" s="46">
        <f>MIN(MAX(L$5-$E12,0)/('Salon Model'!$F$32*(365/12)),1)*(1-($F12*MAX((180-(L$5-$H$5))/180,0)))</f>
        <v>0.20684931506849316</v>
      </c>
      <c r="M12" s="46">
        <f>MIN(MAX(M$5-$E12,0)/('Salon Model'!$F$32*(365/12)),1)*(1-($F12*MAX((180-(M$5-$H$5))/180,0)))</f>
        <v>0.24931506849315069</v>
      </c>
      <c r="N12" s="46">
        <f>MIN(MAX(N$5-$E12,0)/('Salon Model'!$F$32*(365/12)),1)*(1-($F12*MAX((180-(N$5-$H$5))/180,0)))</f>
        <v>0.29041095890410956</v>
      </c>
      <c r="O12" s="46">
        <f>MIN(MAX(O$5-$E12,0)/('Salon Model'!$F$32*(365/12)),1)*(1-($F12*MAX((180-(O$5-$H$5))/180,0)))</f>
        <v>0.33287671232876714</v>
      </c>
      <c r="P12" s="46">
        <f>MIN(MAX(P$5-$E12,0)/('Salon Model'!$F$32*(365/12)),1)*(1-($F12*MAX((180-(P$5-$H$5))/180,0)))</f>
        <v>0.37534246575342467</v>
      </c>
      <c r="Q12" s="46">
        <f>MIN(MAX(Q$5-$E12,0)/('Salon Model'!$F$32*(365/12)),1)*(1-($F12*MAX((180-(Q$5-$H$5))/180,0)))</f>
        <v>0.41643835616438357</v>
      </c>
      <c r="R12" s="46">
        <f>MIN(MAX(R$5-$E12,0)/('Salon Model'!$F$32*(365/12)),1)*(1-($F12*MAX((180-(R$5-$H$5))/180,0)))</f>
        <v>0.4589041095890411</v>
      </c>
      <c r="S12" s="46">
        <f>MIN(MAX(S$5-$E12,0)/('Salon Model'!$F$32*(365/12)),1)*(1-($F12*MAX((180-(S$5-$H$5))/180,0)))</f>
        <v>0.5</v>
      </c>
      <c r="T12" s="46">
        <f>MIN(MAX(T$5-$E12,0)/('Salon Model'!$F$32*(365/12)),1)*(1-($F12*MAX((180-(T$5-$H$5))/180,0)))</f>
        <v>0.54246575342465753</v>
      </c>
      <c r="U12" s="46">
        <f>MIN(MAX(U$5-$E12,0)/('Salon Model'!$F$32*(365/12)),1)*(1-($F12*MAX((180-(U$5-$H$5))/180,0)))</f>
        <v>0.58493150684931505</v>
      </c>
      <c r="V12" s="46">
        <f>MIN(MAX(V$5-$E12,0)/('Salon Model'!$F$32*(365/12)),1)*(1-($F12*MAX((180-(V$5-$H$5))/180,0)))</f>
        <v>0.62328767123287676</v>
      </c>
      <c r="W12" s="46">
        <f>MIN(MAX(W$5-$E12,0)/('Salon Model'!$F$32*(365/12)),1)*(1-($F12*MAX((180-(W$5-$H$5))/180,0)))</f>
        <v>0.66575342465753429</v>
      </c>
      <c r="X12" s="46">
        <f>MIN(MAX(X$5-$E12,0)/('Salon Model'!$F$32*(365/12)),1)*(1-($F12*MAX((180-(X$5-$H$5))/180,0)))</f>
        <v>0.70684931506849313</v>
      </c>
      <c r="Y12" s="46">
        <f>MIN(MAX(Y$5-$E12,0)/('Salon Model'!$F$32*(365/12)),1)*(1-($F12*MAX((180-(Y$5-$H$5))/180,0)))</f>
        <v>0.74931506849315066</v>
      </c>
      <c r="Z12" s="46">
        <f>MIN(MAX(Z$5-$E12,0)/('Salon Model'!$F$32*(365/12)),1)*(1-($F12*MAX((180-(Z$5-$H$5))/180,0)))</f>
        <v>0.79041095890410962</v>
      </c>
      <c r="AA12" s="46">
        <f>MIN(MAX(AA$5-$E12,0)/('Salon Model'!$F$32*(365/12)),1)*(1-($F12*MAX((180-(AA$5-$H$5))/180,0)))</f>
        <v>0.83287671232876714</v>
      </c>
      <c r="AB12" s="46">
        <f>MIN(MAX(AB$5-$E12,0)/('Salon Model'!$F$32*(365/12)),1)*(1-($F12*MAX((180-(AB$5-$H$5))/180,0)))</f>
        <v>0.87534246575342467</v>
      </c>
      <c r="AC12" s="46">
        <f>MIN(MAX(AC$5-$E12,0)/('Salon Model'!$F$32*(365/12)),1)*(1-($F12*MAX((180-(AC$5-$H$5))/180,0)))</f>
        <v>0.91643835616438352</v>
      </c>
      <c r="AD12" s="46">
        <f>MIN(MAX(AD$5-$E12,0)/('Salon Model'!$F$32*(365/12)),1)*(1-($F12*MAX((180-(AD$5-$H$5))/180,0)))</f>
        <v>0.95890410958904104</v>
      </c>
      <c r="AE12" s="46">
        <f>MIN(MAX(AE$5-$E12,0)/('Salon Model'!$F$32*(365/12)),1)*(1-($F12*MAX((180-(AE$5-$H$5))/180,0)))</f>
        <v>1</v>
      </c>
      <c r="AF12" s="46">
        <f>MIN(MAX(AF$5-$E12,0)/('Salon Model'!$F$32*(365/12)),1)*(1-($F12*MAX((180-(AF$5-$H$5))/180,0)))</f>
        <v>1</v>
      </c>
    </row>
    <row r="13" spans="2:32">
      <c r="B13" s="7" t="s">
        <v>230</v>
      </c>
      <c r="C13" s="7"/>
      <c r="D13" s="7"/>
      <c r="E13" s="91">
        <v>42767</v>
      </c>
      <c r="F13" s="6">
        <v>0</v>
      </c>
      <c r="H13" s="46">
        <f>MIN(MAX(H$5-$E13,0)/('Salon Model'!$F$32*(365/12)),1)*(1-($F13*MAX((180-(H$5-$H$5))/180,0)))</f>
        <v>0</v>
      </c>
      <c r="I13" s="46">
        <f>MIN(MAX(I$5-$E13,0)/('Salon Model'!$F$32*(365/12)),1)*(1-($F13*MAX((180-(I$5-$H$5))/180,0)))</f>
        <v>0</v>
      </c>
      <c r="J13" s="46">
        <f>MIN(MAX(J$5-$E13,0)/('Salon Model'!$F$32*(365/12)),1)*(1-($F13*MAX((180-(J$5-$H$5))/180,0)))</f>
        <v>3.8356164383561646E-2</v>
      </c>
      <c r="K13" s="46">
        <f>MIN(MAX(K$5-$E13,0)/('Salon Model'!$F$32*(365/12)),1)*(1-($F13*MAX((180-(K$5-$H$5))/180,0)))</f>
        <v>8.0821917808219179E-2</v>
      </c>
      <c r="L13" s="46">
        <f>MIN(MAX(L$5-$E13,0)/('Salon Model'!$F$32*(365/12)),1)*(1-($F13*MAX((180-(L$5-$H$5))/180,0)))</f>
        <v>0.12191780821917808</v>
      </c>
      <c r="M13" s="46">
        <f>MIN(MAX(M$5-$E13,0)/('Salon Model'!$F$32*(365/12)),1)*(1-($F13*MAX((180-(M$5-$H$5))/180,0)))</f>
        <v>0.16438356164383561</v>
      </c>
      <c r="N13" s="46">
        <f>MIN(MAX(N$5-$E13,0)/('Salon Model'!$F$32*(365/12)),1)*(1-($F13*MAX((180-(N$5-$H$5))/180,0)))</f>
        <v>0.20547945205479451</v>
      </c>
      <c r="O13" s="46">
        <f>MIN(MAX(O$5-$E13,0)/('Salon Model'!$F$32*(365/12)),1)*(1-($F13*MAX((180-(O$5-$H$5))/180,0)))</f>
        <v>0.24794520547945206</v>
      </c>
      <c r="P13" s="46">
        <f>MIN(MAX(P$5-$E13,0)/('Salon Model'!$F$32*(365/12)),1)*(1-($F13*MAX((180-(P$5-$H$5))/180,0)))</f>
        <v>0.29041095890410956</v>
      </c>
      <c r="Q13" s="46">
        <f>MIN(MAX(Q$5-$E13,0)/('Salon Model'!$F$32*(365/12)),1)*(1-($F13*MAX((180-(Q$5-$H$5))/180,0)))</f>
        <v>0.33150684931506852</v>
      </c>
      <c r="R13" s="46">
        <f>MIN(MAX(R$5-$E13,0)/('Salon Model'!$F$32*(365/12)),1)*(1-($F13*MAX((180-(R$5-$H$5))/180,0)))</f>
        <v>0.37397260273972605</v>
      </c>
      <c r="S13" s="46">
        <f>MIN(MAX(S$5-$E13,0)/('Salon Model'!$F$32*(365/12)),1)*(1-($F13*MAX((180-(S$5-$H$5))/180,0)))</f>
        <v>0.41506849315068495</v>
      </c>
      <c r="T13" s="46">
        <f>MIN(MAX(T$5-$E13,0)/('Salon Model'!$F$32*(365/12)),1)*(1-($F13*MAX((180-(T$5-$H$5))/180,0)))</f>
        <v>0.45753424657534247</v>
      </c>
      <c r="U13" s="46">
        <f>MIN(MAX(U$5-$E13,0)/('Salon Model'!$F$32*(365/12)),1)*(1-($F13*MAX((180-(U$5-$H$5))/180,0)))</f>
        <v>0.5</v>
      </c>
      <c r="V13" s="46">
        <f>MIN(MAX(V$5-$E13,0)/('Salon Model'!$F$32*(365/12)),1)*(1-($F13*MAX((180-(V$5-$H$5))/180,0)))</f>
        <v>0.5383561643835616</v>
      </c>
      <c r="W13" s="46">
        <f>MIN(MAX(W$5-$E13,0)/('Salon Model'!$F$32*(365/12)),1)*(1-($F13*MAX((180-(W$5-$H$5))/180,0)))</f>
        <v>0.58082191780821912</v>
      </c>
      <c r="X13" s="46">
        <f>MIN(MAX(X$5-$E13,0)/('Salon Model'!$F$32*(365/12)),1)*(1-($F13*MAX((180-(X$5-$H$5))/180,0)))</f>
        <v>0.62191780821917808</v>
      </c>
      <c r="Y13" s="46">
        <f>MIN(MAX(Y$5-$E13,0)/('Salon Model'!$F$32*(365/12)),1)*(1-($F13*MAX((180-(Y$5-$H$5))/180,0)))</f>
        <v>0.66438356164383561</v>
      </c>
      <c r="Z13" s="46">
        <f>MIN(MAX(Z$5-$E13,0)/('Salon Model'!$F$32*(365/12)),1)*(1-($F13*MAX((180-(Z$5-$H$5))/180,0)))</f>
        <v>0.70547945205479456</v>
      </c>
      <c r="AA13" s="46">
        <f>MIN(MAX(AA$5-$E13,0)/('Salon Model'!$F$32*(365/12)),1)*(1-($F13*MAX((180-(AA$5-$H$5))/180,0)))</f>
        <v>0.74794520547945209</v>
      </c>
      <c r="AB13" s="46">
        <f>MIN(MAX(AB$5-$E13,0)/('Salon Model'!$F$32*(365/12)),1)*(1-($F13*MAX((180-(AB$5-$H$5))/180,0)))</f>
        <v>0.79041095890410962</v>
      </c>
      <c r="AC13" s="46">
        <f>MIN(MAX(AC$5-$E13,0)/('Salon Model'!$F$32*(365/12)),1)*(1-($F13*MAX((180-(AC$5-$H$5))/180,0)))</f>
        <v>0.83150684931506846</v>
      </c>
      <c r="AD13" s="46">
        <f>MIN(MAX(AD$5-$E13,0)/('Salon Model'!$F$32*(365/12)),1)*(1-($F13*MAX((180-(AD$5-$H$5))/180,0)))</f>
        <v>0.87397260273972599</v>
      </c>
      <c r="AE13" s="46">
        <f>MIN(MAX(AE$5-$E13,0)/('Salon Model'!$F$32*(365/12)),1)*(1-($F13*MAX((180-(AE$5-$H$5))/180,0)))</f>
        <v>0.91506849315068495</v>
      </c>
      <c r="AF13" s="46">
        <f>MIN(MAX(AF$5-$E13,0)/('Salon Model'!$F$32*(365/12)),1)*(1-($F13*MAX((180-(AF$5-$H$5))/180,0)))</f>
        <v>1</v>
      </c>
    </row>
    <row r="14" spans="2:32">
      <c r="B14" s="7" t="s">
        <v>231</v>
      </c>
      <c r="C14" s="7"/>
      <c r="D14" s="7"/>
      <c r="E14" s="91">
        <v>42826</v>
      </c>
      <c r="F14" s="6">
        <v>0</v>
      </c>
      <c r="H14" s="46">
        <f>MIN(MAX(H$5-$E14,0)/('Salon Model'!$F$32*(365/12)),1)*(1-($F14*MAX((180-(H$5-$H$5))/180,0)))</f>
        <v>0</v>
      </c>
      <c r="I14" s="46">
        <f>MIN(MAX(I$5-$E14,0)/('Salon Model'!$F$32*(365/12)),1)*(1-($F14*MAX((180-(I$5-$H$5))/180,0)))</f>
        <v>0</v>
      </c>
      <c r="J14" s="46">
        <f>MIN(MAX(J$5-$E14,0)/('Salon Model'!$F$32*(365/12)),1)*(1-($F14*MAX((180-(J$5-$H$5))/180,0)))</f>
        <v>0</v>
      </c>
      <c r="K14" s="46">
        <f>MIN(MAX(K$5-$E14,0)/('Salon Model'!$F$32*(365/12)),1)*(1-($F14*MAX((180-(K$5-$H$5))/180,0)))</f>
        <v>0</v>
      </c>
      <c r="L14" s="46">
        <f>MIN(MAX(L$5-$E14,0)/('Salon Model'!$F$32*(365/12)),1)*(1-($F14*MAX((180-(L$5-$H$5))/180,0)))</f>
        <v>4.1095890410958902E-2</v>
      </c>
      <c r="M14" s="46">
        <f>MIN(MAX(M$5-$E14,0)/('Salon Model'!$F$32*(365/12)),1)*(1-($F14*MAX((180-(M$5-$H$5))/180,0)))</f>
        <v>8.3561643835616442E-2</v>
      </c>
      <c r="N14" s="46">
        <f>MIN(MAX(N$5-$E14,0)/('Salon Model'!$F$32*(365/12)),1)*(1-($F14*MAX((180-(N$5-$H$5))/180,0)))</f>
        <v>0.12465753424657534</v>
      </c>
      <c r="O14" s="46">
        <f>MIN(MAX(O$5-$E14,0)/('Salon Model'!$F$32*(365/12)),1)*(1-($F14*MAX((180-(O$5-$H$5))/180,0)))</f>
        <v>0.16712328767123288</v>
      </c>
      <c r="P14" s="46">
        <f>MIN(MAX(P$5-$E14,0)/('Salon Model'!$F$32*(365/12)),1)*(1-($F14*MAX((180-(P$5-$H$5))/180,0)))</f>
        <v>0.20958904109589041</v>
      </c>
      <c r="Q14" s="46">
        <f>MIN(MAX(Q$5-$E14,0)/('Salon Model'!$F$32*(365/12)),1)*(1-($F14*MAX((180-(Q$5-$H$5))/180,0)))</f>
        <v>0.25068493150684934</v>
      </c>
      <c r="R14" s="46">
        <f>MIN(MAX(R$5-$E14,0)/('Salon Model'!$F$32*(365/12)),1)*(1-($F14*MAX((180-(R$5-$H$5))/180,0)))</f>
        <v>0.29315068493150687</v>
      </c>
      <c r="S14" s="46">
        <f>MIN(MAX(S$5-$E14,0)/('Salon Model'!$F$32*(365/12)),1)*(1-($F14*MAX((180-(S$5-$H$5))/180,0)))</f>
        <v>0.33424657534246577</v>
      </c>
      <c r="T14" s="46">
        <f>MIN(MAX(T$5-$E14,0)/('Salon Model'!$F$32*(365/12)),1)*(1-($F14*MAX((180-(T$5-$H$5))/180,0)))</f>
        <v>0.37671232876712329</v>
      </c>
      <c r="U14" s="46">
        <f>MIN(MAX(U$5-$E14,0)/('Salon Model'!$F$32*(365/12)),1)*(1-($F14*MAX((180-(U$5-$H$5))/180,0)))</f>
        <v>0.41917808219178082</v>
      </c>
      <c r="V14" s="46">
        <f>MIN(MAX(V$5-$E14,0)/('Salon Model'!$F$32*(365/12)),1)*(1-($F14*MAX((180-(V$5-$H$5))/180,0)))</f>
        <v>0.45753424657534247</v>
      </c>
      <c r="W14" s="46">
        <f>MIN(MAX(W$5-$E14,0)/('Salon Model'!$F$32*(365/12)),1)*(1-($F14*MAX((180-(W$5-$H$5))/180,0)))</f>
        <v>0.5</v>
      </c>
      <c r="X14" s="46">
        <f>MIN(MAX(X$5-$E14,0)/('Salon Model'!$F$32*(365/12)),1)*(1-($F14*MAX((180-(X$5-$H$5))/180,0)))</f>
        <v>0.54109589041095896</v>
      </c>
      <c r="Y14" s="46">
        <f>MIN(MAX(Y$5-$E14,0)/('Salon Model'!$F$32*(365/12)),1)*(1-($F14*MAX((180-(Y$5-$H$5))/180,0)))</f>
        <v>0.58356164383561648</v>
      </c>
      <c r="Z14" s="46">
        <f>MIN(MAX(Z$5-$E14,0)/('Salon Model'!$F$32*(365/12)),1)*(1-($F14*MAX((180-(Z$5-$H$5))/180,0)))</f>
        <v>0.62465753424657533</v>
      </c>
      <c r="AA14" s="46">
        <f>MIN(MAX(AA$5-$E14,0)/('Salon Model'!$F$32*(365/12)),1)*(1-($F14*MAX((180-(AA$5-$H$5))/180,0)))</f>
        <v>0.66712328767123286</v>
      </c>
      <c r="AB14" s="46">
        <f>MIN(MAX(AB$5-$E14,0)/('Salon Model'!$F$32*(365/12)),1)*(1-($F14*MAX((180-(AB$5-$H$5))/180,0)))</f>
        <v>0.70958904109589038</v>
      </c>
      <c r="AC14" s="46">
        <f>MIN(MAX(AC$5-$E14,0)/('Salon Model'!$F$32*(365/12)),1)*(1-($F14*MAX((180-(AC$5-$H$5))/180,0)))</f>
        <v>0.75068493150684934</v>
      </c>
      <c r="AD14" s="46">
        <f>MIN(MAX(AD$5-$E14,0)/('Salon Model'!$F$32*(365/12)),1)*(1-($F14*MAX((180-(AD$5-$H$5))/180,0)))</f>
        <v>0.79315068493150687</v>
      </c>
      <c r="AE14" s="46">
        <f>MIN(MAX(AE$5-$E14,0)/('Salon Model'!$F$32*(365/12)),1)*(1-($F14*MAX((180-(AE$5-$H$5))/180,0)))</f>
        <v>0.83424657534246571</v>
      </c>
      <c r="AF14" s="46">
        <f>MIN(MAX(AF$5-$E14,0)/('Salon Model'!$F$32*(365/12)),1)*(1-($F14*MAX((180-(AF$5-$H$5))/180,0)))</f>
        <v>1</v>
      </c>
    </row>
    <row r="15" spans="2:32">
      <c r="B15" s="7" t="s">
        <v>232</v>
      </c>
      <c r="C15" s="7"/>
      <c r="D15" s="7"/>
      <c r="E15" s="91">
        <v>42917</v>
      </c>
      <c r="F15" s="6">
        <v>0</v>
      </c>
      <c r="H15" s="46">
        <f>MIN(MAX(H$5-$E15,0)/('Salon Model'!$F$32*(365/12)),1)*(1-($F15*MAX((180-(H$5-$H$5))/180,0)))</f>
        <v>0</v>
      </c>
      <c r="I15" s="46">
        <f>MIN(MAX(I$5-$E15,0)/('Salon Model'!$F$32*(365/12)),1)*(1-($F15*MAX((180-(I$5-$H$5))/180,0)))</f>
        <v>0</v>
      </c>
      <c r="J15" s="46">
        <f>MIN(MAX(J$5-$E15,0)/('Salon Model'!$F$32*(365/12)),1)*(1-($F15*MAX((180-(J$5-$H$5))/180,0)))</f>
        <v>0</v>
      </c>
      <c r="K15" s="46">
        <f>MIN(MAX(K$5-$E15,0)/('Salon Model'!$F$32*(365/12)),1)*(1-($F15*MAX((180-(K$5-$H$5))/180,0)))</f>
        <v>0</v>
      </c>
      <c r="L15" s="46">
        <f>MIN(MAX(L$5-$E15,0)/('Salon Model'!$F$32*(365/12)),1)*(1-($F15*MAX((180-(L$5-$H$5))/180,0)))</f>
        <v>0</v>
      </c>
      <c r="M15" s="46">
        <f>MIN(MAX(M$5-$E15,0)/('Salon Model'!$F$32*(365/12)),1)*(1-($F15*MAX((180-(M$5-$H$5))/180,0)))</f>
        <v>0</v>
      </c>
      <c r="N15" s="46">
        <f>MIN(MAX(N$5-$E15,0)/('Salon Model'!$F$32*(365/12)),1)*(1-($F15*MAX((180-(N$5-$H$5))/180,0)))</f>
        <v>0</v>
      </c>
      <c r="O15" s="46">
        <f>MIN(MAX(O$5-$E15,0)/('Salon Model'!$F$32*(365/12)),1)*(1-($F15*MAX((180-(O$5-$H$5))/180,0)))</f>
        <v>4.2465753424657533E-2</v>
      </c>
      <c r="P15" s="46">
        <f>MIN(MAX(P$5-$E15,0)/('Salon Model'!$F$32*(365/12)),1)*(1-($F15*MAX((180-(P$5-$H$5))/180,0)))</f>
        <v>8.4931506849315067E-2</v>
      </c>
      <c r="Q15" s="46">
        <f>MIN(MAX(Q$5-$E15,0)/('Salon Model'!$F$32*(365/12)),1)*(1-($F15*MAX((180-(Q$5-$H$5))/180,0)))</f>
        <v>0.12602739726027398</v>
      </c>
      <c r="R15" s="46">
        <f>MIN(MAX(R$5-$E15,0)/('Salon Model'!$F$32*(365/12)),1)*(1-($F15*MAX((180-(R$5-$H$5))/180,0)))</f>
        <v>0.16849315068493151</v>
      </c>
      <c r="S15" s="46">
        <f>MIN(MAX(S$5-$E15,0)/('Salon Model'!$F$32*(365/12)),1)*(1-($F15*MAX((180-(S$5-$H$5))/180,0)))</f>
        <v>0.20958904109589041</v>
      </c>
      <c r="T15" s="46">
        <f>MIN(MAX(T$5-$E15,0)/('Salon Model'!$F$32*(365/12)),1)*(1-($F15*MAX((180-(T$5-$H$5))/180,0)))</f>
        <v>0.25205479452054796</v>
      </c>
      <c r="U15" s="46">
        <f>MIN(MAX(U$5-$E15,0)/('Salon Model'!$F$32*(365/12)),1)*(1-($F15*MAX((180-(U$5-$H$5))/180,0)))</f>
        <v>0.29452054794520549</v>
      </c>
      <c r="V15" s="46">
        <f>MIN(MAX(V$5-$E15,0)/('Salon Model'!$F$32*(365/12)),1)*(1-($F15*MAX((180-(V$5-$H$5))/180,0)))</f>
        <v>0.33287671232876714</v>
      </c>
      <c r="W15" s="46">
        <f>MIN(MAX(W$5-$E15,0)/('Salon Model'!$F$32*(365/12)),1)*(1-($F15*MAX((180-(W$5-$H$5))/180,0)))</f>
        <v>0.37534246575342467</v>
      </c>
      <c r="X15" s="46">
        <f>MIN(MAX(X$5-$E15,0)/('Salon Model'!$F$32*(365/12)),1)*(1-($F15*MAX((180-(X$5-$H$5))/180,0)))</f>
        <v>0.41643835616438357</v>
      </c>
      <c r="Y15" s="46">
        <f>MIN(MAX(Y$5-$E15,0)/('Salon Model'!$F$32*(365/12)),1)*(1-($F15*MAX((180-(Y$5-$H$5))/180,0)))</f>
        <v>0.4589041095890411</v>
      </c>
      <c r="Z15" s="46">
        <f>MIN(MAX(Z$5-$E15,0)/('Salon Model'!$F$32*(365/12)),1)*(1-($F15*MAX((180-(Z$5-$H$5))/180,0)))</f>
        <v>0.5</v>
      </c>
      <c r="AA15" s="46">
        <f>MIN(MAX(AA$5-$E15,0)/('Salon Model'!$F$32*(365/12)),1)*(1-($F15*MAX((180-(AA$5-$H$5))/180,0)))</f>
        <v>0.54246575342465753</v>
      </c>
      <c r="AB15" s="46">
        <f>MIN(MAX(AB$5-$E15,0)/('Salon Model'!$F$32*(365/12)),1)*(1-($F15*MAX((180-(AB$5-$H$5))/180,0)))</f>
        <v>0.58493150684931505</v>
      </c>
      <c r="AC15" s="46">
        <f>MIN(MAX(AC$5-$E15,0)/('Salon Model'!$F$32*(365/12)),1)*(1-($F15*MAX((180-(AC$5-$H$5))/180,0)))</f>
        <v>0.62602739726027401</v>
      </c>
      <c r="AD15" s="46">
        <f>MIN(MAX(AD$5-$E15,0)/('Salon Model'!$F$32*(365/12)),1)*(1-($F15*MAX((180-(AD$5-$H$5))/180,0)))</f>
        <v>0.66849315068493154</v>
      </c>
      <c r="AE15" s="46">
        <f>MIN(MAX(AE$5-$E15,0)/('Salon Model'!$F$32*(365/12)),1)*(1-($F15*MAX((180-(AE$5-$H$5))/180,0)))</f>
        <v>0.70958904109589038</v>
      </c>
      <c r="AF15" s="46">
        <f>MIN(MAX(AF$5-$E15,0)/('Salon Model'!$F$32*(365/12)),1)*(1-($F15*MAX((180-(AF$5-$H$5))/180,0)))</f>
        <v>1</v>
      </c>
    </row>
    <row r="16" spans="2:32">
      <c r="B16" s="7" t="s">
        <v>233</v>
      </c>
      <c r="C16" s="7"/>
      <c r="D16" s="7"/>
      <c r="E16" s="91">
        <v>42979</v>
      </c>
      <c r="F16" s="6">
        <v>0</v>
      </c>
      <c r="H16" s="46">
        <f>MIN(MAX(H$5-$E16,0)/('Salon Model'!$F$32*(365/12)),1)*(1-($F16*MAX((180-(H$5-$H$5))/180,0)))</f>
        <v>0</v>
      </c>
      <c r="I16" s="46">
        <f>MIN(MAX(I$5-$E16,0)/('Salon Model'!$F$32*(365/12)),1)*(1-($F16*MAX((180-(I$5-$H$5))/180,0)))</f>
        <v>0</v>
      </c>
      <c r="J16" s="46">
        <f>MIN(MAX(J$5-$E16,0)/('Salon Model'!$F$32*(365/12)),1)*(1-($F16*MAX((180-(J$5-$H$5))/180,0)))</f>
        <v>0</v>
      </c>
      <c r="K16" s="46">
        <f>MIN(MAX(K$5-$E16,0)/('Salon Model'!$F$32*(365/12)),1)*(1-($F16*MAX((180-(K$5-$H$5))/180,0)))</f>
        <v>0</v>
      </c>
      <c r="L16" s="46">
        <f>MIN(MAX(L$5-$E16,0)/('Salon Model'!$F$32*(365/12)),1)*(1-($F16*MAX((180-(L$5-$H$5))/180,0)))</f>
        <v>0</v>
      </c>
      <c r="M16" s="46">
        <f>MIN(MAX(M$5-$E16,0)/('Salon Model'!$F$32*(365/12)),1)*(1-($F16*MAX((180-(M$5-$H$5))/180,0)))</f>
        <v>0</v>
      </c>
      <c r="N16" s="46">
        <f>MIN(MAX(N$5-$E16,0)/('Salon Model'!$F$32*(365/12)),1)*(1-($F16*MAX((180-(N$5-$H$5))/180,0)))</f>
        <v>0</v>
      </c>
      <c r="O16" s="46">
        <f>MIN(MAX(O$5-$E16,0)/('Salon Model'!$F$32*(365/12)),1)*(1-($F16*MAX((180-(O$5-$H$5))/180,0)))</f>
        <v>0</v>
      </c>
      <c r="P16" s="46">
        <f>MIN(MAX(P$5-$E16,0)/('Salon Model'!$F$32*(365/12)),1)*(1-($F16*MAX((180-(P$5-$H$5))/180,0)))</f>
        <v>0</v>
      </c>
      <c r="Q16" s="46">
        <f>MIN(MAX(Q$5-$E16,0)/('Salon Model'!$F$32*(365/12)),1)*(1-($F16*MAX((180-(Q$5-$H$5))/180,0)))</f>
        <v>4.1095890410958902E-2</v>
      </c>
      <c r="R16" s="46">
        <f>MIN(MAX(R$5-$E16,0)/('Salon Model'!$F$32*(365/12)),1)*(1-($F16*MAX((180-(R$5-$H$5))/180,0)))</f>
        <v>8.3561643835616442E-2</v>
      </c>
      <c r="S16" s="46">
        <f>MIN(MAX(S$5-$E16,0)/('Salon Model'!$F$32*(365/12)),1)*(1-($F16*MAX((180-(S$5-$H$5))/180,0)))</f>
        <v>0.12465753424657534</v>
      </c>
      <c r="T16" s="46">
        <f>MIN(MAX(T$5-$E16,0)/('Salon Model'!$F$32*(365/12)),1)*(1-($F16*MAX((180-(T$5-$H$5))/180,0)))</f>
        <v>0.16712328767123288</v>
      </c>
      <c r="U16" s="46">
        <f>MIN(MAX(U$5-$E16,0)/('Salon Model'!$F$32*(365/12)),1)*(1-($F16*MAX((180-(U$5-$H$5))/180,0)))</f>
        <v>0.20958904109589041</v>
      </c>
      <c r="V16" s="46">
        <f>MIN(MAX(V$5-$E16,0)/('Salon Model'!$F$32*(365/12)),1)*(1-($F16*MAX((180-(V$5-$H$5))/180,0)))</f>
        <v>0.24794520547945206</v>
      </c>
      <c r="W16" s="46">
        <f>MIN(MAX(W$5-$E16,0)/('Salon Model'!$F$32*(365/12)),1)*(1-($F16*MAX((180-(W$5-$H$5))/180,0)))</f>
        <v>0.29041095890410956</v>
      </c>
      <c r="X16" s="46">
        <f>MIN(MAX(X$5-$E16,0)/('Salon Model'!$F$32*(365/12)),1)*(1-($F16*MAX((180-(X$5-$H$5))/180,0)))</f>
        <v>0.33150684931506852</v>
      </c>
      <c r="Y16" s="46">
        <f>MIN(MAX(Y$5-$E16,0)/('Salon Model'!$F$32*(365/12)),1)*(1-($F16*MAX((180-(Y$5-$H$5))/180,0)))</f>
        <v>0.37397260273972605</v>
      </c>
      <c r="Z16" s="46">
        <f>MIN(MAX(Z$5-$E16,0)/('Salon Model'!$F$32*(365/12)),1)*(1-($F16*MAX((180-(Z$5-$H$5))/180,0)))</f>
        <v>0.41506849315068495</v>
      </c>
      <c r="AA16" s="46">
        <f>MIN(MAX(AA$5-$E16,0)/('Salon Model'!$F$32*(365/12)),1)*(1-($F16*MAX((180-(AA$5-$H$5))/180,0)))</f>
        <v>0.45753424657534247</v>
      </c>
      <c r="AB16" s="46">
        <f>MIN(MAX(AB$5-$E16,0)/('Salon Model'!$F$32*(365/12)),1)*(1-($F16*MAX((180-(AB$5-$H$5))/180,0)))</f>
        <v>0.5</v>
      </c>
      <c r="AC16" s="46">
        <f>MIN(MAX(AC$5-$E16,0)/('Salon Model'!$F$32*(365/12)),1)*(1-($F16*MAX((180-(AC$5-$H$5))/180,0)))</f>
        <v>0.54109589041095896</v>
      </c>
      <c r="AD16" s="46">
        <f>MIN(MAX(AD$5-$E16,0)/('Salon Model'!$F$32*(365/12)),1)*(1-($F16*MAX((180-(AD$5-$H$5))/180,0)))</f>
        <v>0.58356164383561648</v>
      </c>
      <c r="AE16" s="46">
        <f>MIN(MAX(AE$5-$E16,0)/('Salon Model'!$F$32*(365/12)),1)*(1-($F16*MAX((180-(AE$5-$H$5))/180,0)))</f>
        <v>0.62465753424657533</v>
      </c>
      <c r="AF16" s="46">
        <f>MIN(MAX(AF$5-$E16,0)/('Salon Model'!$F$32*(365/12)),1)*(1-($F16*MAX((180-(AF$5-$H$5))/180,0)))</f>
        <v>1</v>
      </c>
    </row>
    <row r="17" spans="2:32">
      <c r="B17" s="7" t="s">
        <v>234</v>
      </c>
      <c r="C17" s="7"/>
      <c r="D17" s="7"/>
      <c r="E17" s="91">
        <v>43070</v>
      </c>
      <c r="F17" s="6">
        <v>0</v>
      </c>
      <c r="H17" s="46">
        <f>MIN(MAX(H$5-$E17,0)/('Salon Model'!$F$32*(365/12)),1)*(1-($F17*MAX((180-(H$5-$H$5))/180,0)))</f>
        <v>0</v>
      </c>
      <c r="I17" s="46">
        <f>MIN(MAX(I$5-$E17,0)/('Salon Model'!$F$32*(365/12)),1)*(1-($F17*MAX((180-(I$5-$H$5))/180,0)))</f>
        <v>0</v>
      </c>
      <c r="J17" s="46">
        <f>MIN(MAX(J$5-$E17,0)/('Salon Model'!$F$32*(365/12)),1)*(1-($F17*MAX((180-(J$5-$H$5))/180,0)))</f>
        <v>0</v>
      </c>
      <c r="K17" s="46">
        <f>MIN(MAX(K$5-$E17,0)/('Salon Model'!$F$32*(365/12)),1)*(1-($F17*MAX((180-(K$5-$H$5))/180,0)))</f>
        <v>0</v>
      </c>
      <c r="L17" s="46">
        <f>MIN(MAX(L$5-$E17,0)/('Salon Model'!$F$32*(365/12)),1)*(1-($F17*MAX((180-(L$5-$H$5))/180,0)))</f>
        <v>0</v>
      </c>
      <c r="M17" s="46">
        <f>MIN(MAX(M$5-$E17,0)/('Salon Model'!$F$32*(365/12)),1)*(1-($F17*MAX((180-(M$5-$H$5))/180,0)))</f>
        <v>0</v>
      </c>
      <c r="N17" s="46">
        <f>MIN(MAX(N$5-$E17,0)/('Salon Model'!$F$32*(365/12)),1)*(1-($F17*MAX((180-(N$5-$H$5))/180,0)))</f>
        <v>0</v>
      </c>
      <c r="O17" s="46">
        <f>MIN(MAX(O$5-$E17,0)/('Salon Model'!$F$32*(365/12)),1)*(1-($F17*MAX((180-(O$5-$H$5))/180,0)))</f>
        <v>0</v>
      </c>
      <c r="P17" s="46">
        <f>MIN(MAX(P$5-$E17,0)/('Salon Model'!$F$32*(365/12)),1)*(1-($F17*MAX((180-(P$5-$H$5))/180,0)))</f>
        <v>0</v>
      </c>
      <c r="Q17" s="46">
        <f>MIN(MAX(Q$5-$E17,0)/('Salon Model'!$F$32*(365/12)),1)*(1-($F17*MAX((180-(Q$5-$H$5))/180,0)))</f>
        <v>0</v>
      </c>
      <c r="R17" s="46">
        <f>MIN(MAX(R$5-$E17,0)/('Salon Model'!$F$32*(365/12)),1)*(1-($F17*MAX((180-(R$5-$H$5))/180,0)))</f>
        <v>0</v>
      </c>
      <c r="S17" s="46">
        <f>MIN(MAX(S$5-$E17,0)/('Salon Model'!$F$32*(365/12)),1)*(1-($F17*MAX((180-(S$5-$H$5))/180,0)))</f>
        <v>0</v>
      </c>
      <c r="T17" s="46">
        <f>MIN(MAX(T$5-$E17,0)/('Salon Model'!$F$32*(365/12)),1)*(1-($F17*MAX((180-(T$5-$H$5))/180,0)))</f>
        <v>4.2465753424657533E-2</v>
      </c>
      <c r="U17" s="46">
        <f>MIN(MAX(U$5-$E17,0)/('Salon Model'!$F$32*(365/12)),1)*(1-($F17*MAX((180-(U$5-$H$5))/180,0)))</f>
        <v>8.4931506849315067E-2</v>
      </c>
      <c r="V17" s="46">
        <f>MIN(MAX(V$5-$E17,0)/('Salon Model'!$F$32*(365/12)),1)*(1-($F17*MAX((180-(V$5-$H$5))/180,0)))</f>
        <v>0.12328767123287671</v>
      </c>
      <c r="W17" s="46">
        <f>MIN(MAX(W$5-$E17,0)/('Salon Model'!$F$32*(365/12)),1)*(1-($F17*MAX((180-(W$5-$H$5))/180,0)))</f>
        <v>0.16575342465753426</v>
      </c>
      <c r="X17" s="46">
        <f>MIN(MAX(X$5-$E17,0)/('Salon Model'!$F$32*(365/12)),1)*(1-($F17*MAX((180-(X$5-$H$5))/180,0)))</f>
        <v>0.20684931506849316</v>
      </c>
      <c r="Y17" s="46">
        <f>MIN(MAX(Y$5-$E17,0)/('Salon Model'!$F$32*(365/12)),1)*(1-($F17*MAX((180-(Y$5-$H$5))/180,0)))</f>
        <v>0.24931506849315069</v>
      </c>
      <c r="Z17" s="46">
        <f>MIN(MAX(Z$5-$E17,0)/('Salon Model'!$F$32*(365/12)),1)*(1-($F17*MAX((180-(Z$5-$H$5))/180,0)))</f>
        <v>0.29041095890410956</v>
      </c>
      <c r="AA17" s="46">
        <f>MIN(MAX(AA$5-$E17,0)/('Salon Model'!$F$32*(365/12)),1)*(1-($F17*MAX((180-(AA$5-$H$5))/180,0)))</f>
        <v>0.33287671232876714</v>
      </c>
      <c r="AB17" s="46">
        <f>MIN(MAX(AB$5-$E17,0)/('Salon Model'!$F$32*(365/12)),1)*(1-($F17*MAX((180-(AB$5-$H$5))/180,0)))</f>
        <v>0.37534246575342467</v>
      </c>
      <c r="AC17" s="46">
        <f>MIN(MAX(AC$5-$E17,0)/('Salon Model'!$F$32*(365/12)),1)*(1-($F17*MAX((180-(AC$5-$H$5))/180,0)))</f>
        <v>0.41643835616438357</v>
      </c>
      <c r="AD17" s="46">
        <f>MIN(MAX(AD$5-$E17,0)/('Salon Model'!$F$32*(365/12)),1)*(1-($F17*MAX((180-(AD$5-$H$5))/180,0)))</f>
        <v>0.4589041095890411</v>
      </c>
      <c r="AE17" s="46">
        <f>MIN(MAX(AE$5-$E17,0)/('Salon Model'!$F$32*(365/12)),1)*(1-($F17*MAX((180-(AE$5-$H$5))/180,0)))</f>
        <v>0.5</v>
      </c>
      <c r="AF17" s="46">
        <f>MIN(MAX(AF$5-$E17,0)/('Salon Model'!$F$32*(365/12)),1)*(1-($F17*MAX((180-(AF$5-$H$5))/180,0)))</f>
        <v>1</v>
      </c>
    </row>
    <row r="18" spans="2:32">
      <c r="B18" s="7" t="s">
        <v>235</v>
      </c>
      <c r="C18" s="7"/>
      <c r="D18" s="7"/>
      <c r="E18" s="91">
        <v>43070</v>
      </c>
      <c r="F18" s="6">
        <v>0</v>
      </c>
      <c r="H18" s="46">
        <f>MIN(MAX(H$5-$E18,0)/('Salon Model'!$F$32*(365/12)),1)*(1-($F18*MAX((180-(H$5-$H$5))/180,0)))</f>
        <v>0</v>
      </c>
      <c r="I18" s="46">
        <f>MIN(MAX(I$5-$E18,0)/('Salon Model'!$F$32*(365/12)),1)*(1-($F18*MAX((180-(I$5-$H$5))/180,0)))</f>
        <v>0</v>
      </c>
      <c r="J18" s="46">
        <f>MIN(MAX(J$5-$E18,0)/('Salon Model'!$F$32*(365/12)),1)*(1-($F18*MAX((180-(J$5-$H$5))/180,0)))</f>
        <v>0</v>
      </c>
      <c r="K18" s="46">
        <f>MIN(MAX(K$5-$E18,0)/('Salon Model'!$F$32*(365/12)),1)*(1-($F18*MAX((180-(K$5-$H$5))/180,0)))</f>
        <v>0</v>
      </c>
      <c r="L18" s="46">
        <f>MIN(MAX(L$5-$E18,0)/('Salon Model'!$F$32*(365/12)),1)*(1-($F18*MAX((180-(L$5-$H$5))/180,0)))</f>
        <v>0</v>
      </c>
      <c r="M18" s="46">
        <f>MIN(MAX(M$5-$E18,0)/('Salon Model'!$F$32*(365/12)),1)*(1-($F18*MAX((180-(M$5-$H$5))/180,0)))</f>
        <v>0</v>
      </c>
      <c r="N18" s="46">
        <f>MIN(MAX(N$5-$E18,0)/('Salon Model'!$F$32*(365/12)),1)*(1-($F18*MAX((180-(N$5-$H$5))/180,0)))</f>
        <v>0</v>
      </c>
      <c r="O18" s="46">
        <f>MIN(MAX(O$5-$E18,0)/('Salon Model'!$F$32*(365/12)),1)*(1-($F18*MAX((180-(O$5-$H$5))/180,0)))</f>
        <v>0</v>
      </c>
      <c r="P18" s="46">
        <f>MIN(MAX(P$5-$E18,0)/('Salon Model'!$F$32*(365/12)),1)*(1-($F18*MAX((180-(P$5-$H$5))/180,0)))</f>
        <v>0</v>
      </c>
      <c r="Q18" s="46">
        <f>MIN(MAX(Q$5-$E18,0)/('Salon Model'!$F$32*(365/12)),1)*(1-($F18*MAX((180-(Q$5-$H$5))/180,0)))</f>
        <v>0</v>
      </c>
      <c r="R18" s="46">
        <f>MIN(MAX(R$5-$E18,0)/('Salon Model'!$F$32*(365/12)),1)*(1-($F18*MAX((180-(R$5-$H$5))/180,0)))</f>
        <v>0</v>
      </c>
      <c r="S18" s="46">
        <f>MIN(MAX(S$5-$E18,0)/('Salon Model'!$F$32*(365/12)),1)*(1-($F18*MAX((180-(S$5-$H$5))/180,0)))</f>
        <v>0</v>
      </c>
      <c r="T18" s="46">
        <f>MIN(MAX(T$5-$E18,0)/('Salon Model'!$F$32*(365/12)),1)*(1-($F18*MAX((180-(T$5-$H$5))/180,0)))</f>
        <v>4.2465753424657533E-2</v>
      </c>
      <c r="U18" s="46">
        <f>MIN(MAX(U$5-$E18,0)/('Salon Model'!$F$32*(365/12)),1)*(1-($F18*MAX((180-(U$5-$H$5))/180,0)))</f>
        <v>8.4931506849315067E-2</v>
      </c>
      <c r="V18" s="46">
        <f>MIN(MAX(V$5-$E18,0)/('Salon Model'!$F$32*(365/12)),1)*(1-($F18*MAX((180-(V$5-$H$5))/180,0)))</f>
        <v>0.12328767123287671</v>
      </c>
      <c r="W18" s="46">
        <f>MIN(MAX(W$5-$E18,0)/('Salon Model'!$F$32*(365/12)),1)*(1-($F18*MAX((180-(W$5-$H$5))/180,0)))</f>
        <v>0.16575342465753426</v>
      </c>
      <c r="X18" s="46">
        <f>MIN(MAX(X$5-$E18,0)/('Salon Model'!$F$32*(365/12)),1)*(1-($F18*MAX((180-(X$5-$H$5))/180,0)))</f>
        <v>0.20684931506849316</v>
      </c>
      <c r="Y18" s="46">
        <f>MIN(MAX(Y$5-$E18,0)/('Salon Model'!$F$32*(365/12)),1)*(1-($F18*MAX((180-(Y$5-$H$5))/180,0)))</f>
        <v>0.24931506849315069</v>
      </c>
      <c r="Z18" s="46">
        <f>MIN(MAX(Z$5-$E18,0)/('Salon Model'!$F$32*(365/12)),1)*(1-($F18*MAX((180-(Z$5-$H$5))/180,0)))</f>
        <v>0.29041095890410956</v>
      </c>
      <c r="AA18" s="46">
        <f>MIN(MAX(AA$5-$E18,0)/('Salon Model'!$F$32*(365/12)),1)*(1-($F18*MAX((180-(AA$5-$H$5))/180,0)))</f>
        <v>0.33287671232876714</v>
      </c>
      <c r="AB18" s="46">
        <f>MIN(MAX(AB$5-$E18,0)/('Salon Model'!$F$32*(365/12)),1)*(1-($F18*MAX((180-(AB$5-$H$5))/180,0)))</f>
        <v>0.37534246575342467</v>
      </c>
      <c r="AC18" s="46">
        <f>MIN(MAX(AC$5-$E18,0)/('Salon Model'!$F$32*(365/12)),1)*(1-($F18*MAX((180-(AC$5-$H$5))/180,0)))</f>
        <v>0.41643835616438357</v>
      </c>
      <c r="AD18" s="46">
        <f>MIN(MAX(AD$5-$E18,0)/('Salon Model'!$F$32*(365/12)),1)*(1-($F18*MAX((180-(AD$5-$H$5))/180,0)))</f>
        <v>0.4589041095890411</v>
      </c>
      <c r="AE18" s="46">
        <f>MIN(MAX(AE$5-$E18,0)/('Salon Model'!$F$32*(365/12)),1)*(1-($F18*MAX((180-(AE$5-$H$5))/180,0)))</f>
        <v>0.5</v>
      </c>
      <c r="AF18" s="46">
        <f>MIN(MAX(AF$5-$E18,0)/('Salon Model'!$F$32*(365/12)),1)*(1-($F18*MAX((180-(AF$5-$H$5))/180,0)))</f>
        <v>1</v>
      </c>
    </row>
    <row r="19" spans="2:32">
      <c r="B19" s="7" t="s">
        <v>236</v>
      </c>
      <c r="C19" s="7"/>
      <c r="D19" s="7"/>
      <c r="E19" s="91">
        <v>43160</v>
      </c>
      <c r="F19" s="6">
        <v>0</v>
      </c>
      <c r="H19" s="46">
        <f>MIN(MAX(H$5-$E19,0)/('Salon Model'!$F$32*(365/12)),1)*(1-($F19*MAX((180-(H$5-$H$5))/180,0)))</f>
        <v>0</v>
      </c>
      <c r="I19" s="46">
        <f>MIN(MAX(I$5-$E19,0)/('Salon Model'!$F$32*(365/12)),1)*(1-($F19*MAX((180-(I$5-$H$5))/180,0)))</f>
        <v>0</v>
      </c>
      <c r="J19" s="46">
        <f>MIN(MAX(J$5-$E19,0)/('Salon Model'!$F$32*(365/12)),1)*(1-($F19*MAX((180-(J$5-$H$5))/180,0)))</f>
        <v>0</v>
      </c>
      <c r="K19" s="46">
        <f>MIN(MAX(K$5-$E19,0)/('Salon Model'!$F$32*(365/12)),1)*(1-($F19*MAX((180-(K$5-$H$5))/180,0)))</f>
        <v>0</v>
      </c>
      <c r="L19" s="46">
        <f>MIN(MAX(L$5-$E19,0)/('Salon Model'!$F$32*(365/12)),1)*(1-($F19*MAX((180-(L$5-$H$5))/180,0)))</f>
        <v>0</v>
      </c>
      <c r="M19" s="46">
        <f>MIN(MAX(M$5-$E19,0)/('Salon Model'!$F$32*(365/12)),1)*(1-($F19*MAX((180-(M$5-$H$5))/180,0)))</f>
        <v>0</v>
      </c>
      <c r="N19" s="46">
        <f>MIN(MAX(N$5-$E19,0)/('Salon Model'!$F$32*(365/12)),1)*(1-($F19*MAX((180-(N$5-$H$5))/180,0)))</f>
        <v>0</v>
      </c>
      <c r="O19" s="46">
        <f>MIN(MAX(O$5-$E19,0)/('Salon Model'!$F$32*(365/12)),1)*(1-($F19*MAX((180-(O$5-$H$5))/180,0)))</f>
        <v>0</v>
      </c>
      <c r="P19" s="46">
        <f>MIN(MAX(P$5-$E19,0)/('Salon Model'!$F$32*(365/12)),1)*(1-($F19*MAX((180-(P$5-$H$5))/180,0)))</f>
        <v>0</v>
      </c>
      <c r="Q19" s="46">
        <f>MIN(MAX(Q$5-$E19,0)/('Salon Model'!$F$32*(365/12)),1)*(1-($F19*MAX((180-(Q$5-$H$5))/180,0)))</f>
        <v>0</v>
      </c>
      <c r="R19" s="46">
        <f>MIN(MAX(R$5-$E19,0)/('Salon Model'!$F$32*(365/12)),1)*(1-($F19*MAX((180-(R$5-$H$5))/180,0)))</f>
        <v>0</v>
      </c>
      <c r="S19" s="46">
        <f>MIN(MAX(S$5-$E19,0)/('Salon Model'!$F$32*(365/12)),1)*(1-($F19*MAX((180-(S$5-$H$5))/180,0)))</f>
        <v>0</v>
      </c>
      <c r="T19" s="46">
        <f>MIN(MAX(T$5-$E19,0)/('Salon Model'!$F$32*(365/12)),1)*(1-($F19*MAX((180-(T$5-$H$5))/180,0)))</f>
        <v>0</v>
      </c>
      <c r="U19" s="46">
        <f>MIN(MAX(U$5-$E19,0)/('Salon Model'!$F$32*(365/12)),1)*(1-($F19*MAX((180-(U$5-$H$5))/180,0)))</f>
        <v>0</v>
      </c>
      <c r="V19" s="46">
        <f>MIN(MAX(V$5-$E19,0)/('Salon Model'!$F$32*(365/12)),1)*(1-($F19*MAX((180-(V$5-$H$5))/180,0)))</f>
        <v>0</v>
      </c>
      <c r="W19" s="46">
        <f>MIN(MAX(W$5-$E19,0)/('Salon Model'!$F$32*(365/12)),1)*(1-($F19*MAX((180-(W$5-$H$5))/180,0)))</f>
        <v>4.2465753424657533E-2</v>
      </c>
      <c r="X19" s="46">
        <f>MIN(MAX(X$5-$E19,0)/('Salon Model'!$F$32*(365/12)),1)*(1-($F19*MAX((180-(X$5-$H$5))/180,0)))</f>
        <v>8.3561643835616442E-2</v>
      </c>
      <c r="Y19" s="46">
        <f>MIN(MAX(Y$5-$E19,0)/('Salon Model'!$F$32*(365/12)),1)*(1-($F19*MAX((180-(Y$5-$H$5))/180,0)))</f>
        <v>0.12602739726027398</v>
      </c>
      <c r="Z19" s="46">
        <f>MIN(MAX(Z$5-$E19,0)/('Salon Model'!$F$32*(365/12)),1)*(1-($F19*MAX((180-(Z$5-$H$5))/180,0)))</f>
        <v>0.16712328767123288</v>
      </c>
      <c r="AA19" s="46">
        <f>MIN(MAX(AA$5-$E19,0)/('Salon Model'!$F$32*(365/12)),1)*(1-($F19*MAX((180-(AA$5-$H$5))/180,0)))</f>
        <v>0.20958904109589041</v>
      </c>
      <c r="AB19" s="46">
        <f>MIN(MAX(AB$5-$E19,0)/('Salon Model'!$F$32*(365/12)),1)*(1-($F19*MAX((180-(AB$5-$H$5))/180,0)))</f>
        <v>0.25205479452054796</v>
      </c>
      <c r="AC19" s="46">
        <f>MIN(MAX(AC$5-$E19,0)/('Salon Model'!$F$32*(365/12)),1)*(1-($F19*MAX((180-(AC$5-$H$5))/180,0)))</f>
        <v>0.29315068493150687</v>
      </c>
      <c r="AD19" s="46">
        <f>MIN(MAX(AD$5-$E19,0)/('Salon Model'!$F$32*(365/12)),1)*(1-($F19*MAX((180-(AD$5-$H$5))/180,0)))</f>
        <v>0.33561643835616439</v>
      </c>
      <c r="AE19" s="46">
        <f>MIN(MAX(AE$5-$E19,0)/('Salon Model'!$F$32*(365/12)),1)*(1-($F19*MAX((180-(AE$5-$H$5))/180,0)))</f>
        <v>0.37671232876712329</v>
      </c>
      <c r="AF19" s="46">
        <f>MIN(MAX(AF$5-$E19,0)/('Salon Model'!$F$32*(365/12)),1)*(1-($F19*MAX((180-(AF$5-$H$5))/180,0)))</f>
        <v>0.9178082191780822</v>
      </c>
    </row>
    <row r="20" spans="2:32">
      <c r="B20" s="7" t="s">
        <v>237</v>
      </c>
      <c r="C20" s="7"/>
      <c r="D20" s="7"/>
      <c r="E20" s="91">
        <v>43252</v>
      </c>
      <c r="F20" s="6">
        <v>0</v>
      </c>
      <c r="H20" s="46">
        <f>MIN(MAX(H$5-$E20,0)/('Salon Model'!$F$32*(365/12)),1)*(1-($F20*MAX((180-(H$5-$H$5))/180,0)))</f>
        <v>0</v>
      </c>
      <c r="I20" s="46">
        <f>MIN(MAX(I$5-$E20,0)/('Salon Model'!$F$32*(365/12)),1)*(1-($F20*MAX((180-(I$5-$H$5))/180,0)))</f>
        <v>0</v>
      </c>
      <c r="J20" s="46">
        <f>MIN(MAX(J$5-$E20,0)/('Salon Model'!$F$32*(365/12)),1)*(1-($F20*MAX((180-(J$5-$H$5))/180,0)))</f>
        <v>0</v>
      </c>
      <c r="K20" s="46">
        <f>MIN(MAX(K$5-$E20,0)/('Salon Model'!$F$32*(365/12)),1)*(1-($F20*MAX((180-(K$5-$H$5))/180,0)))</f>
        <v>0</v>
      </c>
      <c r="L20" s="46">
        <f>MIN(MAX(L$5-$E20,0)/('Salon Model'!$F$32*(365/12)),1)*(1-($F20*MAX((180-(L$5-$H$5))/180,0)))</f>
        <v>0</v>
      </c>
      <c r="M20" s="46">
        <f>MIN(MAX(M$5-$E20,0)/('Salon Model'!$F$32*(365/12)),1)*(1-($F20*MAX((180-(M$5-$H$5))/180,0)))</f>
        <v>0</v>
      </c>
      <c r="N20" s="46">
        <f>MIN(MAX(N$5-$E20,0)/('Salon Model'!$F$32*(365/12)),1)*(1-($F20*MAX((180-(N$5-$H$5))/180,0)))</f>
        <v>0</v>
      </c>
      <c r="O20" s="46">
        <f>MIN(MAX(O$5-$E20,0)/('Salon Model'!$F$32*(365/12)),1)*(1-($F20*MAX((180-(O$5-$H$5))/180,0)))</f>
        <v>0</v>
      </c>
      <c r="P20" s="46">
        <f>MIN(MAX(P$5-$E20,0)/('Salon Model'!$F$32*(365/12)),1)*(1-($F20*MAX((180-(P$5-$H$5))/180,0)))</f>
        <v>0</v>
      </c>
      <c r="Q20" s="46">
        <f>MIN(MAX(Q$5-$E20,0)/('Salon Model'!$F$32*(365/12)),1)*(1-($F20*MAX((180-(Q$5-$H$5))/180,0)))</f>
        <v>0</v>
      </c>
      <c r="R20" s="46">
        <f>MIN(MAX(R$5-$E20,0)/('Salon Model'!$F$32*(365/12)),1)*(1-($F20*MAX((180-(R$5-$H$5))/180,0)))</f>
        <v>0</v>
      </c>
      <c r="S20" s="46">
        <f>MIN(MAX(S$5-$E20,0)/('Salon Model'!$F$32*(365/12)),1)*(1-($F20*MAX((180-(S$5-$H$5))/180,0)))</f>
        <v>0</v>
      </c>
      <c r="T20" s="46">
        <f>MIN(MAX(T$5-$E20,0)/('Salon Model'!$F$32*(365/12)),1)*(1-($F20*MAX((180-(T$5-$H$5))/180,0)))</f>
        <v>0</v>
      </c>
      <c r="U20" s="46">
        <f>MIN(MAX(U$5-$E20,0)/('Salon Model'!$F$32*(365/12)),1)*(1-($F20*MAX((180-(U$5-$H$5))/180,0)))</f>
        <v>0</v>
      </c>
      <c r="V20" s="46">
        <f>MIN(MAX(V$5-$E20,0)/('Salon Model'!$F$32*(365/12)),1)*(1-($F20*MAX((180-(V$5-$H$5))/180,0)))</f>
        <v>0</v>
      </c>
      <c r="W20" s="46">
        <f>MIN(MAX(W$5-$E20,0)/('Salon Model'!$F$32*(365/12)),1)*(1-($F20*MAX((180-(W$5-$H$5))/180,0)))</f>
        <v>0</v>
      </c>
      <c r="X20" s="46">
        <f>MIN(MAX(X$5-$E20,0)/('Salon Model'!$F$32*(365/12)),1)*(1-($F20*MAX((180-(X$5-$H$5))/180,0)))</f>
        <v>0</v>
      </c>
      <c r="Y20" s="46">
        <f>MIN(MAX(Y$5-$E20,0)/('Salon Model'!$F$32*(365/12)),1)*(1-($F20*MAX((180-(Y$5-$H$5))/180,0)))</f>
        <v>0</v>
      </c>
      <c r="Z20" s="46">
        <f>MIN(MAX(Z$5-$E20,0)/('Salon Model'!$F$32*(365/12)),1)*(1-($F20*MAX((180-(Z$5-$H$5))/180,0)))</f>
        <v>4.1095890410958902E-2</v>
      </c>
      <c r="AA20" s="46">
        <f>MIN(MAX(AA$5-$E20,0)/('Salon Model'!$F$32*(365/12)),1)*(1-($F20*MAX((180-(AA$5-$H$5))/180,0)))</f>
        <v>8.3561643835616442E-2</v>
      </c>
      <c r="AB20" s="46">
        <f>MIN(MAX(AB$5-$E20,0)/('Salon Model'!$F$32*(365/12)),1)*(1-($F20*MAX((180-(AB$5-$H$5))/180,0)))</f>
        <v>0.12602739726027398</v>
      </c>
      <c r="AC20" s="46">
        <f>MIN(MAX(AC$5-$E20,0)/('Salon Model'!$F$32*(365/12)),1)*(1-($F20*MAX((180-(AC$5-$H$5))/180,0)))</f>
        <v>0.16712328767123288</v>
      </c>
      <c r="AD20" s="46">
        <f>MIN(MAX(AD$5-$E20,0)/('Salon Model'!$F$32*(365/12)),1)*(1-($F20*MAX((180-(AD$5-$H$5))/180,0)))</f>
        <v>0.20958904109589041</v>
      </c>
      <c r="AE20" s="46">
        <f>MIN(MAX(AE$5-$E20,0)/('Salon Model'!$F$32*(365/12)),1)*(1-($F20*MAX((180-(AE$5-$H$5))/180,0)))</f>
        <v>0.25068493150684934</v>
      </c>
      <c r="AF20" s="46">
        <f>MIN(MAX(AF$5-$E20,0)/('Salon Model'!$F$32*(365/12)),1)*(1-($F20*MAX((180-(AF$5-$H$5))/180,0)))</f>
        <v>0.79178082191780819</v>
      </c>
    </row>
    <row r="21" spans="2:32">
      <c r="B21" s="7" t="s">
        <v>238</v>
      </c>
      <c r="C21" s="7"/>
      <c r="D21" s="7"/>
      <c r="E21" s="93">
        <v>43344</v>
      </c>
      <c r="F21" s="6">
        <v>0</v>
      </c>
      <c r="H21" s="46">
        <f>MIN(MAX(H$5-$E21,0)/('Salon Model'!$F$32*(365/12)),1)*(1-($F21*MAX((180-(H$5-$H$5))/180,0)))</f>
        <v>0</v>
      </c>
      <c r="I21" s="46">
        <f>MIN(MAX(I$5-$E21,0)/('Salon Model'!$F$32*(365/12)),1)*(1-($F21*MAX((180-(I$5-$H$5))/180,0)))</f>
        <v>0</v>
      </c>
      <c r="J21" s="46">
        <f>MIN(MAX(J$5-$E21,0)/('Salon Model'!$F$32*(365/12)),1)*(1-($F21*MAX((180-(J$5-$H$5))/180,0)))</f>
        <v>0</v>
      </c>
      <c r="K21" s="46">
        <f>MIN(MAX(K$5-$E21,0)/('Salon Model'!$F$32*(365/12)),1)*(1-($F21*MAX((180-(K$5-$H$5))/180,0)))</f>
        <v>0</v>
      </c>
      <c r="L21" s="46">
        <f>MIN(MAX(L$5-$E21,0)/('Salon Model'!$F$32*(365/12)),1)*(1-($F21*MAX((180-(L$5-$H$5))/180,0)))</f>
        <v>0</v>
      </c>
      <c r="M21" s="46">
        <f>MIN(MAX(M$5-$E21,0)/('Salon Model'!$F$32*(365/12)),1)*(1-($F21*MAX((180-(M$5-$H$5))/180,0)))</f>
        <v>0</v>
      </c>
      <c r="N21" s="46">
        <f>MIN(MAX(N$5-$E21,0)/('Salon Model'!$F$32*(365/12)),1)*(1-($F21*MAX((180-(N$5-$H$5))/180,0)))</f>
        <v>0</v>
      </c>
      <c r="O21" s="46">
        <f>MIN(MAX(O$5-$E21,0)/('Salon Model'!$F$32*(365/12)),1)*(1-($F21*MAX((180-(O$5-$H$5))/180,0)))</f>
        <v>0</v>
      </c>
      <c r="P21" s="46">
        <f>MIN(MAX(P$5-$E21,0)/('Salon Model'!$F$32*(365/12)),1)*(1-($F21*MAX((180-(P$5-$H$5))/180,0)))</f>
        <v>0</v>
      </c>
      <c r="Q21" s="46">
        <f>MIN(MAX(Q$5-$E21,0)/('Salon Model'!$F$32*(365/12)),1)*(1-($F21*MAX((180-(Q$5-$H$5))/180,0)))</f>
        <v>0</v>
      </c>
      <c r="R21" s="46">
        <f>MIN(MAX(R$5-$E21,0)/('Salon Model'!$F$32*(365/12)),1)*(1-($F21*MAX((180-(R$5-$H$5))/180,0)))</f>
        <v>0</v>
      </c>
      <c r="S21" s="46">
        <f>MIN(MAX(S$5-$E21,0)/('Salon Model'!$F$32*(365/12)),1)*(1-($F21*MAX((180-(S$5-$H$5))/180,0)))</f>
        <v>0</v>
      </c>
      <c r="T21" s="46">
        <f>MIN(MAX(T$5-$E21,0)/('Salon Model'!$F$32*(365/12)),1)*(1-($F21*MAX((180-(T$5-$H$5))/180,0)))</f>
        <v>0</v>
      </c>
      <c r="U21" s="46">
        <f>MIN(MAX(U$5-$E21,0)/('Salon Model'!$F$32*(365/12)),1)*(1-($F21*MAX((180-(U$5-$H$5))/180,0)))</f>
        <v>0</v>
      </c>
      <c r="V21" s="46">
        <f>MIN(MAX(V$5-$E21,0)/('Salon Model'!$F$32*(365/12)),1)*(1-($F21*MAX((180-(V$5-$H$5))/180,0)))</f>
        <v>0</v>
      </c>
      <c r="W21" s="46">
        <f>MIN(MAX(W$5-$E21,0)/('Salon Model'!$F$32*(365/12)),1)*(1-($F21*MAX((180-(W$5-$H$5))/180,0)))</f>
        <v>0</v>
      </c>
      <c r="X21" s="46">
        <f>MIN(MAX(X$5-$E21,0)/('Salon Model'!$F$32*(365/12)),1)*(1-($F21*MAX((180-(X$5-$H$5))/180,0)))</f>
        <v>0</v>
      </c>
      <c r="Y21" s="46">
        <f>MIN(MAX(Y$5-$E21,0)/('Salon Model'!$F$32*(365/12)),1)*(1-($F21*MAX((180-(Y$5-$H$5))/180,0)))</f>
        <v>0</v>
      </c>
      <c r="Z21" s="46">
        <f>MIN(MAX(Z$5-$E21,0)/('Salon Model'!$F$32*(365/12)),1)*(1-($F21*MAX((180-(Z$5-$H$5))/180,0)))</f>
        <v>0</v>
      </c>
      <c r="AA21" s="46">
        <f>MIN(MAX(AA$5-$E21,0)/('Salon Model'!$F$32*(365/12)),1)*(1-($F21*MAX((180-(AA$5-$H$5))/180,0)))</f>
        <v>0</v>
      </c>
      <c r="AB21" s="46">
        <f>MIN(MAX(AB$5-$E21,0)/('Salon Model'!$F$32*(365/12)),1)*(1-($F21*MAX((180-(AB$5-$H$5))/180,0)))</f>
        <v>0</v>
      </c>
      <c r="AC21" s="46">
        <f>MIN(MAX(AC$5-$E21,0)/('Salon Model'!$F$32*(365/12)),1)*(1-($F21*MAX((180-(AC$5-$H$5))/180,0)))</f>
        <v>4.1095890410958902E-2</v>
      </c>
      <c r="AD21" s="46">
        <f>MIN(MAX(AD$5-$E21,0)/('Salon Model'!$F$32*(365/12)),1)*(1-($F21*MAX((180-(AD$5-$H$5))/180,0)))</f>
        <v>8.3561643835616442E-2</v>
      </c>
      <c r="AE21" s="46">
        <f>MIN(MAX(AE$5-$E21,0)/('Salon Model'!$F$32*(365/12)),1)*(1-($F21*MAX((180-(AE$5-$H$5))/180,0)))</f>
        <v>0.12465753424657534</v>
      </c>
      <c r="AF21" s="46">
        <f>MIN(MAX(AF$5-$E21,0)/('Salon Model'!$F$32*(365/12)),1)*(1-($F21*MAX((180-(AF$5-$H$5))/180,0)))</f>
        <v>0.66575342465753429</v>
      </c>
    </row>
    <row r="22" spans="2:32" hidden="1">
      <c r="B22" s="7" t="s">
        <v>239</v>
      </c>
      <c r="C22" s="7"/>
      <c r="D22" s="7"/>
      <c r="E22" s="93">
        <v>43466</v>
      </c>
      <c r="F22" s="6">
        <v>0</v>
      </c>
      <c r="H22" s="46">
        <f>MIN(MAX(H$5-$E22,0)/('Salon Model'!$F$32*(365/12)),1)*(1-($F22*MAX((180-(H$5-$H$5))/180,0)))</f>
        <v>0</v>
      </c>
      <c r="I22" s="46">
        <f>MIN(MAX(I$5-$E22,0)/('Salon Model'!$F$32*(365/12)),1)*(1-($F22*MAX((180-(I$5-$H$5))/180,0)))</f>
        <v>0</v>
      </c>
      <c r="J22" s="46">
        <f>MIN(MAX(J$5-$E22,0)/('Salon Model'!$F$32*(365/12)),1)*(1-($F22*MAX((180-(J$5-$H$5))/180,0)))</f>
        <v>0</v>
      </c>
      <c r="K22" s="46">
        <f>MIN(MAX(K$5-$E22,0)/('Salon Model'!$F$32*(365/12)),1)*(1-($F22*MAX((180-(K$5-$H$5))/180,0)))</f>
        <v>0</v>
      </c>
      <c r="L22" s="46">
        <f>MIN(MAX(L$5-$E22,0)/('Salon Model'!$F$32*(365/12)),1)*(1-($F22*MAX((180-(L$5-$H$5))/180,0)))</f>
        <v>0</v>
      </c>
      <c r="M22" s="46">
        <f>MIN(MAX(M$5-$E22,0)/('Salon Model'!$F$32*(365/12)),1)*(1-($F22*MAX((180-(M$5-$H$5))/180,0)))</f>
        <v>0</v>
      </c>
      <c r="N22" s="46">
        <f>MIN(MAX(N$5-$E22,0)/('Salon Model'!$F$32*(365/12)),1)*(1-($F22*MAX((180-(N$5-$H$5))/180,0)))</f>
        <v>0</v>
      </c>
      <c r="O22" s="46">
        <f>MIN(MAX(O$5-$E22,0)/('Salon Model'!$F$32*(365/12)),1)*(1-($F22*MAX((180-(O$5-$H$5))/180,0)))</f>
        <v>0</v>
      </c>
      <c r="P22" s="46">
        <f>MIN(MAX(P$5-$E22,0)/('Salon Model'!$F$32*(365/12)),1)*(1-($F22*MAX((180-(P$5-$H$5))/180,0)))</f>
        <v>0</v>
      </c>
      <c r="Q22" s="46">
        <f>MIN(MAX(Q$5-$E22,0)/('Salon Model'!$F$32*(365/12)),1)*(1-($F22*MAX((180-(Q$5-$H$5))/180,0)))</f>
        <v>0</v>
      </c>
      <c r="R22" s="46">
        <f>MIN(MAX(R$5-$E22,0)/('Salon Model'!$F$32*(365/12)),1)*(1-($F22*MAX((180-(R$5-$H$5))/180,0)))</f>
        <v>0</v>
      </c>
      <c r="S22" s="46">
        <f>MIN(MAX(S$5-$E22,0)/('Salon Model'!$F$32*(365/12)),1)*(1-($F22*MAX((180-(S$5-$H$5))/180,0)))</f>
        <v>0</v>
      </c>
      <c r="T22" s="46">
        <f>MIN(MAX(T$5-$E22,0)/('Salon Model'!$F$32*(365/12)),1)*(1-($F22*MAX((180-(T$5-$H$5))/180,0)))</f>
        <v>0</v>
      </c>
      <c r="U22" s="46">
        <f>MIN(MAX(U$5-$E22,0)/('Salon Model'!$F$32*(365/12)),1)*(1-($F22*MAX((180-(U$5-$H$5))/180,0)))</f>
        <v>0</v>
      </c>
      <c r="V22" s="46">
        <f>MIN(MAX(V$5-$E22,0)/('Salon Model'!$F$32*(365/12)),1)*(1-($F22*MAX((180-(V$5-$H$5))/180,0)))</f>
        <v>0</v>
      </c>
      <c r="W22" s="46">
        <f>MIN(MAX(W$5-$E22,0)/('Salon Model'!$F$32*(365/12)),1)*(1-($F22*MAX((180-(W$5-$H$5))/180,0)))</f>
        <v>0</v>
      </c>
      <c r="X22" s="46">
        <f>MIN(MAX(X$5-$E22,0)/('Salon Model'!$F$32*(365/12)),1)*(1-($F22*MAX((180-(X$5-$H$5))/180,0)))</f>
        <v>0</v>
      </c>
      <c r="Y22" s="46">
        <f>MIN(MAX(Y$5-$E22,0)/('Salon Model'!$F$32*(365/12)),1)*(1-($F22*MAX((180-(Y$5-$H$5))/180,0)))</f>
        <v>0</v>
      </c>
      <c r="Z22" s="46">
        <f>MIN(MAX(Z$5-$E22,0)/('Salon Model'!$F$32*(365/12)),1)*(1-($F22*MAX((180-(Z$5-$H$5))/180,0)))</f>
        <v>0</v>
      </c>
      <c r="AA22" s="46">
        <f>MIN(MAX(AA$5-$E22,0)/('Salon Model'!$F$32*(365/12)),1)*(1-($F22*MAX((180-(AA$5-$H$5))/180,0)))</f>
        <v>0</v>
      </c>
      <c r="AB22" s="46">
        <f>MIN(MAX(AB$5-$E22,0)/('Salon Model'!$F$32*(365/12)),1)*(1-($F22*MAX((180-(AB$5-$H$5))/180,0)))</f>
        <v>0</v>
      </c>
      <c r="AC22" s="46">
        <f>MIN(MAX(AC$5-$E22,0)/('Salon Model'!$F$32*(365/12)),1)*(1-($F22*MAX((180-(AC$5-$H$5))/180,0)))</f>
        <v>0</v>
      </c>
      <c r="AD22" s="46">
        <f>MIN(MAX(AD$5-$E22,0)/('Salon Model'!$F$32*(365/12)),1)*(1-($F22*MAX((180-(AD$5-$H$5))/180,0)))</f>
        <v>0</v>
      </c>
      <c r="AE22" s="46">
        <f>MIN(MAX(AE$5-$E22,0)/('Salon Model'!$F$32*(365/12)),1)*(1-($F22*MAX((180-(AE$5-$H$5))/180,0)))</f>
        <v>0</v>
      </c>
      <c r="AF22" s="46">
        <f>MIN(MAX(AF$5-$E22,0)/('Salon Model'!$F$32*(365/12)),1)*(1-($F22*MAX((180-(AF$5-$H$5))/180,0)))</f>
        <v>0.49863013698630138</v>
      </c>
    </row>
    <row r="23" spans="2:32" hidden="1">
      <c r="B23" s="7" t="s">
        <v>240</v>
      </c>
      <c r="C23" s="7"/>
      <c r="D23" s="7"/>
      <c r="E23" s="93">
        <v>43556</v>
      </c>
      <c r="F23" s="6">
        <v>0</v>
      </c>
      <c r="H23" s="46">
        <f>MIN(MAX(H$5-$E23,0)/('Salon Model'!$F$32*(365/12)),1)*(1-($F23*MAX((180-(H$5-$H$5))/180,0)))</f>
        <v>0</v>
      </c>
      <c r="I23" s="46">
        <f>MIN(MAX(I$5-$E23,0)/('Salon Model'!$F$32*(365/12)),1)*(1-($F23*MAX((180-(I$5-$H$5))/180,0)))</f>
        <v>0</v>
      </c>
      <c r="J23" s="46">
        <f>MIN(MAX(J$5-$E23,0)/('Salon Model'!$F$32*(365/12)),1)*(1-($F23*MAX((180-(J$5-$H$5))/180,0)))</f>
        <v>0</v>
      </c>
      <c r="K23" s="46">
        <f>MIN(MAX(K$5-$E23,0)/('Salon Model'!$F$32*(365/12)),1)*(1-($F23*MAX((180-(K$5-$H$5))/180,0)))</f>
        <v>0</v>
      </c>
      <c r="L23" s="46">
        <f>MIN(MAX(L$5-$E23,0)/('Salon Model'!$F$32*(365/12)),1)*(1-($F23*MAX((180-(L$5-$H$5))/180,0)))</f>
        <v>0</v>
      </c>
      <c r="M23" s="46">
        <f>MIN(MAX(M$5-$E23,0)/('Salon Model'!$F$32*(365/12)),1)*(1-($F23*MAX((180-(M$5-$H$5))/180,0)))</f>
        <v>0</v>
      </c>
      <c r="N23" s="46">
        <f>MIN(MAX(N$5-$E23,0)/('Salon Model'!$F$32*(365/12)),1)*(1-($F23*MAX((180-(N$5-$H$5))/180,0)))</f>
        <v>0</v>
      </c>
      <c r="O23" s="46">
        <f>MIN(MAX(O$5-$E23,0)/('Salon Model'!$F$32*(365/12)),1)*(1-($F23*MAX((180-(O$5-$H$5))/180,0)))</f>
        <v>0</v>
      </c>
      <c r="P23" s="46">
        <f>MIN(MAX(P$5-$E23,0)/('Salon Model'!$F$32*(365/12)),1)*(1-($F23*MAX((180-(P$5-$H$5))/180,0)))</f>
        <v>0</v>
      </c>
      <c r="Q23" s="46">
        <f>MIN(MAX(Q$5-$E23,0)/('Salon Model'!$F$32*(365/12)),1)*(1-($F23*MAX((180-(Q$5-$H$5))/180,0)))</f>
        <v>0</v>
      </c>
      <c r="R23" s="46">
        <f>MIN(MAX(R$5-$E23,0)/('Salon Model'!$F$32*(365/12)),1)*(1-($F23*MAX((180-(R$5-$H$5))/180,0)))</f>
        <v>0</v>
      </c>
      <c r="S23" s="46">
        <f>MIN(MAX(S$5-$E23,0)/('Salon Model'!$F$32*(365/12)),1)*(1-($F23*MAX((180-(S$5-$H$5))/180,0)))</f>
        <v>0</v>
      </c>
      <c r="T23" s="46">
        <f>MIN(MAX(T$5-$E23,0)/('Salon Model'!$F$32*(365/12)),1)*(1-($F23*MAX((180-(T$5-$H$5))/180,0)))</f>
        <v>0</v>
      </c>
      <c r="U23" s="46">
        <f>MIN(MAX(U$5-$E23,0)/('Salon Model'!$F$32*(365/12)),1)*(1-($F23*MAX((180-(U$5-$H$5))/180,0)))</f>
        <v>0</v>
      </c>
      <c r="V23" s="46">
        <f>MIN(MAX(V$5-$E23,0)/('Salon Model'!$F$32*(365/12)),1)*(1-($F23*MAX((180-(V$5-$H$5))/180,0)))</f>
        <v>0</v>
      </c>
      <c r="W23" s="46">
        <f>MIN(MAX(W$5-$E23,0)/('Salon Model'!$F$32*(365/12)),1)*(1-($F23*MAX((180-(W$5-$H$5))/180,0)))</f>
        <v>0</v>
      </c>
      <c r="X23" s="46">
        <f>MIN(MAX(X$5-$E23,0)/('Salon Model'!$F$32*(365/12)),1)*(1-($F23*MAX((180-(X$5-$H$5))/180,0)))</f>
        <v>0</v>
      </c>
      <c r="Y23" s="46">
        <f>MIN(MAX(Y$5-$E23,0)/('Salon Model'!$F$32*(365/12)),1)*(1-($F23*MAX((180-(Y$5-$H$5))/180,0)))</f>
        <v>0</v>
      </c>
      <c r="Z23" s="46">
        <f>MIN(MAX(Z$5-$E23,0)/('Salon Model'!$F$32*(365/12)),1)*(1-($F23*MAX((180-(Z$5-$H$5))/180,0)))</f>
        <v>0</v>
      </c>
      <c r="AA23" s="46">
        <f>MIN(MAX(AA$5-$E23,0)/('Salon Model'!$F$32*(365/12)),1)*(1-($F23*MAX((180-(AA$5-$H$5))/180,0)))</f>
        <v>0</v>
      </c>
      <c r="AB23" s="46">
        <f>MIN(MAX(AB$5-$E23,0)/('Salon Model'!$F$32*(365/12)),1)*(1-($F23*MAX((180-(AB$5-$H$5))/180,0)))</f>
        <v>0</v>
      </c>
      <c r="AC23" s="46">
        <f>MIN(MAX(AC$5-$E23,0)/('Salon Model'!$F$32*(365/12)),1)*(1-($F23*MAX((180-(AC$5-$H$5))/180,0)))</f>
        <v>0</v>
      </c>
      <c r="AD23" s="46">
        <f>MIN(MAX(AD$5-$E23,0)/('Salon Model'!$F$32*(365/12)),1)*(1-($F23*MAX((180-(AD$5-$H$5))/180,0)))</f>
        <v>0</v>
      </c>
      <c r="AE23" s="46">
        <f>MIN(MAX(AE$5-$E23,0)/('Salon Model'!$F$32*(365/12)),1)*(1-($F23*MAX((180-(AE$5-$H$5))/180,0)))</f>
        <v>0</v>
      </c>
      <c r="AF23" s="46">
        <f>MIN(MAX(AF$5-$E23,0)/('Salon Model'!$F$32*(365/12)),1)*(1-($F23*MAX((180-(AF$5-$H$5))/180,0)))</f>
        <v>0.37534246575342467</v>
      </c>
    </row>
    <row r="24" spans="2:32" hidden="1">
      <c r="B24" s="7" t="s">
        <v>241</v>
      </c>
      <c r="C24" s="7"/>
      <c r="D24" s="7"/>
      <c r="E24" s="93">
        <v>43647</v>
      </c>
      <c r="F24" s="6">
        <v>0</v>
      </c>
      <c r="H24" s="46">
        <f>MIN(MAX(H$5-$E24,0)/('Salon Model'!$F$32*(365/12)),1)*(1-($F24*MAX((180-(H$5-$H$5))/180,0)))</f>
        <v>0</v>
      </c>
      <c r="I24" s="46">
        <f>MIN(MAX(I$5-$E24,0)/('Salon Model'!$F$32*(365/12)),1)*(1-($F24*MAX((180-(I$5-$H$5))/180,0)))</f>
        <v>0</v>
      </c>
      <c r="J24" s="46">
        <f>MIN(MAX(J$5-$E24,0)/('Salon Model'!$F$32*(365/12)),1)*(1-($F24*MAX((180-(J$5-$H$5))/180,0)))</f>
        <v>0</v>
      </c>
      <c r="K24" s="46">
        <f>MIN(MAX(K$5-$E24,0)/('Salon Model'!$F$32*(365/12)),1)*(1-($F24*MAX((180-(K$5-$H$5))/180,0)))</f>
        <v>0</v>
      </c>
      <c r="L24" s="46">
        <f>MIN(MAX(L$5-$E24,0)/('Salon Model'!$F$32*(365/12)),1)*(1-($F24*MAX((180-(L$5-$H$5))/180,0)))</f>
        <v>0</v>
      </c>
      <c r="M24" s="46">
        <f>MIN(MAX(M$5-$E24,0)/('Salon Model'!$F$32*(365/12)),1)*(1-($F24*MAX((180-(M$5-$H$5))/180,0)))</f>
        <v>0</v>
      </c>
      <c r="N24" s="46">
        <f>MIN(MAX(N$5-$E24,0)/('Salon Model'!$F$32*(365/12)),1)*(1-($F24*MAX((180-(N$5-$H$5))/180,0)))</f>
        <v>0</v>
      </c>
      <c r="O24" s="46">
        <f>MIN(MAX(O$5-$E24,0)/('Salon Model'!$F$32*(365/12)),1)*(1-($F24*MAX((180-(O$5-$H$5))/180,0)))</f>
        <v>0</v>
      </c>
      <c r="P24" s="46">
        <f>MIN(MAX(P$5-$E24,0)/('Salon Model'!$F$32*(365/12)),1)*(1-($F24*MAX((180-(P$5-$H$5))/180,0)))</f>
        <v>0</v>
      </c>
      <c r="Q24" s="46">
        <f>MIN(MAX(Q$5-$E24,0)/('Salon Model'!$F$32*(365/12)),1)*(1-($F24*MAX((180-(Q$5-$H$5))/180,0)))</f>
        <v>0</v>
      </c>
      <c r="R24" s="46">
        <f>MIN(MAX(R$5-$E24,0)/('Salon Model'!$F$32*(365/12)),1)*(1-($F24*MAX((180-(R$5-$H$5))/180,0)))</f>
        <v>0</v>
      </c>
      <c r="S24" s="46">
        <f>MIN(MAX(S$5-$E24,0)/('Salon Model'!$F$32*(365/12)),1)*(1-($F24*MAX((180-(S$5-$H$5))/180,0)))</f>
        <v>0</v>
      </c>
      <c r="T24" s="46">
        <f>MIN(MAX(T$5-$E24,0)/('Salon Model'!$F$32*(365/12)),1)*(1-($F24*MAX((180-(T$5-$H$5))/180,0)))</f>
        <v>0</v>
      </c>
      <c r="U24" s="46">
        <f>MIN(MAX(U$5-$E24,0)/('Salon Model'!$F$32*(365/12)),1)*(1-($F24*MAX((180-(U$5-$H$5))/180,0)))</f>
        <v>0</v>
      </c>
      <c r="V24" s="46">
        <f>MIN(MAX(V$5-$E24,0)/('Salon Model'!$F$32*(365/12)),1)*(1-($F24*MAX((180-(V$5-$H$5))/180,0)))</f>
        <v>0</v>
      </c>
      <c r="W24" s="46">
        <f>MIN(MAX(W$5-$E24,0)/('Salon Model'!$F$32*(365/12)),1)*(1-($F24*MAX((180-(W$5-$H$5))/180,0)))</f>
        <v>0</v>
      </c>
      <c r="X24" s="46">
        <f>MIN(MAX(X$5-$E24,0)/('Salon Model'!$F$32*(365/12)),1)*(1-($F24*MAX((180-(X$5-$H$5))/180,0)))</f>
        <v>0</v>
      </c>
      <c r="Y24" s="46">
        <f>MIN(MAX(Y$5-$E24,0)/('Salon Model'!$F$32*(365/12)),1)*(1-($F24*MAX((180-(Y$5-$H$5))/180,0)))</f>
        <v>0</v>
      </c>
      <c r="Z24" s="46">
        <f>MIN(MAX(Z$5-$E24,0)/('Salon Model'!$F$32*(365/12)),1)*(1-($F24*MAX((180-(Z$5-$H$5))/180,0)))</f>
        <v>0</v>
      </c>
      <c r="AA24" s="46">
        <f>MIN(MAX(AA$5-$E24,0)/('Salon Model'!$F$32*(365/12)),1)*(1-($F24*MAX((180-(AA$5-$H$5))/180,0)))</f>
        <v>0</v>
      </c>
      <c r="AB24" s="46">
        <f>MIN(MAX(AB$5-$E24,0)/('Salon Model'!$F$32*(365/12)),1)*(1-($F24*MAX((180-(AB$5-$H$5))/180,0)))</f>
        <v>0</v>
      </c>
      <c r="AC24" s="46">
        <f>MIN(MAX(AC$5-$E24,0)/('Salon Model'!$F$32*(365/12)),1)*(1-($F24*MAX((180-(AC$5-$H$5))/180,0)))</f>
        <v>0</v>
      </c>
      <c r="AD24" s="46">
        <f>MIN(MAX(AD$5-$E24,0)/('Salon Model'!$F$32*(365/12)),1)*(1-($F24*MAX((180-(AD$5-$H$5))/180,0)))</f>
        <v>0</v>
      </c>
      <c r="AE24" s="46">
        <f>MIN(MAX(AE$5-$E24,0)/('Salon Model'!$F$32*(365/12)),1)*(1-($F24*MAX((180-(AE$5-$H$5))/180,0)))</f>
        <v>0</v>
      </c>
      <c r="AF24" s="46">
        <f>MIN(MAX(AF$5-$E24,0)/('Salon Model'!$F$32*(365/12)),1)*(1-($F24*MAX((180-(AF$5-$H$5))/180,0)))</f>
        <v>0.25068493150684934</v>
      </c>
    </row>
    <row r="25" spans="2:32" hidden="1">
      <c r="B25" s="7" t="s">
        <v>242</v>
      </c>
      <c r="C25" s="7"/>
      <c r="D25" s="7"/>
      <c r="E25" s="91">
        <v>43739</v>
      </c>
      <c r="F25" s="6">
        <v>0</v>
      </c>
      <c r="H25" s="46">
        <f>MIN(MAX(H$5-$E25,0)/('Salon Model'!$F$32*(365/12)),1)*(1-($F25*MAX((180-(H$5-$H$5))/180,0)))</f>
        <v>0</v>
      </c>
      <c r="I25" s="46">
        <f>MIN(MAX(I$5-$E25,0)/('Salon Model'!$F$32*(365/12)),1)*(1-($F25*MAX((180-(I$5-$H$5))/180,0)))</f>
        <v>0</v>
      </c>
      <c r="J25" s="46">
        <f>MIN(MAX(J$5-$E25,0)/('Salon Model'!$F$32*(365/12)),1)*(1-($F25*MAX((180-(J$5-$H$5))/180,0)))</f>
        <v>0</v>
      </c>
      <c r="K25" s="46">
        <f>MIN(MAX(K$5-$E25,0)/('Salon Model'!$F$32*(365/12)),1)*(1-($F25*MAX((180-(K$5-$H$5))/180,0)))</f>
        <v>0</v>
      </c>
      <c r="L25" s="46">
        <f>MIN(MAX(L$5-$E25,0)/('Salon Model'!$F$32*(365/12)),1)*(1-($F25*MAX((180-(L$5-$H$5))/180,0)))</f>
        <v>0</v>
      </c>
      <c r="M25" s="46">
        <f>MIN(MAX(M$5-$E25,0)/('Salon Model'!$F$32*(365/12)),1)*(1-($F25*MAX((180-(M$5-$H$5))/180,0)))</f>
        <v>0</v>
      </c>
      <c r="N25" s="46">
        <f>MIN(MAX(N$5-$E25,0)/('Salon Model'!$F$32*(365/12)),1)*(1-($F25*MAX((180-(N$5-$H$5))/180,0)))</f>
        <v>0</v>
      </c>
      <c r="O25" s="46">
        <f>MIN(MAX(O$5-$E25,0)/('Salon Model'!$F$32*(365/12)),1)*(1-($F25*MAX((180-(O$5-$H$5))/180,0)))</f>
        <v>0</v>
      </c>
      <c r="P25" s="46">
        <f>MIN(MAX(P$5-$E25,0)/('Salon Model'!$F$32*(365/12)),1)*(1-($F25*MAX((180-(P$5-$H$5))/180,0)))</f>
        <v>0</v>
      </c>
      <c r="Q25" s="46">
        <f>MIN(MAX(Q$5-$E25,0)/('Salon Model'!$F$32*(365/12)),1)*(1-($F25*MAX((180-(Q$5-$H$5))/180,0)))</f>
        <v>0</v>
      </c>
      <c r="R25" s="46">
        <f>MIN(MAX(R$5-$E25,0)/('Salon Model'!$F$32*(365/12)),1)*(1-($F25*MAX((180-(R$5-$H$5))/180,0)))</f>
        <v>0</v>
      </c>
      <c r="S25" s="46">
        <f>MIN(MAX(S$5-$E25,0)/('Salon Model'!$F$32*(365/12)),1)*(1-($F25*MAX((180-(S$5-$H$5))/180,0)))</f>
        <v>0</v>
      </c>
      <c r="T25" s="46">
        <f>MIN(MAX(T$5-$E25,0)/('Salon Model'!$F$32*(365/12)),1)*(1-($F25*MAX((180-(T$5-$H$5))/180,0)))</f>
        <v>0</v>
      </c>
      <c r="U25" s="46">
        <f>MIN(MAX(U$5-$E25,0)/('Salon Model'!$F$32*(365/12)),1)*(1-($F25*MAX((180-(U$5-$H$5))/180,0)))</f>
        <v>0</v>
      </c>
      <c r="V25" s="46">
        <f>MIN(MAX(V$5-$E25,0)/('Salon Model'!$F$32*(365/12)),1)*(1-($F25*MAX((180-(V$5-$H$5))/180,0)))</f>
        <v>0</v>
      </c>
      <c r="W25" s="46">
        <f>MIN(MAX(W$5-$E25,0)/('Salon Model'!$F$32*(365/12)),1)*(1-($F25*MAX((180-(W$5-$H$5))/180,0)))</f>
        <v>0</v>
      </c>
      <c r="X25" s="46">
        <f>MIN(MAX(X$5-$E25,0)/('Salon Model'!$F$32*(365/12)),1)*(1-($F25*MAX((180-(X$5-$H$5))/180,0)))</f>
        <v>0</v>
      </c>
      <c r="Y25" s="46">
        <f>MIN(MAX(Y$5-$E25,0)/('Salon Model'!$F$32*(365/12)),1)*(1-($F25*MAX((180-(Y$5-$H$5))/180,0)))</f>
        <v>0</v>
      </c>
      <c r="Z25" s="46">
        <f>MIN(MAX(Z$5-$E25,0)/('Salon Model'!$F$32*(365/12)),1)*(1-($F25*MAX((180-(Z$5-$H$5))/180,0)))</f>
        <v>0</v>
      </c>
      <c r="AA25" s="46">
        <f>MIN(MAX(AA$5-$E25,0)/('Salon Model'!$F$32*(365/12)),1)*(1-($F25*MAX((180-(AA$5-$H$5))/180,0)))</f>
        <v>0</v>
      </c>
      <c r="AB25" s="46">
        <f>MIN(MAX(AB$5-$E25,0)/('Salon Model'!$F$32*(365/12)),1)*(1-($F25*MAX((180-(AB$5-$H$5))/180,0)))</f>
        <v>0</v>
      </c>
      <c r="AC25" s="46">
        <f>MIN(MAX(AC$5-$E25,0)/('Salon Model'!$F$32*(365/12)),1)*(1-($F25*MAX((180-(AC$5-$H$5))/180,0)))</f>
        <v>0</v>
      </c>
      <c r="AD25" s="46">
        <f>MIN(MAX(AD$5-$E25,0)/('Salon Model'!$F$32*(365/12)),1)*(1-($F25*MAX((180-(AD$5-$H$5))/180,0)))</f>
        <v>0</v>
      </c>
      <c r="AE25" s="46">
        <f>MIN(MAX(AE$5-$E25,0)/('Salon Model'!$F$32*(365/12)),1)*(1-($F25*MAX((180-(AE$5-$H$5))/180,0)))</f>
        <v>0</v>
      </c>
      <c r="AF25" s="46">
        <f>MIN(MAX(AF$5-$E25,0)/('Salon Model'!$F$32*(365/12)),1)*(1-($F25*MAX((180-(AF$5-$H$5))/180,0)))</f>
        <v>0.12465753424657534</v>
      </c>
    </row>
    <row r="26" spans="2:32" hidden="1">
      <c r="B26" s="7" t="s">
        <v>243</v>
      </c>
      <c r="C26" s="7"/>
      <c r="D26" s="7"/>
      <c r="E26" s="93">
        <v>43831</v>
      </c>
      <c r="F26" s="6">
        <v>0</v>
      </c>
      <c r="H26" s="46">
        <f>MIN(MAX(H$5-$E26,0)/('Salon Model'!$F$32*(365/12)),1)*(1-($F26*MAX((180-(H$5-$H$5))/180,0)))</f>
        <v>0</v>
      </c>
      <c r="I26" s="46">
        <f>MIN(MAX(I$5-$E26,0)/('Salon Model'!$F$32*(365/12)),1)*(1-($F26*MAX((180-(I$5-$H$5))/180,0)))</f>
        <v>0</v>
      </c>
      <c r="J26" s="46">
        <f>MIN(MAX(J$5-$E26,0)/('Salon Model'!$F$32*(365/12)),1)*(1-($F26*MAX((180-(J$5-$H$5))/180,0)))</f>
        <v>0</v>
      </c>
      <c r="K26" s="46">
        <f>MIN(MAX(K$5-$E26,0)/('Salon Model'!$F$32*(365/12)),1)*(1-($F26*MAX((180-(K$5-$H$5))/180,0)))</f>
        <v>0</v>
      </c>
      <c r="L26" s="46">
        <f>MIN(MAX(L$5-$E26,0)/('Salon Model'!$F$32*(365/12)),1)*(1-($F26*MAX((180-(L$5-$H$5))/180,0)))</f>
        <v>0</v>
      </c>
      <c r="M26" s="46">
        <f>MIN(MAX(M$5-$E26,0)/('Salon Model'!$F$32*(365/12)),1)*(1-($F26*MAX((180-(M$5-$H$5))/180,0)))</f>
        <v>0</v>
      </c>
      <c r="N26" s="46">
        <f>MIN(MAX(N$5-$E26,0)/('Salon Model'!$F$32*(365/12)),1)*(1-($F26*MAX((180-(N$5-$H$5))/180,0)))</f>
        <v>0</v>
      </c>
      <c r="O26" s="46">
        <f>MIN(MAX(O$5-$E26,0)/('Salon Model'!$F$32*(365/12)),1)*(1-($F26*MAX((180-(O$5-$H$5))/180,0)))</f>
        <v>0</v>
      </c>
      <c r="P26" s="46">
        <f>MIN(MAX(P$5-$E26,0)/('Salon Model'!$F$32*(365/12)),1)*(1-($F26*MAX((180-(P$5-$H$5))/180,0)))</f>
        <v>0</v>
      </c>
      <c r="Q26" s="46">
        <f>MIN(MAX(Q$5-$E26,0)/('Salon Model'!$F$32*(365/12)),1)*(1-($F26*MAX((180-(Q$5-$H$5))/180,0)))</f>
        <v>0</v>
      </c>
      <c r="R26" s="46">
        <f>MIN(MAX(R$5-$E26,0)/('Salon Model'!$F$32*(365/12)),1)*(1-($F26*MAX((180-(R$5-$H$5))/180,0)))</f>
        <v>0</v>
      </c>
      <c r="S26" s="46">
        <f>MIN(MAX(S$5-$E26,0)/('Salon Model'!$F$32*(365/12)),1)*(1-($F26*MAX((180-(S$5-$H$5))/180,0)))</f>
        <v>0</v>
      </c>
      <c r="T26" s="46">
        <f>MIN(MAX(T$5-$E26,0)/('Salon Model'!$F$32*(365/12)),1)*(1-($F26*MAX((180-(T$5-$H$5))/180,0)))</f>
        <v>0</v>
      </c>
      <c r="U26" s="46">
        <f>MIN(MAX(U$5-$E26,0)/('Salon Model'!$F$32*(365/12)),1)*(1-($F26*MAX((180-(U$5-$H$5))/180,0)))</f>
        <v>0</v>
      </c>
      <c r="V26" s="46">
        <f>MIN(MAX(V$5-$E26,0)/('Salon Model'!$F$32*(365/12)),1)*(1-($F26*MAX((180-(V$5-$H$5))/180,0)))</f>
        <v>0</v>
      </c>
      <c r="W26" s="46">
        <f>MIN(MAX(W$5-$E26,0)/('Salon Model'!$F$32*(365/12)),1)*(1-($F26*MAX((180-(W$5-$H$5))/180,0)))</f>
        <v>0</v>
      </c>
      <c r="X26" s="46">
        <f>MIN(MAX(X$5-$E26,0)/('Salon Model'!$F$32*(365/12)),1)*(1-($F26*MAX((180-(X$5-$H$5))/180,0)))</f>
        <v>0</v>
      </c>
      <c r="Y26" s="46">
        <f>MIN(MAX(Y$5-$E26,0)/('Salon Model'!$F$32*(365/12)),1)*(1-($F26*MAX((180-(Y$5-$H$5))/180,0)))</f>
        <v>0</v>
      </c>
      <c r="Z26" s="46">
        <f>MIN(MAX(Z$5-$E26,0)/('Salon Model'!$F$32*(365/12)),1)*(1-($F26*MAX((180-(Z$5-$H$5))/180,0)))</f>
        <v>0</v>
      </c>
      <c r="AA26" s="46">
        <f>MIN(MAX(AA$5-$E26,0)/('Salon Model'!$F$32*(365/12)),1)*(1-($F26*MAX((180-(AA$5-$H$5))/180,0)))</f>
        <v>0</v>
      </c>
      <c r="AB26" s="46">
        <f>MIN(MAX(AB$5-$E26,0)/('Salon Model'!$F$32*(365/12)),1)*(1-($F26*MAX((180-(AB$5-$H$5))/180,0)))</f>
        <v>0</v>
      </c>
      <c r="AC26" s="46">
        <f>MIN(MAX(AC$5-$E26,0)/('Salon Model'!$F$32*(365/12)),1)*(1-($F26*MAX((180-(AC$5-$H$5))/180,0)))</f>
        <v>0</v>
      </c>
      <c r="AD26" s="46">
        <f>MIN(MAX(AD$5-$E26,0)/('Salon Model'!$F$32*(365/12)),1)*(1-($F26*MAX((180-(AD$5-$H$5))/180,0)))</f>
        <v>0</v>
      </c>
      <c r="AE26" s="46">
        <f>MIN(MAX(AE$5-$E26,0)/('Salon Model'!$F$32*(365/12)),1)*(1-($F26*MAX((180-(AE$5-$H$5))/180,0)))</f>
        <v>0</v>
      </c>
      <c r="AF26" s="46">
        <f>MIN(MAX(AF$5-$E26,0)/('Salon Model'!$F$32*(365/12)),1)*(1-($F26*MAX((180-(AF$5-$H$5))/180,0)))</f>
        <v>0</v>
      </c>
    </row>
    <row r="27" spans="2:32" hidden="1">
      <c r="B27" s="7" t="s">
        <v>244</v>
      </c>
      <c r="C27" s="7"/>
      <c r="D27" s="7"/>
      <c r="E27" s="93">
        <v>43922</v>
      </c>
      <c r="F27" s="6">
        <v>0</v>
      </c>
      <c r="H27" s="46">
        <f>MIN(MAX(H$5-$E27,0)/('Salon Model'!$F$32*(365/12)),1)*(1-($F27*MAX((180-(H$5-$H$5))/180,0)))</f>
        <v>0</v>
      </c>
      <c r="I27" s="46">
        <f>MIN(MAX(I$5-$E27,0)/('Salon Model'!$F$32*(365/12)),1)*(1-($F27*MAX((180-(I$5-$H$5))/180,0)))</f>
        <v>0</v>
      </c>
      <c r="J27" s="46">
        <f>MIN(MAX(J$5-$E27,0)/('Salon Model'!$F$32*(365/12)),1)*(1-($F27*MAX((180-(J$5-$H$5))/180,0)))</f>
        <v>0</v>
      </c>
      <c r="K27" s="46">
        <f>MIN(MAX(K$5-$E27,0)/('Salon Model'!$F$32*(365/12)),1)*(1-($F27*MAX((180-(K$5-$H$5))/180,0)))</f>
        <v>0</v>
      </c>
      <c r="L27" s="46">
        <f>MIN(MAX(L$5-$E27,0)/('Salon Model'!$F$32*(365/12)),1)*(1-($F27*MAX((180-(L$5-$H$5))/180,0)))</f>
        <v>0</v>
      </c>
      <c r="M27" s="46">
        <f>MIN(MAX(M$5-$E27,0)/('Salon Model'!$F$32*(365/12)),1)*(1-($F27*MAX((180-(M$5-$H$5))/180,0)))</f>
        <v>0</v>
      </c>
      <c r="N27" s="46">
        <f>MIN(MAX(N$5-$E27,0)/('Salon Model'!$F$32*(365/12)),1)*(1-($F27*MAX((180-(N$5-$H$5))/180,0)))</f>
        <v>0</v>
      </c>
      <c r="O27" s="46">
        <f>MIN(MAX(O$5-$E27,0)/('Salon Model'!$F$32*(365/12)),1)*(1-($F27*MAX((180-(O$5-$H$5))/180,0)))</f>
        <v>0</v>
      </c>
      <c r="P27" s="46">
        <f>MIN(MAX(P$5-$E27,0)/('Salon Model'!$F$32*(365/12)),1)*(1-($F27*MAX((180-(P$5-$H$5))/180,0)))</f>
        <v>0</v>
      </c>
      <c r="Q27" s="46">
        <f>MIN(MAX(Q$5-$E27,0)/('Salon Model'!$F$32*(365/12)),1)*(1-($F27*MAX((180-(Q$5-$H$5))/180,0)))</f>
        <v>0</v>
      </c>
      <c r="R27" s="46">
        <f>MIN(MAX(R$5-$E27,0)/('Salon Model'!$F$32*(365/12)),1)*(1-($F27*MAX((180-(R$5-$H$5))/180,0)))</f>
        <v>0</v>
      </c>
      <c r="S27" s="46">
        <f>MIN(MAX(S$5-$E27,0)/('Salon Model'!$F$32*(365/12)),1)*(1-($F27*MAX((180-(S$5-$H$5))/180,0)))</f>
        <v>0</v>
      </c>
      <c r="T27" s="46">
        <f>MIN(MAX(T$5-$E27,0)/('Salon Model'!$F$32*(365/12)),1)*(1-($F27*MAX((180-(T$5-$H$5))/180,0)))</f>
        <v>0</v>
      </c>
      <c r="U27" s="46">
        <f>MIN(MAX(U$5-$E27,0)/('Salon Model'!$F$32*(365/12)),1)*(1-($F27*MAX((180-(U$5-$H$5))/180,0)))</f>
        <v>0</v>
      </c>
      <c r="V27" s="46">
        <f>MIN(MAX(V$5-$E27,0)/('Salon Model'!$F$32*(365/12)),1)*(1-($F27*MAX((180-(V$5-$H$5))/180,0)))</f>
        <v>0</v>
      </c>
      <c r="W27" s="46">
        <f>MIN(MAX(W$5-$E27,0)/('Salon Model'!$F$32*(365/12)),1)*(1-($F27*MAX((180-(W$5-$H$5))/180,0)))</f>
        <v>0</v>
      </c>
      <c r="X27" s="46">
        <f>MIN(MAX(X$5-$E27,0)/('Salon Model'!$F$32*(365/12)),1)*(1-($F27*MAX((180-(X$5-$H$5))/180,0)))</f>
        <v>0</v>
      </c>
      <c r="Y27" s="46">
        <f>MIN(MAX(Y$5-$E27,0)/('Salon Model'!$F$32*(365/12)),1)*(1-($F27*MAX((180-(Y$5-$H$5))/180,0)))</f>
        <v>0</v>
      </c>
      <c r="Z27" s="46">
        <f>MIN(MAX(Z$5-$E27,0)/('Salon Model'!$F$32*(365/12)),1)*(1-($F27*MAX((180-(Z$5-$H$5))/180,0)))</f>
        <v>0</v>
      </c>
      <c r="AA27" s="46">
        <f>MIN(MAX(AA$5-$E27,0)/('Salon Model'!$F$32*(365/12)),1)*(1-($F27*MAX((180-(AA$5-$H$5))/180,0)))</f>
        <v>0</v>
      </c>
      <c r="AB27" s="46">
        <f>MIN(MAX(AB$5-$E27,0)/('Salon Model'!$F$32*(365/12)),1)*(1-($F27*MAX((180-(AB$5-$H$5))/180,0)))</f>
        <v>0</v>
      </c>
      <c r="AC27" s="46">
        <f>MIN(MAX(AC$5-$E27,0)/('Salon Model'!$F$32*(365/12)),1)*(1-($F27*MAX((180-(AC$5-$H$5))/180,0)))</f>
        <v>0</v>
      </c>
      <c r="AD27" s="46">
        <f>MIN(MAX(AD$5-$E27,0)/('Salon Model'!$F$32*(365/12)),1)*(1-($F27*MAX((180-(AD$5-$H$5))/180,0)))</f>
        <v>0</v>
      </c>
      <c r="AE27" s="46">
        <f>MIN(MAX(AE$5-$E27,0)/('Salon Model'!$F$32*(365/12)),1)*(1-($F27*MAX((180-(AE$5-$H$5))/180,0)))</f>
        <v>0</v>
      </c>
      <c r="AF27" s="46">
        <f>MIN(MAX(AF$5-$E27,0)/('Salon Model'!$F$32*(365/12)),1)*(1-($F27*MAX((180-(AF$5-$H$5))/180,0)))</f>
        <v>0</v>
      </c>
    </row>
    <row r="28" spans="2:32" hidden="1">
      <c r="B28" s="7" t="s">
        <v>245</v>
      </c>
      <c r="C28" s="7"/>
      <c r="D28" s="7"/>
      <c r="E28" s="91">
        <v>44013</v>
      </c>
      <c r="F28" s="6">
        <v>0</v>
      </c>
      <c r="H28" s="46">
        <f>MIN(MAX(H$5-$E28,0)/('Salon Model'!$F$32*(365/12)),1)*(1-($F28*MAX((180-(H$5-$H$5))/180,0)))</f>
        <v>0</v>
      </c>
      <c r="I28" s="46">
        <f>MIN(MAX(I$5-$E28,0)/('Salon Model'!$F$32*(365/12)),1)*(1-($F28*MAX((180-(I$5-$H$5))/180,0)))</f>
        <v>0</v>
      </c>
      <c r="J28" s="46">
        <f>MIN(MAX(J$5-$E28,0)/('Salon Model'!$F$32*(365/12)),1)*(1-($F28*MAX((180-(J$5-$H$5))/180,0)))</f>
        <v>0</v>
      </c>
      <c r="K28" s="46">
        <f>MIN(MAX(K$5-$E28,0)/('Salon Model'!$F$32*(365/12)),1)*(1-($F28*MAX((180-(K$5-$H$5))/180,0)))</f>
        <v>0</v>
      </c>
      <c r="L28" s="46">
        <f>MIN(MAX(L$5-$E28,0)/('Salon Model'!$F$32*(365/12)),1)*(1-($F28*MAX((180-(L$5-$H$5))/180,0)))</f>
        <v>0</v>
      </c>
      <c r="M28" s="46">
        <f>MIN(MAX(M$5-$E28,0)/('Salon Model'!$F$32*(365/12)),1)*(1-($F28*MAX((180-(M$5-$H$5))/180,0)))</f>
        <v>0</v>
      </c>
      <c r="N28" s="46">
        <f>MIN(MAX(N$5-$E28,0)/('Salon Model'!$F$32*(365/12)),1)*(1-($F28*MAX((180-(N$5-$H$5))/180,0)))</f>
        <v>0</v>
      </c>
      <c r="O28" s="46">
        <f>MIN(MAX(O$5-$E28,0)/('Salon Model'!$F$32*(365/12)),1)*(1-($F28*MAX((180-(O$5-$H$5))/180,0)))</f>
        <v>0</v>
      </c>
      <c r="P28" s="46">
        <f>MIN(MAX(P$5-$E28,0)/('Salon Model'!$F$32*(365/12)),1)*(1-($F28*MAX((180-(P$5-$H$5))/180,0)))</f>
        <v>0</v>
      </c>
      <c r="Q28" s="46">
        <f>MIN(MAX(Q$5-$E28,0)/('Salon Model'!$F$32*(365/12)),1)*(1-($F28*MAX((180-(Q$5-$H$5))/180,0)))</f>
        <v>0</v>
      </c>
      <c r="R28" s="46">
        <f>MIN(MAX(R$5-$E28,0)/('Salon Model'!$F$32*(365/12)),1)*(1-($F28*MAX((180-(R$5-$H$5))/180,0)))</f>
        <v>0</v>
      </c>
      <c r="S28" s="46">
        <f>MIN(MAX(S$5-$E28,0)/('Salon Model'!$F$32*(365/12)),1)*(1-($F28*MAX((180-(S$5-$H$5))/180,0)))</f>
        <v>0</v>
      </c>
      <c r="T28" s="46">
        <f>MIN(MAX(T$5-$E28,0)/('Salon Model'!$F$32*(365/12)),1)*(1-($F28*MAX((180-(T$5-$H$5))/180,0)))</f>
        <v>0</v>
      </c>
      <c r="U28" s="46">
        <f>MIN(MAX(U$5-$E28,0)/('Salon Model'!$F$32*(365/12)),1)*(1-($F28*MAX((180-(U$5-$H$5))/180,0)))</f>
        <v>0</v>
      </c>
      <c r="V28" s="46">
        <f>MIN(MAX(V$5-$E28,0)/('Salon Model'!$F$32*(365/12)),1)*(1-($F28*MAX((180-(V$5-$H$5))/180,0)))</f>
        <v>0</v>
      </c>
      <c r="W28" s="46">
        <f>MIN(MAX(W$5-$E28,0)/('Salon Model'!$F$32*(365/12)),1)*(1-($F28*MAX((180-(W$5-$H$5))/180,0)))</f>
        <v>0</v>
      </c>
      <c r="X28" s="46">
        <f>MIN(MAX(X$5-$E28,0)/('Salon Model'!$F$32*(365/12)),1)*(1-($F28*MAX((180-(X$5-$H$5))/180,0)))</f>
        <v>0</v>
      </c>
      <c r="Y28" s="46">
        <f>MIN(MAX(Y$5-$E28,0)/('Salon Model'!$F$32*(365/12)),1)*(1-($F28*MAX((180-(Y$5-$H$5))/180,0)))</f>
        <v>0</v>
      </c>
      <c r="Z28" s="46">
        <f>MIN(MAX(Z$5-$E28,0)/('Salon Model'!$F$32*(365/12)),1)*(1-($F28*MAX((180-(Z$5-$H$5))/180,0)))</f>
        <v>0</v>
      </c>
      <c r="AA28" s="46">
        <f>MIN(MAX(AA$5-$E28,0)/('Salon Model'!$F$32*(365/12)),1)*(1-($F28*MAX((180-(AA$5-$H$5))/180,0)))</f>
        <v>0</v>
      </c>
      <c r="AB28" s="46">
        <f>MIN(MAX(AB$5-$E28,0)/('Salon Model'!$F$32*(365/12)),1)*(1-($F28*MAX((180-(AB$5-$H$5))/180,0)))</f>
        <v>0</v>
      </c>
      <c r="AC28" s="46">
        <f>MIN(MAX(AC$5-$E28,0)/('Salon Model'!$F$32*(365/12)),1)*(1-($F28*MAX((180-(AC$5-$H$5))/180,0)))</f>
        <v>0</v>
      </c>
      <c r="AD28" s="46">
        <f>MIN(MAX(AD$5-$E28,0)/('Salon Model'!$F$32*(365/12)),1)*(1-($F28*MAX((180-(AD$5-$H$5))/180,0)))</f>
        <v>0</v>
      </c>
      <c r="AE28" s="46">
        <f>MIN(MAX(AE$5-$E28,0)/('Salon Model'!$F$32*(365/12)),1)*(1-($F28*MAX((180-(AE$5-$H$5))/180,0)))</f>
        <v>0</v>
      </c>
      <c r="AF28" s="46">
        <f>MIN(MAX(AF$5-$E28,0)/('Salon Model'!$F$32*(365/12)),1)*(1-($F28*MAX((180-(AF$5-$H$5))/180,0)))</f>
        <v>0</v>
      </c>
    </row>
    <row r="29" spans="2:32" hidden="1">
      <c r="B29" s="7" t="s">
        <v>246</v>
      </c>
      <c r="C29" s="7"/>
      <c r="D29" s="7"/>
      <c r="E29" s="93">
        <v>44105</v>
      </c>
      <c r="F29" s="6">
        <v>0</v>
      </c>
      <c r="H29" s="46">
        <f>MIN(MAX(H$5-$E29,0)/('Salon Model'!$F$32*(365/12)),1)*(1-($F29*MAX((180-(H$5-$H$5))/180,0)))</f>
        <v>0</v>
      </c>
      <c r="I29" s="46">
        <f>MIN(MAX(I$5-$E29,0)/('Salon Model'!$F$32*(365/12)),1)*(1-($F29*MAX((180-(I$5-$H$5))/180,0)))</f>
        <v>0</v>
      </c>
      <c r="J29" s="46">
        <f>MIN(MAX(J$5-$E29,0)/('Salon Model'!$F$32*(365/12)),1)*(1-($F29*MAX((180-(J$5-$H$5))/180,0)))</f>
        <v>0</v>
      </c>
      <c r="K29" s="46">
        <f>MIN(MAX(K$5-$E29,0)/('Salon Model'!$F$32*(365/12)),1)*(1-($F29*MAX((180-(K$5-$H$5))/180,0)))</f>
        <v>0</v>
      </c>
      <c r="L29" s="46">
        <f>MIN(MAX(L$5-$E29,0)/('Salon Model'!$F$32*(365/12)),1)*(1-($F29*MAX((180-(L$5-$H$5))/180,0)))</f>
        <v>0</v>
      </c>
      <c r="M29" s="46">
        <f>MIN(MAX(M$5-$E29,0)/('Salon Model'!$F$32*(365/12)),1)*(1-($F29*MAX((180-(M$5-$H$5))/180,0)))</f>
        <v>0</v>
      </c>
      <c r="N29" s="46">
        <f>MIN(MAX(N$5-$E29,0)/('Salon Model'!$F$32*(365/12)),1)*(1-($F29*MAX((180-(N$5-$H$5))/180,0)))</f>
        <v>0</v>
      </c>
      <c r="O29" s="46">
        <f>MIN(MAX(O$5-$E29,0)/('Salon Model'!$F$32*(365/12)),1)*(1-($F29*MAX((180-(O$5-$H$5))/180,0)))</f>
        <v>0</v>
      </c>
      <c r="P29" s="46">
        <f>MIN(MAX(P$5-$E29,0)/('Salon Model'!$F$32*(365/12)),1)*(1-($F29*MAX((180-(P$5-$H$5))/180,0)))</f>
        <v>0</v>
      </c>
      <c r="Q29" s="46">
        <f>MIN(MAX(Q$5-$E29,0)/('Salon Model'!$F$32*(365/12)),1)*(1-($F29*MAX((180-(Q$5-$H$5))/180,0)))</f>
        <v>0</v>
      </c>
      <c r="R29" s="46">
        <f>MIN(MAX(R$5-$E29,0)/('Salon Model'!$F$32*(365/12)),1)*(1-($F29*MAX((180-(R$5-$H$5))/180,0)))</f>
        <v>0</v>
      </c>
      <c r="S29" s="46">
        <f>MIN(MAX(S$5-$E29,0)/('Salon Model'!$F$32*(365/12)),1)*(1-($F29*MAX((180-(S$5-$H$5))/180,0)))</f>
        <v>0</v>
      </c>
      <c r="T29" s="46">
        <f>MIN(MAX(T$5-$E29,0)/('Salon Model'!$F$32*(365/12)),1)*(1-($F29*MAX((180-(T$5-$H$5))/180,0)))</f>
        <v>0</v>
      </c>
      <c r="U29" s="46">
        <f>MIN(MAX(U$5-$E29,0)/('Salon Model'!$F$32*(365/12)),1)*(1-($F29*MAX((180-(U$5-$H$5))/180,0)))</f>
        <v>0</v>
      </c>
      <c r="V29" s="46">
        <f>MIN(MAX(V$5-$E29,0)/('Salon Model'!$F$32*(365/12)),1)*(1-($F29*MAX((180-(V$5-$H$5))/180,0)))</f>
        <v>0</v>
      </c>
      <c r="W29" s="46">
        <f>MIN(MAX(W$5-$E29,0)/('Salon Model'!$F$32*(365/12)),1)*(1-($F29*MAX((180-(W$5-$H$5))/180,0)))</f>
        <v>0</v>
      </c>
      <c r="X29" s="46">
        <f>MIN(MAX(X$5-$E29,0)/('Salon Model'!$F$32*(365/12)),1)*(1-($F29*MAX((180-(X$5-$H$5))/180,0)))</f>
        <v>0</v>
      </c>
      <c r="Y29" s="46">
        <f>MIN(MAX(Y$5-$E29,0)/('Salon Model'!$F$32*(365/12)),1)*(1-($F29*MAX((180-(Y$5-$H$5))/180,0)))</f>
        <v>0</v>
      </c>
      <c r="Z29" s="46">
        <f>MIN(MAX(Z$5-$E29,0)/('Salon Model'!$F$32*(365/12)),1)*(1-($F29*MAX((180-(Z$5-$H$5))/180,0)))</f>
        <v>0</v>
      </c>
      <c r="AA29" s="46">
        <f>MIN(MAX(AA$5-$E29,0)/('Salon Model'!$F$32*(365/12)),1)*(1-($F29*MAX((180-(AA$5-$H$5))/180,0)))</f>
        <v>0</v>
      </c>
      <c r="AB29" s="46">
        <f>MIN(MAX(AB$5-$E29,0)/('Salon Model'!$F$32*(365/12)),1)*(1-($F29*MAX((180-(AB$5-$H$5))/180,0)))</f>
        <v>0</v>
      </c>
      <c r="AC29" s="46">
        <f>MIN(MAX(AC$5-$E29,0)/('Salon Model'!$F$32*(365/12)),1)*(1-($F29*MAX((180-(AC$5-$H$5))/180,0)))</f>
        <v>0</v>
      </c>
      <c r="AD29" s="46">
        <f>MIN(MAX(AD$5-$E29,0)/('Salon Model'!$F$32*(365/12)),1)*(1-($F29*MAX((180-(AD$5-$H$5))/180,0)))</f>
        <v>0</v>
      </c>
      <c r="AE29" s="46">
        <f>MIN(MAX(AE$5-$E29,0)/('Salon Model'!$F$32*(365/12)),1)*(1-($F29*MAX((180-(AE$5-$H$5))/180,0)))</f>
        <v>0</v>
      </c>
      <c r="AF29" s="46">
        <f>MIN(MAX(AF$5-$E29,0)/('Salon Model'!$F$32*(365/12)),1)*(1-($F29*MAX((180-(AF$5-$H$5))/180,0)))</f>
        <v>0</v>
      </c>
    </row>
    <row r="30" spans="2:32" hidden="1">
      <c r="B30" s="7" t="s">
        <v>247</v>
      </c>
      <c r="C30" s="7"/>
      <c r="D30" s="7"/>
      <c r="E30" s="93">
        <v>44197</v>
      </c>
      <c r="F30" s="6">
        <v>0</v>
      </c>
      <c r="H30" s="46">
        <f>MIN(MAX(H$5-$E30,0)/('Salon Model'!$F$32*(365/12)),1)*(1-($F30*MAX((180-(H$5-$H$5))/180,0)))</f>
        <v>0</v>
      </c>
      <c r="I30" s="46">
        <f>MIN(MAX(I$5-$E30,0)/('Salon Model'!$F$32*(365/12)),1)*(1-($F30*MAX((180-(I$5-$H$5))/180,0)))</f>
        <v>0</v>
      </c>
      <c r="J30" s="46">
        <f>MIN(MAX(J$5-$E30,0)/('Salon Model'!$F$32*(365/12)),1)*(1-($F30*MAX((180-(J$5-$H$5))/180,0)))</f>
        <v>0</v>
      </c>
      <c r="K30" s="46">
        <f>MIN(MAX(K$5-$E30,0)/('Salon Model'!$F$32*(365/12)),1)*(1-($F30*MAX((180-(K$5-$H$5))/180,0)))</f>
        <v>0</v>
      </c>
      <c r="L30" s="46">
        <f>MIN(MAX(L$5-$E30,0)/('Salon Model'!$F$32*(365/12)),1)*(1-($F30*MAX((180-(L$5-$H$5))/180,0)))</f>
        <v>0</v>
      </c>
      <c r="M30" s="46">
        <f>MIN(MAX(M$5-$E30,0)/('Salon Model'!$F$32*(365/12)),1)*(1-($F30*MAX((180-(M$5-$H$5))/180,0)))</f>
        <v>0</v>
      </c>
      <c r="N30" s="46">
        <f>MIN(MAX(N$5-$E30,0)/('Salon Model'!$F$32*(365/12)),1)*(1-($F30*MAX((180-(N$5-$H$5))/180,0)))</f>
        <v>0</v>
      </c>
      <c r="O30" s="46">
        <f>MIN(MAX(O$5-$E30,0)/('Salon Model'!$F$32*(365/12)),1)*(1-($F30*MAX((180-(O$5-$H$5))/180,0)))</f>
        <v>0</v>
      </c>
      <c r="P30" s="46">
        <f>MIN(MAX(P$5-$E30,0)/('Salon Model'!$F$32*(365/12)),1)*(1-($F30*MAX((180-(P$5-$H$5))/180,0)))</f>
        <v>0</v>
      </c>
      <c r="Q30" s="46">
        <f>MIN(MAX(Q$5-$E30,0)/('Salon Model'!$F$32*(365/12)),1)*(1-($F30*MAX((180-(Q$5-$H$5))/180,0)))</f>
        <v>0</v>
      </c>
      <c r="R30" s="46">
        <f>MIN(MAX(R$5-$E30,0)/('Salon Model'!$F$32*(365/12)),1)*(1-($F30*MAX((180-(R$5-$H$5))/180,0)))</f>
        <v>0</v>
      </c>
      <c r="S30" s="46">
        <f>MIN(MAX(S$5-$E30,0)/('Salon Model'!$F$32*(365/12)),1)*(1-($F30*MAX((180-(S$5-$H$5))/180,0)))</f>
        <v>0</v>
      </c>
      <c r="T30" s="46">
        <f>MIN(MAX(T$5-$E30,0)/('Salon Model'!$F$32*(365/12)),1)*(1-($F30*MAX((180-(T$5-$H$5))/180,0)))</f>
        <v>0</v>
      </c>
      <c r="U30" s="46">
        <f>MIN(MAX(U$5-$E30,0)/('Salon Model'!$F$32*(365/12)),1)*(1-($F30*MAX((180-(U$5-$H$5))/180,0)))</f>
        <v>0</v>
      </c>
      <c r="V30" s="46">
        <f>MIN(MAX(V$5-$E30,0)/('Salon Model'!$F$32*(365/12)),1)*(1-($F30*MAX((180-(V$5-$H$5))/180,0)))</f>
        <v>0</v>
      </c>
      <c r="W30" s="46">
        <f>MIN(MAX(W$5-$E30,0)/('Salon Model'!$F$32*(365/12)),1)*(1-($F30*MAX((180-(W$5-$H$5))/180,0)))</f>
        <v>0</v>
      </c>
      <c r="X30" s="46">
        <f>MIN(MAX(X$5-$E30,0)/('Salon Model'!$F$32*(365/12)),1)*(1-($F30*MAX((180-(X$5-$H$5))/180,0)))</f>
        <v>0</v>
      </c>
      <c r="Y30" s="46">
        <f>MIN(MAX(Y$5-$E30,0)/('Salon Model'!$F$32*(365/12)),1)*(1-($F30*MAX((180-(Y$5-$H$5))/180,0)))</f>
        <v>0</v>
      </c>
      <c r="Z30" s="46">
        <f>MIN(MAX(Z$5-$E30,0)/('Salon Model'!$F$32*(365/12)),1)*(1-($F30*MAX((180-(Z$5-$H$5))/180,0)))</f>
        <v>0</v>
      </c>
      <c r="AA30" s="46">
        <f>MIN(MAX(AA$5-$E30,0)/('Salon Model'!$F$32*(365/12)),1)*(1-($F30*MAX((180-(AA$5-$H$5))/180,0)))</f>
        <v>0</v>
      </c>
      <c r="AB30" s="46">
        <f>MIN(MAX(AB$5-$E30,0)/('Salon Model'!$F$32*(365/12)),1)*(1-($F30*MAX((180-(AB$5-$H$5))/180,0)))</f>
        <v>0</v>
      </c>
      <c r="AC30" s="46">
        <f>MIN(MAX(AC$5-$E30,0)/('Salon Model'!$F$32*(365/12)),1)*(1-($F30*MAX((180-(AC$5-$H$5))/180,0)))</f>
        <v>0</v>
      </c>
      <c r="AD30" s="46">
        <f>MIN(MAX(AD$5-$E30,0)/('Salon Model'!$F$32*(365/12)),1)*(1-($F30*MAX((180-(AD$5-$H$5))/180,0)))</f>
        <v>0</v>
      </c>
      <c r="AE30" s="46">
        <f>MIN(MAX(AE$5-$E30,0)/('Salon Model'!$F$32*(365/12)),1)*(1-($F30*MAX((180-(AE$5-$H$5))/180,0)))</f>
        <v>0</v>
      </c>
      <c r="AF30" s="46">
        <f>MIN(MAX(AF$5-$E30,0)/('Salon Model'!$F$32*(365/12)),1)*(1-($F30*MAX((180-(AF$5-$H$5))/180,0)))</f>
        <v>0</v>
      </c>
    </row>
    <row r="31" spans="2:32" hidden="1">
      <c r="B31" s="7" t="s">
        <v>248</v>
      </c>
      <c r="C31" s="7"/>
      <c r="D31" s="7"/>
      <c r="E31" s="91">
        <v>44287</v>
      </c>
      <c r="F31" s="6">
        <v>0</v>
      </c>
      <c r="H31" s="46">
        <f>MIN(MAX(H$5-$E31,0)/('Salon Model'!$F$32*(365/12)),1)*(1-($F31*MAX((180-(H$5-$H$5))/180,0)))</f>
        <v>0</v>
      </c>
      <c r="I31" s="46">
        <f>MIN(MAX(I$5-$E31,0)/('Salon Model'!$F$32*(365/12)),1)*(1-($F31*MAX((180-(I$5-$H$5))/180,0)))</f>
        <v>0</v>
      </c>
      <c r="J31" s="46">
        <f>MIN(MAX(J$5-$E31,0)/('Salon Model'!$F$32*(365/12)),1)*(1-($F31*MAX((180-(J$5-$H$5))/180,0)))</f>
        <v>0</v>
      </c>
      <c r="K31" s="46">
        <f>MIN(MAX(K$5-$E31,0)/('Salon Model'!$F$32*(365/12)),1)*(1-($F31*MAX((180-(K$5-$H$5))/180,0)))</f>
        <v>0</v>
      </c>
      <c r="L31" s="46">
        <f>MIN(MAX(L$5-$E31,0)/('Salon Model'!$F$32*(365/12)),1)*(1-($F31*MAX((180-(L$5-$H$5))/180,0)))</f>
        <v>0</v>
      </c>
      <c r="M31" s="46">
        <f>MIN(MAX(M$5-$E31,0)/('Salon Model'!$F$32*(365/12)),1)*(1-($F31*MAX((180-(M$5-$H$5))/180,0)))</f>
        <v>0</v>
      </c>
      <c r="N31" s="46">
        <f>MIN(MAX(N$5-$E31,0)/('Salon Model'!$F$32*(365/12)),1)*(1-($F31*MAX((180-(N$5-$H$5))/180,0)))</f>
        <v>0</v>
      </c>
      <c r="O31" s="46">
        <f>MIN(MAX(O$5-$E31,0)/('Salon Model'!$F$32*(365/12)),1)*(1-($F31*MAX((180-(O$5-$H$5))/180,0)))</f>
        <v>0</v>
      </c>
      <c r="P31" s="46">
        <f>MIN(MAX(P$5-$E31,0)/('Salon Model'!$F$32*(365/12)),1)*(1-($F31*MAX((180-(P$5-$H$5))/180,0)))</f>
        <v>0</v>
      </c>
      <c r="Q31" s="46">
        <f>MIN(MAX(Q$5-$E31,0)/('Salon Model'!$F$32*(365/12)),1)*(1-($F31*MAX((180-(Q$5-$H$5))/180,0)))</f>
        <v>0</v>
      </c>
      <c r="R31" s="46">
        <f>MIN(MAX(R$5-$E31,0)/('Salon Model'!$F$32*(365/12)),1)*(1-($F31*MAX((180-(R$5-$H$5))/180,0)))</f>
        <v>0</v>
      </c>
      <c r="S31" s="46">
        <f>MIN(MAX(S$5-$E31,0)/('Salon Model'!$F$32*(365/12)),1)*(1-($F31*MAX((180-(S$5-$H$5))/180,0)))</f>
        <v>0</v>
      </c>
      <c r="T31" s="46">
        <f>MIN(MAX(T$5-$E31,0)/('Salon Model'!$F$32*(365/12)),1)*(1-($F31*MAX((180-(T$5-$H$5))/180,0)))</f>
        <v>0</v>
      </c>
      <c r="U31" s="46">
        <f>MIN(MAX(U$5-$E31,0)/('Salon Model'!$F$32*(365/12)),1)*(1-($F31*MAX((180-(U$5-$H$5))/180,0)))</f>
        <v>0</v>
      </c>
      <c r="V31" s="46">
        <f>MIN(MAX(V$5-$E31,0)/('Salon Model'!$F$32*(365/12)),1)*(1-($F31*MAX((180-(V$5-$H$5))/180,0)))</f>
        <v>0</v>
      </c>
      <c r="W31" s="46">
        <f>MIN(MAX(W$5-$E31,0)/('Salon Model'!$F$32*(365/12)),1)*(1-($F31*MAX((180-(W$5-$H$5))/180,0)))</f>
        <v>0</v>
      </c>
      <c r="X31" s="46">
        <f>MIN(MAX(X$5-$E31,0)/('Salon Model'!$F$32*(365/12)),1)*(1-($F31*MAX((180-(X$5-$H$5))/180,0)))</f>
        <v>0</v>
      </c>
      <c r="Y31" s="46">
        <f>MIN(MAX(Y$5-$E31,0)/('Salon Model'!$F$32*(365/12)),1)*(1-($F31*MAX((180-(Y$5-$H$5))/180,0)))</f>
        <v>0</v>
      </c>
      <c r="Z31" s="46">
        <f>MIN(MAX(Z$5-$E31,0)/('Salon Model'!$F$32*(365/12)),1)*(1-($F31*MAX((180-(Z$5-$H$5))/180,0)))</f>
        <v>0</v>
      </c>
      <c r="AA31" s="46">
        <f>MIN(MAX(AA$5-$E31,0)/('Salon Model'!$F$32*(365/12)),1)*(1-($F31*MAX((180-(AA$5-$H$5))/180,0)))</f>
        <v>0</v>
      </c>
      <c r="AB31" s="46">
        <f>MIN(MAX(AB$5-$E31,0)/('Salon Model'!$F$32*(365/12)),1)*(1-($F31*MAX((180-(AB$5-$H$5))/180,0)))</f>
        <v>0</v>
      </c>
      <c r="AC31" s="46">
        <f>MIN(MAX(AC$5-$E31,0)/('Salon Model'!$F$32*(365/12)),1)*(1-($F31*MAX((180-(AC$5-$H$5))/180,0)))</f>
        <v>0</v>
      </c>
      <c r="AD31" s="46">
        <f>MIN(MAX(AD$5-$E31,0)/('Salon Model'!$F$32*(365/12)),1)*(1-($F31*MAX((180-(AD$5-$H$5))/180,0)))</f>
        <v>0</v>
      </c>
      <c r="AE31" s="46">
        <f>MIN(MAX(AE$5-$E31,0)/('Salon Model'!$F$32*(365/12)),1)*(1-($F31*MAX((180-(AE$5-$H$5))/180,0)))</f>
        <v>0</v>
      </c>
      <c r="AF31" s="46">
        <f>MIN(MAX(AF$5-$E31,0)/('Salon Model'!$F$32*(365/12)),1)*(1-($F31*MAX((180-(AF$5-$H$5))/180,0)))</f>
        <v>0</v>
      </c>
    </row>
    <row r="32" spans="2:32" hidden="1">
      <c r="B32" s="7" t="s">
        <v>249</v>
      </c>
      <c r="C32" s="7"/>
      <c r="D32" s="92"/>
      <c r="E32" s="93">
        <v>44378</v>
      </c>
      <c r="F32" s="94">
        <v>0</v>
      </c>
      <c r="G32" s="16"/>
      <c r="H32" s="46">
        <f>MIN(MAX(H$5-$E32,0)/('Salon Model'!$F$32*(365/12)),1)*(1-($F32*MAX((180-(H$5-$H$5))/180,0)))</f>
        <v>0</v>
      </c>
      <c r="I32" s="46">
        <f>MIN(MAX(I$5-$E32,0)/('Salon Model'!$F$32*(365/12)),1)*(1-($F32*MAX((180-(I$5-$H$5))/180,0)))</f>
        <v>0</v>
      </c>
      <c r="J32" s="46">
        <f>MIN(MAX(J$5-$E32,0)/('Salon Model'!$F$32*(365/12)),1)*(1-($F32*MAX((180-(J$5-$H$5))/180,0)))</f>
        <v>0</v>
      </c>
      <c r="K32" s="46">
        <f>MIN(MAX(K$5-$E32,0)/('Salon Model'!$F$32*(365/12)),1)*(1-($F32*MAX((180-(K$5-$H$5))/180,0)))</f>
        <v>0</v>
      </c>
      <c r="L32" s="46">
        <f>MIN(MAX(L$5-$E32,0)/('Salon Model'!$F$32*(365/12)),1)*(1-($F32*MAX((180-(L$5-$H$5))/180,0)))</f>
        <v>0</v>
      </c>
      <c r="M32" s="46">
        <f>MIN(MAX(M$5-$E32,0)/('Salon Model'!$F$32*(365/12)),1)*(1-($F32*MAX((180-(M$5-$H$5))/180,0)))</f>
        <v>0</v>
      </c>
      <c r="N32" s="46">
        <f>MIN(MAX(N$5-$E32,0)/('Salon Model'!$F$32*(365/12)),1)*(1-($F32*MAX((180-(N$5-$H$5))/180,0)))</f>
        <v>0</v>
      </c>
      <c r="O32" s="46">
        <f>MIN(MAX(O$5-$E32,0)/('Salon Model'!$F$32*(365/12)),1)*(1-($F32*MAX((180-(O$5-$H$5))/180,0)))</f>
        <v>0</v>
      </c>
      <c r="P32" s="46">
        <f>MIN(MAX(P$5-$E32,0)/('Salon Model'!$F$32*(365/12)),1)*(1-($F32*MAX((180-(P$5-$H$5))/180,0)))</f>
        <v>0</v>
      </c>
      <c r="Q32" s="46">
        <f>MIN(MAX(Q$5-$E32,0)/('Salon Model'!$F$32*(365/12)),1)*(1-($F32*MAX((180-(Q$5-$H$5))/180,0)))</f>
        <v>0</v>
      </c>
      <c r="R32" s="46">
        <f>MIN(MAX(R$5-$E32,0)/('Salon Model'!$F$32*(365/12)),1)*(1-($F32*MAX((180-(R$5-$H$5))/180,0)))</f>
        <v>0</v>
      </c>
      <c r="S32" s="46">
        <f>MIN(MAX(S$5-$E32,0)/('Salon Model'!$F$32*(365/12)),1)*(1-($F32*MAX((180-(S$5-$H$5))/180,0)))</f>
        <v>0</v>
      </c>
      <c r="T32" s="46">
        <f>MIN(MAX(T$5-$E32,0)/('Salon Model'!$F$32*(365/12)),1)*(1-($F32*MAX((180-(T$5-$H$5))/180,0)))</f>
        <v>0</v>
      </c>
      <c r="U32" s="46">
        <f>MIN(MAX(U$5-$E32,0)/('Salon Model'!$F$32*(365/12)),1)*(1-($F32*MAX((180-(U$5-$H$5))/180,0)))</f>
        <v>0</v>
      </c>
      <c r="V32" s="46">
        <f>MIN(MAX(V$5-$E32,0)/('Salon Model'!$F$32*(365/12)),1)*(1-($F32*MAX((180-(V$5-$H$5))/180,0)))</f>
        <v>0</v>
      </c>
      <c r="W32" s="46">
        <f>MIN(MAX(W$5-$E32,0)/('Salon Model'!$F$32*(365/12)),1)*(1-($F32*MAX((180-(W$5-$H$5))/180,0)))</f>
        <v>0</v>
      </c>
      <c r="X32" s="46">
        <f>MIN(MAX(X$5-$E32,0)/('Salon Model'!$F$32*(365/12)),1)*(1-($F32*MAX((180-(X$5-$H$5))/180,0)))</f>
        <v>0</v>
      </c>
      <c r="Y32" s="46">
        <f>MIN(MAX(Y$5-$E32,0)/('Salon Model'!$F$32*(365/12)),1)*(1-($F32*MAX((180-(Y$5-$H$5))/180,0)))</f>
        <v>0</v>
      </c>
      <c r="Z32" s="46">
        <f>MIN(MAX(Z$5-$E32,0)/('Salon Model'!$F$32*(365/12)),1)*(1-($F32*MAX((180-(Z$5-$H$5))/180,0)))</f>
        <v>0</v>
      </c>
      <c r="AA32" s="46">
        <f>MIN(MAX(AA$5-$E32,0)/('Salon Model'!$F$32*(365/12)),1)*(1-($F32*MAX((180-(AA$5-$H$5))/180,0)))</f>
        <v>0</v>
      </c>
      <c r="AB32" s="46">
        <f>MIN(MAX(AB$5-$E32,0)/('Salon Model'!$F$32*(365/12)),1)*(1-($F32*MAX((180-(AB$5-$H$5))/180,0)))</f>
        <v>0</v>
      </c>
      <c r="AC32" s="46">
        <f>MIN(MAX(AC$5-$E32,0)/('Salon Model'!$F$32*(365/12)),1)*(1-($F32*MAX((180-(AC$5-$H$5))/180,0)))</f>
        <v>0</v>
      </c>
      <c r="AD32" s="46">
        <f>MIN(MAX(AD$5-$E32,0)/('Salon Model'!$F$32*(365/12)),1)*(1-($F32*MAX((180-(AD$5-$H$5))/180,0)))</f>
        <v>0</v>
      </c>
      <c r="AE32" s="46">
        <f>MIN(MAX(AE$5-$E32,0)/('Salon Model'!$F$32*(365/12)),1)*(1-($F32*MAX((180-(AE$5-$H$5))/180,0)))</f>
        <v>0</v>
      </c>
      <c r="AF32" s="46">
        <f>MIN(MAX(AF$5-$E32,0)/('Salon Model'!$F$32*(365/12)),1)*(1-($F32*MAX((180-(AF$5-$H$5))/180,0)))</f>
        <v>0</v>
      </c>
    </row>
    <row r="33" spans="2:32" hidden="1">
      <c r="B33" s="7" t="s">
        <v>250</v>
      </c>
      <c r="C33" s="7"/>
      <c r="D33" s="92"/>
      <c r="E33" s="93">
        <v>44470</v>
      </c>
      <c r="F33" s="94">
        <v>0</v>
      </c>
      <c r="G33" s="16"/>
      <c r="H33" s="46">
        <f>MIN(MAX(H$5-$E33,0)/('Salon Model'!$F$32*(365/12)),1)*(1-($F33*MAX((180-(H$5-$H$5))/180,0)))</f>
        <v>0</v>
      </c>
      <c r="I33" s="46">
        <f>MIN(MAX(I$5-$E33,0)/('Salon Model'!$F$32*(365/12)),1)*(1-($F33*MAX((180-(I$5-$H$5))/180,0)))</f>
        <v>0</v>
      </c>
      <c r="J33" s="46">
        <f>MIN(MAX(J$5-$E33,0)/('Salon Model'!$F$32*(365/12)),1)*(1-($F33*MAX((180-(J$5-$H$5))/180,0)))</f>
        <v>0</v>
      </c>
      <c r="K33" s="46">
        <f>MIN(MAX(K$5-$E33,0)/('Salon Model'!$F$32*(365/12)),1)*(1-($F33*MAX((180-(K$5-$H$5))/180,0)))</f>
        <v>0</v>
      </c>
      <c r="L33" s="46">
        <f>MIN(MAX(L$5-$E33,0)/('Salon Model'!$F$32*(365/12)),1)*(1-($F33*MAX((180-(L$5-$H$5))/180,0)))</f>
        <v>0</v>
      </c>
      <c r="M33" s="46">
        <f>MIN(MAX(M$5-$E33,0)/('Salon Model'!$F$32*(365/12)),1)*(1-($F33*MAX((180-(M$5-$H$5))/180,0)))</f>
        <v>0</v>
      </c>
      <c r="N33" s="46">
        <f>MIN(MAX(N$5-$E33,0)/('Salon Model'!$F$32*(365/12)),1)*(1-($F33*MAX((180-(N$5-$H$5))/180,0)))</f>
        <v>0</v>
      </c>
      <c r="O33" s="46">
        <f>MIN(MAX(O$5-$E33,0)/('Salon Model'!$F$32*(365/12)),1)*(1-($F33*MAX((180-(O$5-$H$5))/180,0)))</f>
        <v>0</v>
      </c>
      <c r="P33" s="46">
        <f>MIN(MAX(P$5-$E33,0)/('Salon Model'!$F$32*(365/12)),1)*(1-($F33*MAX((180-(P$5-$H$5))/180,0)))</f>
        <v>0</v>
      </c>
      <c r="Q33" s="46">
        <f>MIN(MAX(Q$5-$E33,0)/('Salon Model'!$F$32*(365/12)),1)*(1-($F33*MAX((180-(Q$5-$H$5))/180,0)))</f>
        <v>0</v>
      </c>
      <c r="R33" s="46">
        <f>MIN(MAX(R$5-$E33,0)/('Salon Model'!$F$32*(365/12)),1)*(1-($F33*MAX((180-(R$5-$H$5))/180,0)))</f>
        <v>0</v>
      </c>
      <c r="S33" s="46">
        <f>MIN(MAX(S$5-$E33,0)/('Salon Model'!$F$32*(365/12)),1)*(1-($F33*MAX((180-(S$5-$H$5))/180,0)))</f>
        <v>0</v>
      </c>
      <c r="T33" s="46">
        <f>MIN(MAX(T$5-$E33,0)/('Salon Model'!$F$32*(365/12)),1)*(1-($F33*MAX((180-(T$5-$H$5))/180,0)))</f>
        <v>0</v>
      </c>
      <c r="U33" s="46">
        <f>MIN(MAX(U$5-$E33,0)/('Salon Model'!$F$32*(365/12)),1)*(1-($F33*MAX((180-(U$5-$H$5))/180,0)))</f>
        <v>0</v>
      </c>
      <c r="V33" s="46">
        <f>MIN(MAX(V$5-$E33,0)/('Salon Model'!$F$32*(365/12)),1)*(1-($F33*MAX((180-(V$5-$H$5))/180,0)))</f>
        <v>0</v>
      </c>
      <c r="W33" s="46">
        <f>MIN(MAX(W$5-$E33,0)/('Salon Model'!$F$32*(365/12)),1)*(1-($F33*MAX((180-(W$5-$H$5))/180,0)))</f>
        <v>0</v>
      </c>
      <c r="X33" s="46">
        <f>MIN(MAX(X$5-$E33,0)/('Salon Model'!$F$32*(365/12)),1)*(1-($F33*MAX((180-(X$5-$H$5))/180,0)))</f>
        <v>0</v>
      </c>
      <c r="Y33" s="46">
        <f>MIN(MAX(Y$5-$E33,0)/('Salon Model'!$F$32*(365/12)),1)*(1-($F33*MAX((180-(Y$5-$H$5))/180,0)))</f>
        <v>0</v>
      </c>
      <c r="Z33" s="46">
        <f>MIN(MAX(Z$5-$E33,0)/('Salon Model'!$F$32*(365/12)),1)*(1-($F33*MAX((180-(Z$5-$H$5))/180,0)))</f>
        <v>0</v>
      </c>
      <c r="AA33" s="46">
        <f>MIN(MAX(AA$5-$E33,0)/('Salon Model'!$F$32*(365/12)),1)*(1-($F33*MAX((180-(AA$5-$H$5))/180,0)))</f>
        <v>0</v>
      </c>
      <c r="AB33" s="46">
        <f>MIN(MAX(AB$5-$E33,0)/('Salon Model'!$F$32*(365/12)),1)*(1-($F33*MAX((180-(AB$5-$H$5))/180,0)))</f>
        <v>0</v>
      </c>
      <c r="AC33" s="46">
        <f>MIN(MAX(AC$5-$E33,0)/('Salon Model'!$F$32*(365/12)),1)*(1-($F33*MAX((180-(AC$5-$H$5))/180,0)))</f>
        <v>0</v>
      </c>
      <c r="AD33" s="46">
        <f>MIN(MAX(AD$5-$E33,0)/('Salon Model'!$F$32*(365/12)),1)*(1-($F33*MAX((180-(AD$5-$H$5))/180,0)))</f>
        <v>0</v>
      </c>
      <c r="AE33" s="46">
        <f>MIN(MAX(AE$5-$E33,0)/('Salon Model'!$F$32*(365/12)),1)*(1-($F33*MAX((180-(AE$5-$H$5))/180,0)))</f>
        <v>0</v>
      </c>
      <c r="AF33" s="46">
        <f>MIN(MAX(AF$5-$E33,0)/('Salon Model'!$F$32*(365/12)),1)*(1-($F33*MAX((180-(AF$5-$H$5))/180,0)))</f>
        <v>0</v>
      </c>
    </row>
    <row r="34" spans="2:32" hidden="1">
      <c r="B34" s="7" t="s">
        <v>251</v>
      </c>
      <c r="C34" s="7"/>
      <c r="D34" s="92"/>
      <c r="E34" s="91">
        <v>44562</v>
      </c>
      <c r="F34" s="94">
        <v>0</v>
      </c>
      <c r="G34" s="16"/>
      <c r="H34" s="46">
        <f>MIN(MAX(H$5-$E34,0)/('Salon Model'!$F$32*(365/12)),1)*(1-($F34*MAX((180-(H$5-$H$5))/180,0)))</f>
        <v>0</v>
      </c>
      <c r="I34" s="46">
        <f>MIN(MAX(I$5-$E34,0)/('Salon Model'!$F$32*(365/12)),1)*(1-($F34*MAX((180-(I$5-$H$5))/180,0)))</f>
        <v>0</v>
      </c>
      <c r="J34" s="46">
        <f>MIN(MAX(J$5-$E34,0)/('Salon Model'!$F$32*(365/12)),1)*(1-($F34*MAX((180-(J$5-$H$5))/180,0)))</f>
        <v>0</v>
      </c>
      <c r="K34" s="46">
        <f>MIN(MAX(K$5-$E34,0)/('Salon Model'!$F$32*(365/12)),1)*(1-($F34*MAX((180-(K$5-$H$5))/180,0)))</f>
        <v>0</v>
      </c>
      <c r="L34" s="46">
        <f>MIN(MAX(L$5-$E34,0)/('Salon Model'!$F$32*(365/12)),1)*(1-($F34*MAX((180-(L$5-$H$5))/180,0)))</f>
        <v>0</v>
      </c>
      <c r="M34" s="46">
        <f>MIN(MAX(M$5-$E34,0)/('Salon Model'!$F$32*(365/12)),1)*(1-($F34*MAX((180-(M$5-$H$5))/180,0)))</f>
        <v>0</v>
      </c>
      <c r="N34" s="46">
        <f>MIN(MAX(N$5-$E34,0)/('Salon Model'!$F$32*(365/12)),1)*(1-($F34*MAX((180-(N$5-$H$5))/180,0)))</f>
        <v>0</v>
      </c>
      <c r="O34" s="46">
        <f>MIN(MAX(O$5-$E34,0)/('Salon Model'!$F$32*(365/12)),1)*(1-($F34*MAX((180-(O$5-$H$5))/180,0)))</f>
        <v>0</v>
      </c>
      <c r="P34" s="46">
        <f>MIN(MAX(P$5-$E34,0)/('Salon Model'!$F$32*(365/12)),1)*(1-($F34*MAX((180-(P$5-$H$5))/180,0)))</f>
        <v>0</v>
      </c>
      <c r="Q34" s="46">
        <f>MIN(MAX(Q$5-$E34,0)/('Salon Model'!$F$32*(365/12)),1)*(1-($F34*MAX((180-(Q$5-$H$5))/180,0)))</f>
        <v>0</v>
      </c>
      <c r="R34" s="46">
        <f>MIN(MAX(R$5-$E34,0)/('Salon Model'!$F$32*(365/12)),1)*(1-($F34*MAX((180-(R$5-$H$5))/180,0)))</f>
        <v>0</v>
      </c>
      <c r="S34" s="46">
        <f>MIN(MAX(S$5-$E34,0)/('Salon Model'!$F$32*(365/12)),1)*(1-($F34*MAX((180-(S$5-$H$5))/180,0)))</f>
        <v>0</v>
      </c>
      <c r="T34" s="46">
        <f>MIN(MAX(T$5-$E34,0)/('Salon Model'!$F$32*(365/12)),1)*(1-($F34*MAX((180-(T$5-$H$5))/180,0)))</f>
        <v>0</v>
      </c>
      <c r="U34" s="46">
        <f>MIN(MAX(U$5-$E34,0)/('Salon Model'!$F$32*(365/12)),1)*(1-($F34*MAX((180-(U$5-$H$5))/180,0)))</f>
        <v>0</v>
      </c>
      <c r="V34" s="46">
        <f>MIN(MAX(V$5-$E34,0)/('Salon Model'!$F$32*(365/12)),1)*(1-($F34*MAX((180-(V$5-$H$5))/180,0)))</f>
        <v>0</v>
      </c>
      <c r="W34" s="46">
        <f>MIN(MAX(W$5-$E34,0)/('Salon Model'!$F$32*(365/12)),1)*(1-($F34*MAX((180-(W$5-$H$5))/180,0)))</f>
        <v>0</v>
      </c>
      <c r="X34" s="46">
        <f>MIN(MAX(X$5-$E34,0)/('Salon Model'!$F$32*(365/12)),1)*(1-($F34*MAX((180-(X$5-$H$5))/180,0)))</f>
        <v>0</v>
      </c>
      <c r="Y34" s="46">
        <f>MIN(MAX(Y$5-$E34,0)/('Salon Model'!$F$32*(365/12)),1)*(1-($F34*MAX((180-(Y$5-$H$5))/180,0)))</f>
        <v>0</v>
      </c>
      <c r="Z34" s="46">
        <f>MIN(MAX(Z$5-$E34,0)/('Salon Model'!$F$32*(365/12)),1)*(1-($F34*MAX((180-(Z$5-$H$5))/180,0)))</f>
        <v>0</v>
      </c>
      <c r="AA34" s="46">
        <f>MIN(MAX(AA$5-$E34,0)/('Salon Model'!$F$32*(365/12)),1)*(1-($F34*MAX((180-(AA$5-$H$5))/180,0)))</f>
        <v>0</v>
      </c>
      <c r="AB34" s="46">
        <f>MIN(MAX(AB$5-$E34,0)/('Salon Model'!$F$32*(365/12)),1)*(1-($F34*MAX((180-(AB$5-$H$5))/180,0)))</f>
        <v>0</v>
      </c>
      <c r="AC34" s="46">
        <f>MIN(MAX(AC$5-$E34,0)/('Salon Model'!$F$32*(365/12)),1)*(1-($F34*MAX((180-(AC$5-$H$5))/180,0)))</f>
        <v>0</v>
      </c>
      <c r="AD34" s="46">
        <f>MIN(MAX(AD$5-$E34,0)/('Salon Model'!$F$32*(365/12)),1)*(1-($F34*MAX((180-(AD$5-$H$5))/180,0)))</f>
        <v>0</v>
      </c>
      <c r="AE34" s="46">
        <f>MIN(MAX(AE$5-$E34,0)/('Salon Model'!$F$32*(365/12)),1)*(1-($F34*MAX((180-(AE$5-$H$5))/180,0)))</f>
        <v>0</v>
      </c>
      <c r="AF34" s="46">
        <f>MIN(MAX(AF$5-$E34,0)/('Salon Model'!$F$32*(365/12)),1)*(1-($F34*MAX((180-(AF$5-$H$5))/180,0)))</f>
        <v>0</v>
      </c>
    </row>
    <row r="35" spans="2:32" hidden="1">
      <c r="B35" s="7" t="s">
        <v>252</v>
      </c>
      <c r="C35" s="7"/>
      <c r="D35" s="92"/>
      <c r="E35" s="93">
        <v>44652</v>
      </c>
      <c r="F35" s="94">
        <v>0</v>
      </c>
      <c r="G35" s="16"/>
      <c r="H35" s="46">
        <f>MIN(MAX(H$5-$E35,0)/('Salon Model'!$F$32*(365/12)),1)*(1-($F35*MAX((180-(H$5-$H$5))/180,0)))</f>
        <v>0</v>
      </c>
      <c r="I35" s="46">
        <f>MIN(MAX(I$5-$E35,0)/('Salon Model'!$F$32*(365/12)),1)*(1-($F35*MAX((180-(I$5-$H$5))/180,0)))</f>
        <v>0</v>
      </c>
      <c r="J35" s="46">
        <f>MIN(MAX(J$5-$E35,0)/('Salon Model'!$F$32*(365/12)),1)*(1-($F35*MAX((180-(J$5-$H$5))/180,0)))</f>
        <v>0</v>
      </c>
      <c r="K35" s="46">
        <f>MIN(MAX(K$5-$E35,0)/('Salon Model'!$F$32*(365/12)),1)*(1-($F35*MAX((180-(K$5-$H$5))/180,0)))</f>
        <v>0</v>
      </c>
      <c r="L35" s="46">
        <f>MIN(MAX(L$5-$E35,0)/('Salon Model'!$F$32*(365/12)),1)*(1-($F35*MAX((180-(L$5-$H$5))/180,0)))</f>
        <v>0</v>
      </c>
      <c r="M35" s="46">
        <f>MIN(MAX(M$5-$E35,0)/('Salon Model'!$F$32*(365/12)),1)*(1-($F35*MAX((180-(M$5-$H$5))/180,0)))</f>
        <v>0</v>
      </c>
      <c r="N35" s="46">
        <f>MIN(MAX(N$5-$E35,0)/('Salon Model'!$F$32*(365/12)),1)*(1-($F35*MAX((180-(N$5-$H$5))/180,0)))</f>
        <v>0</v>
      </c>
      <c r="O35" s="46">
        <f>MIN(MAX(O$5-$E35,0)/('Salon Model'!$F$32*(365/12)),1)*(1-($F35*MAX((180-(O$5-$H$5))/180,0)))</f>
        <v>0</v>
      </c>
      <c r="P35" s="46">
        <f>MIN(MAX(P$5-$E35,0)/('Salon Model'!$F$32*(365/12)),1)*(1-($F35*MAX((180-(P$5-$H$5))/180,0)))</f>
        <v>0</v>
      </c>
      <c r="Q35" s="46">
        <f>MIN(MAX(Q$5-$E35,0)/('Salon Model'!$F$32*(365/12)),1)*(1-($F35*MAX((180-(Q$5-$H$5))/180,0)))</f>
        <v>0</v>
      </c>
      <c r="R35" s="46">
        <f>MIN(MAX(R$5-$E35,0)/('Salon Model'!$F$32*(365/12)),1)*(1-($F35*MAX((180-(R$5-$H$5))/180,0)))</f>
        <v>0</v>
      </c>
      <c r="S35" s="46">
        <f>MIN(MAX(S$5-$E35,0)/('Salon Model'!$F$32*(365/12)),1)*(1-($F35*MAX((180-(S$5-$H$5))/180,0)))</f>
        <v>0</v>
      </c>
      <c r="T35" s="46">
        <f>MIN(MAX(T$5-$E35,0)/('Salon Model'!$F$32*(365/12)),1)*(1-($F35*MAX((180-(T$5-$H$5))/180,0)))</f>
        <v>0</v>
      </c>
      <c r="U35" s="46">
        <f>MIN(MAX(U$5-$E35,0)/('Salon Model'!$F$32*(365/12)),1)*(1-($F35*MAX((180-(U$5-$H$5))/180,0)))</f>
        <v>0</v>
      </c>
      <c r="V35" s="46">
        <f>MIN(MAX(V$5-$E35,0)/('Salon Model'!$F$32*(365/12)),1)*(1-($F35*MAX((180-(V$5-$H$5))/180,0)))</f>
        <v>0</v>
      </c>
      <c r="W35" s="46">
        <f>MIN(MAX(W$5-$E35,0)/('Salon Model'!$F$32*(365/12)),1)*(1-($F35*MAX((180-(W$5-$H$5))/180,0)))</f>
        <v>0</v>
      </c>
      <c r="X35" s="46">
        <f>MIN(MAX(X$5-$E35,0)/('Salon Model'!$F$32*(365/12)),1)*(1-($F35*MAX((180-(X$5-$H$5))/180,0)))</f>
        <v>0</v>
      </c>
      <c r="Y35" s="46">
        <f>MIN(MAX(Y$5-$E35,0)/('Salon Model'!$F$32*(365/12)),1)*(1-($F35*MAX((180-(Y$5-$H$5))/180,0)))</f>
        <v>0</v>
      </c>
      <c r="Z35" s="46">
        <f>MIN(MAX(Z$5-$E35,0)/('Salon Model'!$F$32*(365/12)),1)*(1-($F35*MAX((180-(Z$5-$H$5))/180,0)))</f>
        <v>0</v>
      </c>
      <c r="AA35" s="46">
        <f>MIN(MAX(AA$5-$E35,0)/('Salon Model'!$F$32*(365/12)),1)*(1-($F35*MAX((180-(AA$5-$H$5))/180,0)))</f>
        <v>0</v>
      </c>
      <c r="AB35" s="46">
        <f>MIN(MAX(AB$5-$E35,0)/('Salon Model'!$F$32*(365/12)),1)*(1-($F35*MAX((180-(AB$5-$H$5))/180,0)))</f>
        <v>0</v>
      </c>
      <c r="AC35" s="46">
        <f>MIN(MAX(AC$5-$E35,0)/('Salon Model'!$F$32*(365/12)),1)*(1-($F35*MAX((180-(AC$5-$H$5))/180,0)))</f>
        <v>0</v>
      </c>
      <c r="AD35" s="46">
        <f>MIN(MAX(AD$5-$E35,0)/('Salon Model'!$F$32*(365/12)),1)*(1-($F35*MAX((180-(AD$5-$H$5))/180,0)))</f>
        <v>0</v>
      </c>
      <c r="AE35" s="46">
        <f>MIN(MAX(AE$5-$E35,0)/('Salon Model'!$F$32*(365/12)),1)*(1-($F35*MAX((180-(AE$5-$H$5))/180,0)))</f>
        <v>0</v>
      </c>
      <c r="AF35" s="46">
        <f>MIN(MAX(AF$5-$E35,0)/('Salon Model'!$F$32*(365/12)),1)*(1-($F35*MAX((180-(AF$5-$H$5))/180,0)))</f>
        <v>0</v>
      </c>
    </row>
    <row r="36" spans="2:32" hidden="1">
      <c r="B36" s="7" t="s">
        <v>253</v>
      </c>
      <c r="C36" s="7"/>
      <c r="D36" s="92"/>
      <c r="E36" s="93">
        <v>44743</v>
      </c>
      <c r="F36" s="94">
        <v>0</v>
      </c>
      <c r="G36" s="16"/>
      <c r="H36" s="46">
        <f>MIN(MAX(H$5-$E36,0)/('Salon Model'!$F$32*(365/12)),1)*(1-($F36*MAX((180-(H$5-$H$5))/180,0)))</f>
        <v>0</v>
      </c>
      <c r="I36" s="46">
        <f>MIN(MAX(I$5-$E36,0)/('Salon Model'!$F$32*(365/12)),1)*(1-($F36*MAX((180-(I$5-$H$5))/180,0)))</f>
        <v>0</v>
      </c>
      <c r="J36" s="46">
        <f>MIN(MAX(J$5-$E36,0)/('Salon Model'!$F$32*(365/12)),1)*(1-($F36*MAX((180-(J$5-$H$5))/180,0)))</f>
        <v>0</v>
      </c>
      <c r="K36" s="46">
        <f>MIN(MAX(K$5-$E36,0)/('Salon Model'!$F$32*(365/12)),1)*(1-($F36*MAX((180-(K$5-$H$5))/180,0)))</f>
        <v>0</v>
      </c>
      <c r="L36" s="46">
        <f>MIN(MAX(L$5-$E36,0)/('Salon Model'!$F$32*(365/12)),1)*(1-($F36*MAX((180-(L$5-$H$5))/180,0)))</f>
        <v>0</v>
      </c>
      <c r="M36" s="46">
        <f>MIN(MAX(M$5-$E36,0)/('Salon Model'!$F$32*(365/12)),1)*(1-($F36*MAX((180-(M$5-$H$5))/180,0)))</f>
        <v>0</v>
      </c>
      <c r="N36" s="46">
        <f>MIN(MAX(N$5-$E36,0)/('Salon Model'!$F$32*(365/12)),1)*(1-($F36*MAX((180-(N$5-$H$5))/180,0)))</f>
        <v>0</v>
      </c>
      <c r="O36" s="46">
        <f>MIN(MAX(O$5-$E36,0)/('Salon Model'!$F$32*(365/12)),1)*(1-($F36*MAX((180-(O$5-$H$5))/180,0)))</f>
        <v>0</v>
      </c>
      <c r="P36" s="46">
        <f>MIN(MAX(P$5-$E36,0)/('Salon Model'!$F$32*(365/12)),1)*(1-($F36*MAX((180-(P$5-$H$5))/180,0)))</f>
        <v>0</v>
      </c>
      <c r="Q36" s="46">
        <f>MIN(MAX(Q$5-$E36,0)/('Salon Model'!$F$32*(365/12)),1)*(1-($F36*MAX((180-(Q$5-$H$5))/180,0)))</f>
        <v>0</v>
      </c>
      <c r="R36" s="46">
        <f>MIN(MAX(R$5-$E36,0)/('Salon Model'!$F$32*(365/12)),1)*(1-($F36*MAX((180-(R$5-$H$5))/180,0)))</f>
        <v>0</v>
      </c>
      <c r="S36" s="46">
        <f>MIN(MAX(S$5-$E36,0)/('Salon Model'!$F$32*(365/12)),1)*(1-($F36*MAX((180-(S$5-$H$5))/180,0)))</f>
        <v>0</v>
      </c>
      <c r="T36" s="46">
        <f>MIN(MAX(T$5-$E36,0)/('Salon Model'!$F$32*(365/12)),1)*(1-($F36*MAX((180-(T$5-$H$5))/180,0)))</f>
        <v>0</v>
      </c>
      <c r="U36" s="46">
        <f>MIN(MAX(U$5-$E36,0)/('Salon Model'!$F$32*(365/12)),1)*(1-($F36*MAX((180-(U$5-$H$5))/180,0)))</f>
        <v>0</v>
      </c>
      <c r="V36" s="46">
        <f>MIN(MAX(V$5-$E36,0)/('Salon Model'!$F$32*(365/12)),1)*(1-($F36*MAX((180-(V$5-$H$5))/180,0)))</f>
        <v>0</v>
      </c>
      <c r="W36" s="46">
        <f>MIN(MAX(W$5-$E36,0)/('Salon Model'!$F$32*(365/12)),1)*(1-($F36*MAX((180-(W$5-$H$5))/180,0)))</f>
        <v>0</v>
      </c>
      <c r="X36" s="46">
        <f>MIN(MAX(X$5-$E36,0)/('Salon Model'!$F$32*(365/12)),1)*(1-($F36*MAX((180-(X$5-$H$5))/180,0)))</f>
        <v>0</v>
      </c>
      <c r="Y36" s="46">
        <f>MIN(MAX(Y$5-$E36,0)/('Salon Model'!$F$32*(365/12)),1)*(1-($F36*MAX((180-(Y$5-$H$5))/180,0)))</f>
        <v>0</v>
      </c>
      <c r="Z36" s="46">
        <f>MIN(MAX(Z$5-$E36,0)/('Salon Model'!$F$32*(365/12)),1)*(1-($F36*MAX((180-(Z$5-$H$5))/180,0)))</f>
        <v>0</v>
      </c>
      <c r="AA36" s="46">
        <f>MIN(MAX(AA$5-$E36,0)/('Salon Model'!$F$32*(365/12)),1)*(1-($F36*MAX((180-(AA$5-$H$5))/180,0)))</f>
        <v>0</v>
      </c>
      <c r="AB36" s="46">
        <f>MIN(MAX(AB$5-$E36,0)/('Salon Model'!$F$32*(365/12)),1)*(1-($F36*MAX((180-(AB$5-$H$5))/180,0)))</f>
        <v>0</v>
      </c>
      <c r="AC36" s="46">
        <f>MIN(MAX(AC$5-$E36,0)/('Salon Model'!$F$32*(365/12)),1)*(1-($F36*MAX((180-(AC$5-$H$5))/180,0)))</f>
        <v>0</v>
      </c>
      <c r="AD36" s="46">
        <f>MIN(MAX(AD$5-$E36,0)/('Salon Model'!$F$32*(365/12)),1)*(1-($F36*MAX((180-(AD$5-$H$5))/180,0)))</f>
        <v>0</v>
      </c>
      <c r="AE36" s="46">
        <f>MIN(MAX(AE$5-$E36,0)/('Salon Model'!$F$32*(365/12)),1)*(1-($F36*MAX((180-(AE$5-$H$5))/180,0)))</f>
        <v>0</v>
      </c>
      <c r="AF36" s="46">
        <f>MIN(MAX(AF$5-$E36,0)/('Salon Model'!$F$32*(365/12)),1)*(1-($F36*MAX((180-(AF$5-$H$5))/180,0)))</f>
        <v>0</v>
      </c>
    </row>
    <row r="37" spans="2:32" hidden="1">
      <c r="B37" s="7" t="s">
        <v>254</v>
      </c>
      <c r="C37" s="7"/>
      <c r="D37" s="92"/>
      <c r="E37" s="91">
        <v>44835</v>
      </c>
      <c r="F37" s="94">
        <v>0</v>
      </c>
      <c r="G37" s="16"/>
      <c r="H37" s="46">
        <f>MIN(MAX(H$5-$E37,0)/('Salon Model'!$F$32*(365/12)),1)*(1-($F37*MAX((180-(H$5-$H$5))/180,0)))</f>
        <v>0</v>
      </c>
      <c r="I37" s="46">
        <f>MIN(MAX(I$5-$E37,0)/('Salon Model'!$F$32*(365/12)),1)*(1-($F37*MAX((180-(I$5-$H$5))/180,0)))</f>
        <v>0</v>
      </c>
      <c r="J37" s="46">
        <f>MIN(MAX(J$5-$E37,0)/('Salon Model'!$F$32*(365/12)),1)*(1-($F37*MAX((180-(J$5-$H$5))/180,0)))</f>
        <v>0</v>
      </c>
      <c r="K37" s="46">
        <f>MIN(MAX(K$5-$E37,0)/('Salon Model'!$F$32*(365/12)),1)*(1-($F37*MAX((180-(K$5-$H$5))/180,0)))</f>
        <v>0</v>
      </c>
      <c r="L37" s="46">
        <f>MIN(MAX(L$5-$E37,0)/('Salon Model'!$F$32*(365/12)),1)*(1-($F37*MAX((180-(L$5-$H$5))/180,0)))</f>
        <v>0</v>
      </c>
      <c r="M37" s="46">
        <f>MIN(MAX(M$5-$E37,0)/('Salon Model'!$F$32*(365/12)),1)*(1-($F37*MAX((180-(M$5-$H$5))/180,0)))</f>
        <v>0</v>
      </c>
      <c r="N37" s="46">
        <f>MIN(MAX(N$5-$E37,0)/('Salon Model'!$F$32*(365/12)),1)*(1-($F37*MAX((180-(N$5-$H$5))/180,0)))</f>
        <v>0</v>
      </c>
      <c r="O37" s="46">
        <f>MIN(MAX(O$5-$E37,0)/('Salon Model'!$F$32*(365/12)),1)*(1-($F37*MAX((180-(O$5-$H$5))/180,0)))</f>
        <v>0</v>
      </c>
      <c r="P37" s="46">
        <f>MIN(MAX(P$5-$E37,0)/('Salon Model'!$F$32*(365/12)),1)*(1-($F37*MAX((180-(P$5-$H$5))/180,0)))</f>
        <v>0</v>
      </c>
      <c r="Q37" s="46">
        <f>MIN(MAX(Q$5-$E37,0)/('Salon Model'!$F$32*(365/12)),1)*(1-($F37*MAX((180-(Q$5-$H$5))/180,0)))</f>
        <v>0</v>
      </c>
      <c r="R37" s="46">
        <f>MIN(MAX(R$5-$E37,0)/('Salon Model'!$F$32*(365/12)),1)*(1-($F37*MAX((180-(R$5-$H$5))/180,0)))</f>
        <v>0</v>
      </c>
      <c r="S37" s="46">
        <f>MIN(MAX(S$5-$E37,0)/('Salon Model'!$F$32*(365/12)),1)*(1-($F37*MAX((180-(S$5-$H$5))/180,0)))</f>
        <v>0</v>
      </c>
      <c r="T37" s="46">
        <f>MIN(MAX(T$5-$E37,0)/('Salon Model'!$F$32*(365/12)),1)*(1-($F37*MAX((180-(T$5-$H$5))/180,0)))</f>
        <v>0</v>
      </c>
      <c r="U37" s="46">
        <f>MIN(MAX(U$5-$E37,0)/('Salon Model'!$F$32*(365/12)),1)*(1-($F37*MAX((180-(U$5-$H$5))/180,0)))</f>
        <v>0</v>
      </c>
      <c r="V37" s="46">
        <f>MIN(MAX(V$5-$E37,0)/('Salon Model'!$F$32*(365/12)),1)*(1-($F37*MAX((180-(V$5-$H$5))/180,0)))</f>
        <v>0</v>
      </c>
      <c r="W37" s="46">
        <f>MIN(MAX(W$5-$E37,0)/('Salon Model'!$F$32*(365/12)),1)*(1-($F37*MAX((180-(W$5-$H$5))/180,0)))</f>
        <v>0</v>
      </c>
      <c r="X37" s="46">
        <f>MIN(MAX(X$5-$E37,0)/('Salon Model'!$F$32*(365/12)),1)*(1-($F37*MAX((180-(X$5-$H$5))/180,0)))</f>
        <v>0</v>
      </c>
      <c r="Y37" s="46">
        <f>MIN(MAX(Y$5-$E37,0)/('Salon Model'!$F$32*(365/12)),1)*(1-($F37*MAX((180-(Y$5-$H$5))/180,0)))</f>
        <v>0</v>
      </c>
      <c r="Z37" s="46">
        <f>MIN(MAX(Z$5-$E37,0)/('Salon Model'!$F$32*(365/12)),1)*(1-($F37*MAX((180-(Z$5-$H$5))/180,0)))</f>
        <v>0</v>
      </c>
      <c r="AA37" s="46">
        <f>MIN(MAX(AA$5-$E37,0)/('Salon Model'!$F$32*(365/12)),1)*(1-($F37*MAX((180-(AA$5-$H$5))/180,0)))</f>
        <v>0</v>
      </c>
      <c r="AB37" s="46">
        <f>MIN(MAX(AB$5-$E37,0)/('Salon Model'!$F$32*(365/12)),1)*(1-($F37*MAX((180-(AB$5-$H$5))/180,0)))</f>
        <v>0</v>
      </c>
      <c r="AC37" s="46">
        <f>MIN(MAX(AC$5-$E37,0)/('Salon Model'!$F$32*(365/12)),1)*(1-($F37*MAX((180-(AC$5-$H$5))/180,0)))</f>
        <v>0</v>
      </c>
      <c r="AD37" s="46">
        <f>MIN(MAX(AD$5-$E37,0)/('Salon Model'!$F$32*(365/12)),1)*(1-($F37*MAX((180-(AD$5-$H$5))/180,0)))</f>
        <v>0</v>
      </c>
      <c r="AE37" s="46">
        <f>MIN(MAX(AE$5-$E37,0)/('Salon Model'!$F$32*(365/12)),1)*(1-($F37*MAX((180-(AE$5-$H$5))/180,0)))</f>
        <v>0</v>
      </c>
      <c r="AF37" s="46">
        <f>MIN(MAX(AF$5-$E37,0)/('Salon Model'!$F$32*(365/12)),1)*(1-($F37*MAX((180-(AF$5-$H$5))/180,0)))</f>
        <v>0</v>
      </c>
    </row>
    <row r="38" spans="2:32" hidden="1">
      <c r="B38" s="7" t="s">
        <v>255</v>
      </c>
      <c r="C38" s="7"/>
      <c r="D38" s="92"/>
      <c r="E38" s="93">
        <v>44927</v>
      </c>
      <c r="F38" s="94">
        <v>0</v>
      </c>
      <c r="G38" s="16"/>
      <c r="H38" s="46">
        <f>MIN(MAX(H$5-$E38,0)/('Salon Model'!$F$32*(365/12)),1)*(1-($F38*MAX((180-(H$5-$H$5))/180,0)))</f>
        <v>0</v>
      </c>
      <c r="I38" s="46">
        <f>MIN(MAX(I$5-$E38,0)/('Salon Model'!$F$32*(365/12)),1)*(1-($F38*MAX((180-(I$5-$H$5))/180,0)))</f>
        <v>0</v>
      </c>
      <c r="J38" s="46">
        <f>MIN(MAX(J$5-$E38,0)/('Salon Model'!$F$32*(365/12)),1)*(1-($F38*MAX((180-(J$5-$H$5))/180,0)))</f>
        <v>0</v>
      </c>
      <c r="K38" s="46">
        <f>MIN(MAX(K$5-$E38,0)/('Salon Model'!$F$32*(365/12)),1)*(1-($F38*MAX((180-(K$5-$H$5))/180,0)))</f>
        <v>0</v>
      </c>
      <c r="L38" s="46">
        <f>MIN(MAX(L$5-$E38,0)/('Salon Model'!$F$32*(365/12)),1)*(1-($F38*MAX((180-(L$5-$H$5))/180,0)))</f>
        <v>0</v>
      </c>
      <c r="M38" s="46">
        <f>MIN(MAX(M$5-$E38,0)/('Salon Model'!$F$32*(365/12)),1)*(1-($F38*MAX((180-(M$5-$H$5))/180,0)))</f>
        <v>0</v>
      </c>
      <c r="N38" s="46">
        <f>MIN(MAX(N$5-$E38,0)/('Salon Model'!$F$32*(365/12)),1)*(1-($F38*MAX((180-(N$5-$H$5))/180,0)))</f>
        <v>0</v>
      </c>
      <c r="O38" s="46">
        <f>MIN(MAX(O$5-$E38,0)/('Salon Model'!$F$32*(365/12)),1)*(1-($F38*MAX((180-(O$5-$H$5))/180,0)))</f>
        <v>0</v>
      </c>
      <c r="P38" s="46">
        <f>MIN(MAX(P$5-$E38,0)/('Salon Model'!$F$32*(365/12)),1)*(1-($F38*MAX((180-(P$5-$H$5))/180,0)))</f>
        <v>0</v>
      </c>
      <c r="Q38" s="46">
        <f>MIN(MAX(Q$5-$E38,0)/('Salon Model'!$F$32*(365/12)),1)*(1-($F38*MAX((180-(Q$5-$H$5))/180,0)))</f>
        <v>0</v>
      </c>
      <c r="R38" s="46">
        <f>MIN(MAX(R$5-$E38,0)/('Salon Model'!$F$32*(365/12)),1)*(1-($F38*MAX((180-(R$5-$H$5))/180,0)))</f>
        <v>0</v>
      </c>
      <c r="S38" s="46">
        <f>MIN(MAX(S$5-$E38,0)/('Salon Model'!$F$32*(365/12)),1)*(1-($F38*MAX((180-(S$5-$H$5))/180,0)))</f>
        <v>0</v>
      </c>
      <c r="T38" s="46">
        <f>MIN(MAX(T$5-$E38,0)/('Salon Model'!$F$32*(365/12)),1)*(1-($F38*MAX((180-(T$5-$H$5))/180,0)))</f>
        <v>0</v>
      </c>
      <c r="U38" s="46">
        <f>MIN(MAX(U$5-$E38,0)/('Salon Model'!$F$32*(365/12)),1)*(1-($F38*MAX((180-(U$5-$H$5))/180,0)))</f>
        <v>0</v>
      </c>
      <c r="V38" s="46">
        <f>MIN(MAX(V$5-$E38,0)/('Salon Model'!$F$32*(365/12)),1)*(1-($F38*MAX((180-(V$5-$H$5))/180,0)))</f>
        <v>0</v>
      </c>
      <c r="W38" s="46">
        <f>MIN(MAX(W$5-$E38,0)/('Salon Model'!$F$32*(365/12)),1)*(1-($F38*MAX((180-(W$5-$H$5))/180,0)))</f>
        <v>0</v>
      </c>
      <c r="X38" s="46">
        <f>MIN(MAX(X$5-$E38,0)/('Salon Model'!$F$32*(365/12)),1)*(1-($F38*MAX((180-(X$5-$H$5))/180,0)))</f>
        <v>0</v>
      </c>
      <c r="Y38" s="46">
        <f>MIN(MAX(Y$5-$E38,0)/('Salon Model'!$F$32*(365/12)),1)*(1-($F38*MAX((180-(Y$5-$H$5))/180,0)))</f>
        <v>0</v>
      </c>
      <c r="Z38" s="46">
        <f>MIN(MAX(Z$5-$E38,0)/('Salon Model'!$F$32*(365/12)),1)*(1-($F38*MAX((180-(Z$5-$H$5))/180,0)))</f>
        <v>0</v>
      </c>
      <c r="AA38" s="46">
        <f>MIN(MAX(AA$5-$E38,0)/('Salon Model'!$F$32*(365/12)),1)*(1-($F38*MAX((180-(AA$5-$H$5))/180,0)))</f>
        <v>0</v>
      </c>
      <c r="AB38" s="46">
        <f>MIN(MAX(AB$5-$E38,0)/('Salon Model'!$F$32*(365/12)),1)*(1-($F38*MAX((180-(AB$5-$H$5))/180,0)))</f>
        <v>0</v>
      </c>
      <c r="AC38" s="46">
        <f>MIN(MAX(AC$5-$E38,0)/('Salon Model'!$F$32*(365/12)),1)*(1-($F38*MAX((180-(AC$5-$H$5))/180,0)))</f>
        <v>0</v>
      </c>
      <c r="AD38" s="46">
        <f>MIN(MAX(AD$5-$E38,0)/('Salon Model'!$F$32*(365/12)),1)*(1-($F38*MAX((180-(AD$5-$H$5))/180,0)))</f>
        <v>0</v>
      </c>
      <c r="AE38" s="46">
        <f>MIN(MAX(AE$5-$E38,0)/('Salon Model'!$F$32*(365/12)),1)*(1-($F38*MAX((180-(AE$5-$H$5))/180,0)))</f>
        <v>0</v>
      </c>
      <c r="AF38" s="46">
        <f>MIN(MAX(AF$5-$E38,0)/('Salon Model'!$F$32*(365/12)),1)*(1-($F38*MAX((180-(AF$5-$H$5))/180,0)))</f>
        <v>0</v>
      </c>
    </row>
    <row r="39" spans="2:32" s="16" customFormat="1" hidden="1">
      <c r="B39" s="7" t="s">
        <v>256</v>
      </c>
      <c r="C39" s="7"/>
      <c r="D39" s="92"/>
      <c r="E39" s="93">
        <v>45017</v>
      </c>
      <c r="F39" s="94">
        <v>0</v>
      </c>
      <c r="H39" s="46">
        <f>MIN(MAX(H$5-$E39,0)/('Salon Model'!$F$32*(365/12)),1)*(1-($F39*MAX((180-(H$5-$H$5))/180,0)))</f>
        <v>0</v>
      </c>
      <c r="I39" s="46">
        <f>MIN(MAX(I$5-$E39,0)/('Salon Model'!$F$32*(365/12)),1)*(1-($F39*MAX((180-(I$5-$H$5))/180,0)))</f>
        <v>0</v>
      </c>
      <c r="J39" s="46">
        <f>MIN(MAX(J$5-$E39,0)/('Salon Model'!$F$32*(365/12)),1)*(1-($F39*MAX((180-(J$5-$H$5))/180,0)))</f>
        <v>0</v>
      </c>
      <c r="K39" s="46">
        <f>MIN(MAX(K$5-$E39,0)/('Salon Model'!$F$32*(365/12)),1)*(1-($F39*MAX((180-(K$5-$H$5))/180,0)))</f>
        <v>0</v>
      </c>
      <c r="L39" s="46">
        <f>MIN(MAX(L$5-$E39,0)/('Salon Model'!$F$32*(365/12)),1)*(1-($F39*MAX((180-(L$5-$H$5))/180,0)))</f>
        <v>0</v>
      </c>
      <c r="M39" s="46">
        <f>MIN(MAX(M$5-$E39,0)/('Salon Model'!$F$32*(365/12)),1)*(1-($F39*MAX((180-(M$5-$H$5))/180,0)))</f>
        <v>0</v>
      </c>
      <c r="N39" s="46">
        <f>MIN(MAX(N$5-$E39,0)/('Salon Model'!$F$32*(365/12)),1)*(1-($F39*MAX((180-(N$5-$H$5))/180,0)))</f>
        <v>0</v>
      </c>
      <c r="O39" s="46">
        <f>MIN(MAX(O$5-$E39,0)/('Salon Model'!$F$32*(365/12)),1)*(1-($F39*MAX((180-(O$5-$H$5))/180,0)))</f>
        <v>0</v>
      </c>
      <c r="P39" s="46">
        <f>MIN(MAX(P$5-$E39,0)/('Salon Model'!$F$32*(365/12)),1)*(1-($F39*MAX((180-(P$5-$H$5))/180,0)))</f>
        <v>0</v>
      </c>
      <c r="Q39" s="46">
        <f>MIN(MAX(Q$5-$E39,0)/('Salon Model'!$F$32*(365/12)),1)*(1-($F39*MAX((180-(Q$5-$H$5))/180,0)))</f>
        <v>0</v>
      </c>
      <c r="R39" s="46">
        <f>MIN(MAX(R$5-$E39,0)/('Salon Model'!$F$32*(365/12)),1)*(1-($F39*MAX((180-(R$5-$H$5))/180,0)))</f>
        <v>0</v>
      </c>
      <c r="S39" s="46">
        <f>MIN(MAX(S$5-$E39,0)/('Salon Model'!$F$32*(365/12)),1)*(1-($F39*MAX((180-(S$5-$H$5))/180,0)))</f>
        <v>0</v>
      </c>
      <c r="T39" s="46">
        <f>MIN(MAX(T$5-$E39,0)/('Salon Model'!$F$32*(365/12)),1)*(1-($F39*MAX((180-(T$5-$H$5))/180,0)))</f>
        <v>0</v>
      </c>
      <c r="U39" s="46">
        <f>MIN(MAX(U$5-$E39,0)/('Salon Model'!$F$32*(365/12)),1)*(1-($F39*MAX((180-(U$5-$H$5))/180,0)))</f>
        <v>0</v>
      </c>
      <c r="V39" s="46">
        <f>MIN(MAX(V$5-$E39,0)/('Salon Model'!$F$32*(365/12)),1)*(1-($F39*MAX((180-(V$5-$H$5))/180,0)))</f>
        <v>0</v>
      </c>
      <c r="W39" s="46">
        <f>MIN(MAX(W$5-$E39,0)/('Salon Model'!$F$32*(365/12)),1)*(1-($F39*MAX((180-(W$5-$H$5))/180,0)))</f>
        <v>0</v>
      </c>
      <c r="X39" s="46">
        <f>MIN(MAX(X$5-$E39,0)/('Salon Model'!$F$32*(365/12)),1)*(1-($F39*MAX((180-(X$5-$H$5))/180,0)))</f>
        <v>0</v>
      </c>
      <c r="Y39" s="46">
        <f>MIN(MAX(Y$5-$E39,0)/('Salon Model'!$F$32*(365/12)),1)*(1-($F39*MAX((180-(Y$5-$H$5))/180,0)))</f>
        <v>0</v>
      </c>
      <c r="Z39" s="46">
        <f>MIN(MAX(Z$5-$E39,0)/('Salon Model'!$F$32*(365/12)),1)*(1-($F39*MAX((180-(Z$5-$H$5))/180,0)))</f>
        <v>0</v>
      </c>
      <c r="AA39" s="46">
        <f>MIN(MAX(AA$5-$E39,0)/('Salon Model'!$F$32*(365/12)),1)*(1-($F39*MAX((180-(AA$5-$H$5))/180,0)))</f>
        <v>0</v>
      </c>
      <c r="AB39" s="46">
        <f>MIN(MAX(AB$5-$E39,0)/('Salon Model'!$F$32*(365/12)),1)*(1-($F39*MAX((180-(AB$5-$H$5))/180,0)))</f>
        <v>0</v>
      </c>
      <c r="AC39" s="46">
        <f>MIN(MAX(AC$5-$E39,0)/('Salon Model'!$F$32*(365/12)),1)*(1-($F39*MAX((180-(AC$5-$H$5))/180,0)))</f>
        <v>0</v>
      </c>
      <c r="AD39" s="46">
        <f>MIN(MAX(AD$5-$E39,0)/('Salon Model'!$F$32*(365/12)),1)*(1-($F39*MAX((180-(AD$5-$H$5))/180,0)))</f>
        <v>0</v>
      </c>
      <c r="AE39" s="46">
        <f>MIN(MAX(AE$5-$E39,0)/('Salon Model'!$F$32*(365/12)),1)*(1-($F39*MAX((180-(AE$5-$H$5))/180,0)))</f>
        <v>0</v>
      </c>
      <c r="AF39" s="46">
        <f>MIN(MAX(AF$5-$E39,0)/('Salon Model'!$F$32*(365/12)),1)*(1-($F39*MAX((180-(AF$5-$H$5))/180,0)))</f>
        <v>0</v>
      </c>
    </row>
    <row r="40" spans="2:32" hidden="1">
      <c r="B40" s="7" t="s">
        <v>257</v>
      </c>
      <c r="C40" s="7"/>
      <c r="D40" s="92"/>
      <c r="E40" s="91">
        <v>45108</v>
      </c>
      <c r="F40" s="94">
        <v>0</v>
      </c>
      <c r="G40" s="16"/>
      <c r="H40" s="46">
        <f>MIN(MAX(H$5-$E40,0)/('Salon Model'!$F$32*(365/12)),1)*(1-($F40*MAX((180-(H$5-$H$5))/180,0)))</f>
        <v>0</v>
      </c>
      <c r="I40" s="46">
        <f>MIN(MAX(I$5-$E40,0)/('Salon Model'!$F$32*(365/12)),1)*(1-($F40*MAX((180-(I$5-$H$5))/180,0)))</f>
        <v>0</v>
      </c>
      <c r="J40" s="46">
        <f>MIN(MAX(J$5-$E40,0)/('Salon Model'!$F$32*(365/12)),1)*(1-($F40*MAX((180-(J$5-$H$5))/180,0)))</f>
        <v>0</v>
      </c>
      <c r="K40" s="46">
        <f>MIN(MAX(K$5-$E40,0)/('Salon Model'!$F$32*(365/12)),1)*(1-($F40*MAX((180-(K$5-$H$5))/180,0)))</f>
        <v>0</v>
      </c>
      <c r="L40" s="46">
        <f>MIN(MAX(L$5-$E40,0)/('Salon Model'!$F$32*(365/12)),1)*(1-($F40*MAX((180-(L$5-$H$5))/180,0)))</f>
        <v>0</v>
      </c>
      <c r="M40" s="46">
        <f>MIN(MAX(M$5-$E40,0)/('Salon Model'!$F$32*(365/12)),1)*(1-($F40*MAX((180-(M$5-$H$5))/180,0)))</f>
        <v>0</v>
      </c>
      <c r="N40" s="46">
        <f>MIN(MAX(N$5-$E40,0)/('Salon Model'!$F$32*(365/12)),1)*(1-($F40*MAX((180-(N$5-$H$5))/180,0)))</f>
        <v>0</v>
      </c>
      <c r="O40" s="46">
        <f>MIN(MAX(O$5-$E40,0)/('Salon Model'!$F$32*(365/12)),1)*(1-($F40*MAX((180-(O$5-$H$5))/180,0)))</f>
        <v>0</v>
      </c>
      <c r="P40" s="46">
        <f>MIN(MAX(P$5-$E40,0)/('Salon Model'!$F$32*(365/12)),1)*(1-($F40*MAX((180-(P$5-$H$5))/180,0)))</f>
        <v>0</v>
      </c>
      <c r="Q40" s="46">
        <f>MIN(MAX(Q$5-$E40,0)/('Salon Model'!$F$32*(365/12)),1)*(1-($F40*MAX((180-(Q$5-$H$5))/180,0)))</f>
        <v>0</v>
      </c>
      <c r="R40" s="46">
        <f>MIN(MAX(R$5-$E40,0)/('Salon Model'!$F$32*(365/12)),1)*(1-($F40*MAX((180-(R$5-$H$5))/180,0)))</f>
        <v>0</v>
      </c>
      <c r="S40" s="46">
        <f>MIN(MAX(S$5-$E40,0)/('Salon Model'!$F$32*(365/12)),1)*(1-($F40*MAX((180-(S$5-$H$5))/180,0)))</f>
        <v>0</v>
      </c>
      <c r="T40" s="46">
        <f>MIN(MAX(T$5-$E40,0)/('Salon Model'!$F$32*(365/12)),1)*(1-($F40*MAX((180-(T$5-$H$5))/180,0)))</f>
        <v>0</v>
      </c>
      <c r="U40" s="46">
        <f>MIN(MAX(U$5-$E40,0)/('Salon Model'!$F$32*(365/12)),1)*(1-($F40*MAX((180-(U$5-$H$5))/180,0)))</f>
        <v>0</v>
      </c>
      <c r="V40" s="46">
        <f>MIN(MAX(V$5-$E40,0)/('Salon Model'!$F$32*(365/12)),1)*(1-($F40*MAX((180-(V$5-$H$5))/180,0)))</f>
        <v>0</v>
      </c>
      <c r="W40" s="46">
        <f>MIN(MAX(W$5-$E40,0)/('Salon Model'!$F$32*(365/12)),1)*(1-($F40*MAX((180-(W$5-$H$5))/180,0)))</f>
        <v>0</v>
      </c>
      <c r="X40" s="46">
        <f>MIN(MAX(X$5-$E40,0)/('Salon Model'!$F$32*(365/12)),1)*(1-($F40*MAX((180-(X$5-$H$5))/180,0)))</f>
        <v>0</v>
      </c>
      <c r="Y40" s="46">
        <f>MIN(MAX(Y$5-$E40,0)/('Salon Model'!$F$32*(365/12)),1)*(1-($F40*MAX((180-(Y$5-$H$5))/180,0)))</f>
        <v>0</v>
      </c>
      <c r="Z40" s="46">
        <f>MIN(MAX(Z$5-$E40,0)/('Salon Model'!$F$32*(365/12)),1)*(1-($F40*MAX((180-(Z$5-$H$5))/180,0)))</f>
        <v>0</v>
      </c>
      <c r="AA40" s="46">
        <f>MIN(MAX(AA$5-$E40,0)/('Salon Model'!$F$32*(365/12)),1)*(1-($F40*MAX((180-(AA$5-$H$5))/180,0)))</f>
        <v>0</v>
      </c>
      <c r="AB40" s="46">
        <f>MIN(MAX(AB$5-$E40,0)/('Salon Model'!$F$32*(365/12)),1)*(1-($F40*MAX((180-(AB$5-$H$5))/180,0)))</f>
        <v>0</v>
      </c>
      <c r="AC40" s="46">
        <f>MIN(MAX(AC$5-$E40,0)/('Salon Model'!$F$32*(365/12)),1)*(1-($F40*MAX((180-(AC$5-$H$5))/180,0)))</f>
        <v>0</v>
      </c>
      <c r="AD40" s="46">
        <f>MIN(MAX(AD$5-$E40,0)/('Salon Model'!$F$32*(365/12)),1)*(1-($F40*MAX((180-(AD$5-$H$5))/180,0)))</f>
        <v>0</v>
      </c>
      <c r="AE40" s="46">
        <f>MIN(MAX(AE$5-$E40,0)/('Salon Model'!$F$32*(365/12)),1)*(1-($F40*MAX((180-(AE$5-$H$5))/180,0)))</f>
        <v>0</v>
      </c>
      <c r="AF40" s="46">
        <f>MIN(MAX(AF$5-$E40,0)/('Salon Model'!$F$32*(365/12)),1)*(1-($F40*MAX((180-(AF$5-$H$5))/180,0)))</f>
        <v>0</v>
      </c>
    </row>
    <row r="41" spans="2:32" hidden="1">
      <c r="B41" s="7" t="s">
        <v>258</v>
      </c>
      <c r="C41" s="7"/>
      <c r="D41" s="92"/>
      <c r="E41" s="93">
        <v>45200</v>
      </c>
      <c r="F41" s="94">
        <v>0</v>
      </c>
      <c r="G41" s="16"/>
      <c r="H41" s="46">
        <f>MIN(MAX(H$5-$E41,0)/('Salon Model'!$F$32*(365/12)),1)*(1-($F41*MAX((180-(H$5-$H$5))/180,0)))</f>
        <v>0</v>
      </c>
      <c r="I41" s="46">
        <f>MIN(MAX(I$5-$E41,0)/('Salon Model'!$F$32*(365/12)),1)*(1-($F41*MAX((180-(I$5-$H$5))/180,0)))</f>
        <v>0</v>
      </c>
      <c r="J41" s="46">
        <f>MIN(MAX(J$5-$E41,0)/('Salon Model'!$F$32*(365/12)),1)*(1-($F41*MAX((180-(J$5-$H$5))/180,0)))</f>
        <v>0</v>
      </c>
      <c r="K41" s="46">
        <f>MIN(MAX(K$5-$E41,0)/('Salon Model'!$F$32*(365/12)),1)*(1-($F41*MAX((180-(K$5-$H$5))/180,0)))</f>
        <v>0</v>
      </c>
      <c r="L41" s="46">
        <f>MIN(MAX(L$5-$E41,0)/('Salon Model'!$F$32*(365/12)),1)*(1-($F41*MAX((180-(L$5-$H$5))/180,0)))</f>
        <v>0</v>
      </c>
      <c r="M41" s="46">
        <f>MIN(MAX(M$5-$E41,0)/('Salon Model'!$F$32*(365/12)),1)*(1-($F41*MAX((180-(M$5-$H$5))/180,0)))</f>
        <v>0</v>
      </c>
      <c r="N41" s="46">
        <f>MIN(MAX(N$5-$E41,0)/('Salon Model'!$F$32*(365/12)),1)*(1-($F41*MAX((180-(N$5-$H$5))/180,0)))</f>
        <v>0</v>
      </c>
      <c r="O41" s="46">
        <f>MIN(MAX(O$5-$E41,0)/('Salon Model'!$F$32*(365/12)),1)*(1-($F41*MAX((180-(O$5-$H$5))/180,0)))</f>
        <v>0</v>
      </c>
      <c r="P41" s="46">
        <f>MIN(MAX(P$5-$E41,0)/('Salon Model'!$F$32*(365/12)),1)*(1-($F41*MAX((180-(P$5-$H$5))/180,0)))</f>
        <v>0</v>
      </c>
      <c r="Q41" s="46">
        <f>MIN(MAX(Q$5-$E41,0)/('Salon Model'!$F$32*(365/12)),1)*(1-($F41*MAX((180-(Q$5-$H$5))/180,0)))</f>
        <v>0</v>
      </c>
      <c r="R41" s="46">
        <f>MIN(MAX(R$5-$E41,0)/('Salon Model'!$F$32*(365/12)),1)*(1-($F41*MAX((180-(R$5-$H$5))/180,0)))</f>
        <v>0</v>
      </c>
      <c r="S41" s="46">
        <f>MIN(MAX(S$5-$E41,0)/('Salon Model'!$F$32*(365/12)),1)*(1-($F41*MAX((180-(S$5-$H$5))/180,0)))</f>
        <v>0</v>
      </c>
      <c r="T41" s="46">
        <f>MIN(MAX(T$5-$E41,0)/('Salon Model'!$F$32*(365/12)),1)*(1-($F41*MAX((180-(T$5-$H$5))/180,0)))</f>
        <v>0</v>
      </c>
      <c r="U41" s="46">
        <f>MIN(MAX(U$5-$E41,0)/('Salon Model'!$F$32*(365/12)),1)*(1-($F41*MAX((180-(U$5-$H$5))/180,0)))</f>
        <v>0</v>
      </c>
      <c r="V41" s="46">
        <f>MIN(MAX(V$5-$E41,0)/('Salon Model'!$F$32*(365/12)),1)*(1-($F41*MAX((180-(V$5-$H$5))/180,0)))</f>
        <v>0</v>
      </c>
      <c r="W41" s="46">
        <f>MIN(MAX(W$5-$E41,0)/('Salon Model'!$F$32*(365/12)),1)*(1-($F41*MAX((180-(W$5-$H$5))/180,0)))</f>
        <v>0</v>
      </c>
      <c r="X41" s="46">
        <f>MIN(MAX(X$5-$E41,0)/('Salon Model'!$F$32*(365/12)),1)*(1-($F41*MAX((180-(X$5-$H$5))/180,0)))</f>
        <v>0</v>
      </c>
      <c r="Y41" s="46">
        <f>MIN(MAX(Y$5-$E41,0)/('Salon Model'!$F$32*(365/12)),1)*(1-($F41*MAX((180-(Y$5-$H$5))/180,0)))</f>
        <v>0</v>
      </c>
      <c r="Z41" s="46">
        <f>MIN(MAX(Z$5-$E41,0)/('Salon Model'!$F$32*(365/12)),1)*(1-($F41*MAX((180-(Z$5-$H$5))/180,0)))</f>
        <v>0</v>
      </c>
      <c r="AA41" s="46">
        <f>MIN(MAX(AA$5-$E41,0)/('Salon Model'!$F$32*(365/12)),1)*(1-($F41*MAX((180-(AA$5-$H$5))/180,0)))</f>
        <v>0</v>
      </c>
      <c r="AB41" s="46">
        <f>MIN(MAX(AB$5-$E41,0)/('Salon Model'!$F$32*(365/12)),1)*(1-($F41*MAX((180-(AB$5-$H$5))/180,0)))</f>
        <v>0</v>
      </c>
      <c r="AC41" s="46">
        <f>MIN(MAX(AC$5-$E41,0)/('Salon Model'!$F$32*(365/12)),1)*(1-($F41*MAX((180-(AC$5-$H$5))/180,0)))</f>
        <v>0</v>
      </c>
      <c r="AD41" s="46">
        <f>MIN(MAX(AD$5-$E41,0)/('Salon Model'!$F$32*(365/12)),1)*(1-($F41*MAX((180-(AD$5-$H$5))/180,0)))</f>
        <v>0</v>
      </c>
      <c r="AE41" s="46">
        <f>MIN(MAX(AE$5-$E41,0)/('Salon Model'!$F$32*(365/12)),1)*(1-($F41*MAX((180-(AE$5-$H$5))/180,0)))</f>
        <v>0</v>
      </c>
      <c r="AF41" s="46">
        <f>MIN(MAX(AF$5-$E41,0)/('Salon Model'!$F$32*(365/12)),1)*(1-($F41*MAX((180-(AF$5-$H$5))/180,0)))</f>
        <v>0</v>
      </c>
    </row>
    <row r="42" spans="2:32" hidden="1">
      <c r="B42" s="95" t="s">
        <v>259</v>
      </c>
      <c r="C42" s="95"/>
      <c r="D42" s="95"/>
      <c r="E42" s="96">
        <v>45627</v>
      </c>
      <c r="F42" s="97">
        <v>0</v>
      </c>
      <c r="G42" s="15"/>
      <c r="H42" s="47">
        <f>MIN(MAX(H$5-$E42,0)/('Salon Model'!$F$32*(365/12)),1)*(1-($F42*MAX((180-(H$5-$H$5))/180,0)))</f>
        <v>0</v>
      </c>
      <c r="I42" s="47">
        <f>MIN(MAX(I$5-$E42,0)/('Salon Model'!$F$32*(365/12)),1)*(1-($F42*MAX((180-(I$5-$H$5))/180,0)))</f>
        <v>0</v>
      </c>
      <c r="J42" s="47">
        <f>MIN(MAX(J$5-$E42,0)/('Salon Model'!$F$32*(365/12)),1)*(1-($F42*MAX((180-(J$5-$H$5))/180,0)))</f>
        <v>0</v>
      </c>
      <c r="K42" s="47">
        <f>MIN(MAX(K$5-$E42,0)/('Salon Model'!$F$32*(365/12)),1)*(1-($F42*MAX((180-(K$5-$H$5))/180,0)))</f>
        <v>0</v>
      </c>
      <c r="L42" s="47">
        <f>MIN(MAX(L$5-$E42,0)/('Salon Model'!$F$32*(365/12)),1)*(1-($F42*MAX((180-(L$5-$H$5))/180,0)))</f>
        <v>0</v>
      </c>
      <c r="M42" s="47">
        <f>MIN(MAX(M$5-$E42,0)/('Salon Model'!$F$32*(365/12)),1)*(1-($F42*MAX((180-(M$5-$H$5))/180,0)))</f>
        <v>0</v>
      </c>
      <c r="N42" s="47">
        <f>MIN(MAX(N$5-$E42,0)/('Salon Model'!$F$32*(365/12)),1)*(1-($F42*MAX((180-(N$5-$H$5))/180,0)))</f>
        <v>0</v>
      </c>
      <c r="O42" s="47">
        <f>MIN(MAX(O$5-$E42,0)/('Salon Model'!$F$32*(365/12)),1)*(1-($F42*MAX((180-(O$5-$H$5))/180,0)))</f>
        <v>0</v>
      </c>
      <c r="P42" s="47">
        <f>MIN(MAX(P$5-$E42,0)/('Salon Model'!$F$32*(365/12)),1)*(1-($F42*MAX((180-(P$5-$H$5))/180,0)))</f>
        <v>0</v>
      </c>
      <c r="Q42" s="47">
        <f>MIN(MAX(Q$5-$E42,0)/('Salon Model'!$F$32*(365/12)),1)*(1-($F42*MAX((180-(Q$5-$H$5))/180,0)))</f>
        <v>0</v>
      </c>
      <c r="R42" s="47">
        <f>MIN(MAX(R$5-$E42,0)/('Salon Model'!$F$32*(365/12)),1)*(1-($F42*MAX((180-(R$5-$H$5))/180,0)))</f>
        <v>0</v>
      </c>
      <c r="S42" s="47">
        <f>MIN(MAX(S$5-$E42,0)/('Salon Model'!$F$32*(365/12)),1)*(1-($F42*MAX((180-(S$5-$H$5))/180,0)))</f>
        <v>0</v>
      </c>
      <c r="T42" s="47">
        <f>MIN(MAX(T$5-$E42,0)/('Salon Model'!$F$32*(365/12)),1)*(1-($F42*MAX((180-(T$5-$H$5))/180,0)))</f>
        <v>0</v>
      </c>
      <c r="U42" s="47">
        <f>MIN(MAX(U$5-$E42,0)/('Salon Model'!$F$32*(365/12)),1)*(1-($F42*MAX((180-(U$5-$H$5))/180,0)))</f>
        <v>0</v>
      </c>
      <c r="V42" s="47">
        <f>MIN(MAX(V$5-$E42,0)/('Salon Model'!$F$32*(365/12)),1)*(1-($F42*MAX((180-(V$5-$H$5))/180,0)))</f>
        <v>0</v>
      </c>
      <c r="W42" s="47">
        <f>MIN(MAX(W$5-$E42,0)/('Salon Model'!$F$32*(365/12)),1)*(1-($F42*MAX((180-(W$5-$H$5))/180,0)))</f>
        <v>0</v>
      </c>
      <c r="X42" s="47">
        <f>MIN(MAX(X$5-$E42,0)/('Salon Model'!$F$32*(365/12)),1)*(1-($F42*MAX((180-(X$5-$H$5))/180,0)))</f>
        <v>0</v>
      </c>
      <c r="Y42" s="47">
        <f>MIN(MAX(Y$5-$E42,0)/('Salon Model'!$F$32*(365/12)),1)*(1-($F42*MAX((180-(Y$5-$H$5))/180,0)))</f>
        <v>0</v>
      </c>
      <c r="Z42" s="47">
        <f>MIN(MAX(Z$5-$E42,0)/('Salon Model'!$F$32*(365/12)),1)*(1-($F42*MAX((180-(Z$5-$H$5))/180,0)))</f>
        <v>0</v>
      </c>
      <c r="AA42" s="47">
        <f>MIN(MAX(AA$5-$E42,0)/('Salon Model'!$F$32*(365/12)),1)*(1-($F42*MAX((180-(AA$5-$H$5))/180,0)))</f>
        <v>0</v>
      </c>
      <c r="AB42" s="47">
        <f>MIN(MAX(AB$5-$E42,0)/('Salon Model'!$F$32*(365/12)),1)*(1-($F42*MAX((180-(AB$5-$H$5))/180,0)))</f>
        <v>0</v>
      </c>
      <c r="AC42" s="47">
        <f>MIN(MAX(AC$5-$E42,0)/('Salon Model'!$F$32*(365/12)),1)*(1-($F42*MAX((180-(AC$5-$H$5))/180,0)))</f>
        <v>0</v>
      </c>
      <c r="AD42" s="47">
        <f>MIN(MAX(AD$5-$E42,0)/('Salon Model'!$F$32*(365/12)),1)*(1-($F42*MAX((180-(AD$5-$H$5))/180,0)))</f>
        <v>0</v>
      </c>
      <c r="AE42" s="47">
        <f>MIN(MAX(AE$5-$E42,0)/('Salon Model'!$F$32*(365/12)),1)*(1-($F42*MAX((180-(AE$5-$H$5))/180,0)))</f>
        <v>0</v>
      </c>
      <c r="AF42" s="47">
        <f>MIN(MAX(AF$5-$E42,0)/('Salon Model'!$F$32*(365/12)),1)*(1-($F42*MAX((180-(AF$5-$H$5))/180,0)))</f>
        <v>0</v>
      </c>
    </row>
    <row r="43" spans="2:32">
      <c r="B43" s="379" t="s">
        <v>64</v>
      </c>
      <c r="C43" s="379"/>
      <c r="D43" s="379"/>
      <c r="E43" s="379"/>
      <c r="F43" s="379"/>
      <c r="G43" s="379"/>
      <c r="H43" s="379">
        <f t="shared" ref="H43:AF43" si="0">COUNTIF(H6:H42,"&gt;0")</f>
        <v>7</v>
      </c>
      <c r="I43" s="379">
        <f t="shared" si="0"/>
        <v>7</v>
      </c>
      <c r="J43" s="379">
        <f t="shared" si="0"/>
        <v>8</v>
      </c>
      <c r="K43" s="379">
        <f t="shared" si="0"/>
        <v>8</v>
      </c>
      <c r="L43" s="379">
        <f t="shared" si="0"/>
        <v>9</v>
      </c>
      <c r="M43" s="379">
        <f t="shared" si="0"/>
        <v>9</v>
      </c>
      <c r="N43" s="379">
        <f t="shared" si="0"/>
        <v>9</v>
      </c>
      <c r="O43" s="379">
        <f t="shared" si="0"/>
        <v>10</v>
      </c>
      <c r="P43" s="379">
        <f t="shared" si="0"/>
        <v>10</v>
      </c>
      <c r="Q43" s="379">
        <f t="shared" si="0"/>
        <v>11</v>
      </c>
      <c r="R43" s="379">
        <f t="shared" si="0"/>
        <v>11</v>
      </c>
      <c r="S43" s="379">
        <f t="shared" si="0"/>
        <v>11</v>
      </c>
      <c r="T43" s="379">
        <f t="shared" si="0"/>
        <v>13</v>
      </c>
      <c r="U43" s="379">
        <f t="shared" si="0"/>
        <v>13</v>
      </c>
      <c r="V43" s="379">
        <f t="shared" si="0"/>
        <v>13</v>
      </c>
      <c r="W43" s="379">
        <f t="shared" si="0"/>
        <v>14</v>
      </c>
      <c r="X43" s="379">
        <f t="shared" si="0"/>
        <v>14</v>
      </c>
      <c r="Y43" s="379">
        <f t="shared" si="0"/>
        <v>14</v>
      </c>
      <c r="Z43" s="379">
        <f t="shared" si="0"/>
        <v>15</v>
      </c>
      <c r="AA43" s="379">
        <f t="shared" si="0"/>
        <v>15</v>
      </c>
      <c r="AB43" s="379">
        <f t="shared" si="0"/>
        <v>15</v>
      </c>
      <c r="AC43" s="379">
        <f t="shared" si="0"/>
        <v>16</v>
      </c>
      <c r="AD43" s="379">
        <f t="shared" si="0"/>
        <v>16</v>
      </c>
      <c r="AE43" s="379">
        <f t="shared" si="0"/>
        <v>16</v>
      </c>
      <c r="AF43" s="379">
        <f t="shared" si="0"/>
        <v>20</v>
      </c>
    </row>
    <row r="44" spans="2:32">
      <c r="B44" t="s">
        <v>170</v>
      </c>
      <c r="H44" s="20">
        <f t="shared" ref="H44:AF44" si="1">AVERAGEIF(H6:H42,"&gt;0")</f>
        <v>0.2102878214091341</v>
      </c>
      <c r="I44" s="20">
        <f t="shared" si="1"/>
        <v>0.29116835638247862</v>
      </c>
      <c r="J44" s="20">
        <f t="shared" si="1"/>
        <v>0.32577334438742062</v>
      </c>
      <c r="K44" s="20">
        <f t="shared" si="1"/>
        <v>0.40691122918875516</v>
      </c>
      <c r="L44" s="20">
        <f t="shared" si="1"/>
        <v>0.43831087198203911</v>
      </c>
      <c r="M44" s="20">
        <f t="shared" si="1"/>
        <v>0.51980136062387294</v>
      </c>
      <c r="N44" s="20">
        <f t="shared" si="1"/>
        <v>0.59908675799086764</v>
      </c>
      <c r="O44" s="20">
        <f t="shared" si="1"/>
        <v>0.56890410958904103</v>
      </c>
      <c r="P44" s="20">
        <f t="shared" si="1"/>
        <v>0.59863013698630152</v>
      </c>
      <c r="Q44" s="20">
        <f t="shared" si="1"/>
        <v>0.57409713574097132</v>
      </c>
      <c r="R44" s="20">
        <f t="shared" si="1"/>
        <v>0.60498132004981331</v>
      </c>
      <c r="S44" s="20">
        <f t="shared" si="1"/>
        <v>0.6348692403486923</v>
      </c>
      <c r="T44" s="20">
        <f t="shared" si="1"/>
        <v>0.56796628029504748</v>
      </c>
      <c r="U44" s="20">
        <f t="shared" si="1"/>
        <v>0.59736564805057957</v>
      </c>
      <c r="V44" s="20">
        <f t="shared" si="1"/>
        <v>0.62391991570073746</v>
      </c>
      <c r="W44" s="20">
        <f t="shared" si="1"/>
        <v>0.60968688845401187</v>
      </c>
      <c r="X44" s="20">
        <f t="shared" si="1"/>
        <v>0.63610567514677119</v>
      </c>
      <c r="Y44" s="20">
        <f t="shared" si="1"/>
        <v>0.66340508806262222</v>
      </c>
      <c r="Z44" s="20">
        <f t="shared" si="1"/>
        <v>0.64657534246575343</v>
      </c>
      <c r="AA44" s="20">
        <f t="shared" si="1"/>
        <v>0.6748858447488586</v>
      </c>
      <c r="AB44" s="20">
        <f t="shared" si="1"/>
        <v>0.70319634703196354</v>
      </c>
      <c r="AC44" s="20">
        <f t="shared" si="1"/>
        <v>0.6875</v>
      </c>
      <c r="AD44" s="20">
        <f t="shared" si="1"/>
        <v>0.71404109589041087</v>
      </c>
      <c r="AE44" s="20">
        <f t="shared" si="1"/>
        <v>0.73972602739726023</v>
      </c>
      <c r="AF44" s="20">
        <f t="shared" si="1"/>
        <v>0.83123287671232882</v>
      </c>
    </row>
  </sheetData>
  <sortState ref="B5:AE34">
    <sortCondition ref="E5:E3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39"/>
  <sheetViews>
    <sheetView showGridLines="0" workbookViewId="0">
      <selection activeCell="E39" sqref="E39"/>
    </sheetView>
  </sheetViews>
  <sheetFormatPr baseColWidth="10" defaultRowHeight="15" x14ac:dyDescent="0"/>
  <cols>
    <col min="1" max="1" width="6.1640625" customWidth="1"/>
    <col min="2" max="2" width="1.33203125" customWidth="1"/>
    <col min="3" max="3" width="2.1640625" customWidth="1"/>
    <col min="4" max="4" width="32.83203125" customWidth="1"/>
    <col min="5" max="5" width="10.83203125" customWidth="1"/>
    <col min="6" max="6" width="11.1640625" customWidth="1"/>
    <col min="7" max="7" width="11.1640625" style="19" customWidth="1"/>
    <col min="8" max="8" width="1.33203125" style="19" customWidth="1"/>
    <col min="9" max="32" width="11.5" bestFit="1" customWidth="1"/>
  </cols>
  <sheetData>
    <row r="2" spans="2:32" ht="43" customHeight="1">
      <c r="B2" s="100"/>
      <c r="C2" s="101" t="s">
        <v>175</v>
      </c>
    </row>
    <row r="3" spans="2:32" ht="33" customHeight="1">
      <c r="B3" s="102"/>
      <c r="C3" s="101"/>
    </row>
    <row r="4" spans="2:32" ht="30">
      <c r="E4" s="3" t="s">
        <v>127</v>
      </c>
      <c r="F4" s="78" t="s">
        <v>149</v>
      </c>
      <c r="G4" s="79" t="s">
        <v>150</v>
      </c>
      <c r="H4" s="79"/>
      <c r="I4" s="26">
        <v>42736</v>
      </c>
      <c r="J4" s="26">
        <v>42767</v>
      </c>
      <c r="K4" s="26">
        <v>42795</v>
      </c>
      <c r="L4" s="26">
        <v>42826</v>
      </c>
      <c r="M4" s="26">
        <v>42856</v>
      </c>
      <c r="N4" s="26">
        <v>42887</v>
      </c>
      <c r="O4" s="26">
        <v>42917</v>
      </c>
      <c r="P4" s="26">
        <v>42948</v>
      </c>
      <c r="Q4" s="26">
        <v>42979</v>
      </c>
      <c r="R4" s="26">
        <v>43009</v>
      </c>
      <c r="S4" s="26">
        <v>43040</v>
      </c>
      <c r="T4" s="26">
        <v>43070</v>
      </c>
      <c r="U4" s="26">
        <v>43101</v>
      </c>
      <c r="V4" s="26">
        <v>43132</v>
      </c>
      <c r="W4" s="26">
        <v>43160</v>
      </c>
      <c r="X4" s="26">
        <v>43191</v>
      </c>
      <c r="Y4" s="26">
        <v>43221</v>
      </c>
      <c r="Z4" s="26">
        <v>43252</v>
      </c>
      <c r="AA4" s="26">
        <v>43282</v>
      </c>
      <c r="AB4" s="26">
        <v>43313</v>
      </c>
      <c r="AC4" s="26">
        <v>43344</v>
      </c>
      <c r="AD4" s="26">
        <v>43374</v>
      </c>
      <c r="AE4" s="26">
        <v>43405</v>
      </c>
      <c r="AF4" s="26">
        <v>43435</v>
      </c>
    </row>
    <row r="5" spans="2:32">
      <c r="B5" s="1" t="s">
        <v>122</v>
      </c>
      <c r="E5" s="59"/>
      <c r="F5" s="59"/>
      <c r="G5" s="60"/>
      <c r="H5" s="60"/>
    </row>
    <row r="6" spans="2:32">
      <c r="C6" t="s">
        <v>129</v>
      </c>
      <c r="E6" s="59"/>
      <c r="F6" s="59"/>
      <c r="G6" s="60"/>
      <c r="H6" s="60"/>
    </row>
    <row r="7" spans="2:32">
      <c r="D7" t="s">
        <v>112</v>
      </c>
      <c r="E7" s="63">
        <v>100000</v>
      </c>
      <c r="F7" s="64">
        <v>0.05</v>
      </c>
      <c r="G7" s="65">
        <v>41640</v>
      </c>
      <c r="H7" s="60"/>
      <c r="I7" s="55">
        <f t="shared" ref="I7:R10" si="0">IF(I$4&gt;=$G7,((1+(FLOOR((I$4-$I$4)/365,1)*$F7)) * $E7)/12,0)</f>
        <v>8333.3333333333339</v>
      </c>
      <c r="J7" s="55">
        <f t="shared" si="0"/>
        <v>8333.3333333333339</v>
      </c>
      <c r="K7" s="55">
        <f t="shared" si="0"/>
        <v>8333.3333333333339</v>
      </c>
      <c r="L7" s="55">
        <f t="shared" si="0"/>
        <v>8333.3333333333339</v>
      </c>
      <c r="M7" s="55">
        <f t="shared" si="0"/>
        <v>8333.3333333333339</v>
      </c>
      <c r="N7" s="55">
        <f t="shared" si="0"/>
        <v>8333.3333333333339</v>
      </c>
      <c r="O7" s="55">
        <f t="shared" si="0"/>
        <v>8333.3333333333339</v>
      </c>
      <c r="P7" s="55">
        <f t="shared" si="0"/>
        <v>8333.3333333333339</v>
      </c>
      <c r="Q7" s="55">
        <f t="shared" si="0"/>
        <v>8333.3333333333339</v>
      </c>
      <c r="R7" s="55">
        <f t="shared" si="0"/>
        <v>8333.3333333333339</v>
      </c>
      <c r="S7" s="55">
        <f t="shared" ref="S7:AF10" si="1">IF(S$4&gt;=$G7,((1+(FLOOR((S$4-$I$4)/365,1)*$F7)) * $E7)/12,0)</f>
        <v>8333.3333333333339</v>
      </c>
      <c r="T7" s="55">
        <f t="shared" si="1"/>
        <v>8333.3333333333339</v>
      </c>
      <c r="U7" s="55">
        <f t="shared" si="1"/>
        <v>8750</v>
      </c>
      <c r="V7" s="55">
        <f t="shared" si="1"/>
        <v>8750</v>
      </c>
      <c r="W7" s="55">
        <f t="shared" si="1"/>
        <v>8750</v>
      </c>
      <c r="X7" s="55">
        <f t="shared" si="1"/>
        <v>8750</v>
      </c>
      <c r="Y7" s="55">
        <f t="shared" si="1"/>
        <v>8750</v>
      </c>
      <c r="Z7" s="55">
        <f t="shared" si="1"/>
        <v>8750</v>
      </c>
      <c r="AA7" s="55">
        <f t="shared" si="1"/>
        <v>8750</v>
      </c>
      <c r="AB7" s="55">
        <f t="shared" si="1"/>
        <v>8750</v>
      </c>
      <c r="AC7" s="55">
        <f t="shared" si="1"/>
        <v>8750</v>
      </c>
      <c r="AD7" s="55">
        <f t="shared" si="1"/>
        <v>8750</v>
      </c>
      <c r="AE7" s="55">
        <f t="shared" si="1"/>
        <v>8750</v>
      </c>
      <c r="AF7" s="55">
        <f t="shared" si="1"/>
        <v>8750</v>
      </c>
    </row>
    <row r="8" spans="2:32">
      <c r="D8" t="s">
        <v>113</v>
      </c>
      <c r="E8" s="63">
        <v>100000</v>
      </c>
      <c r="F8" s="64">
        <v>0.05</v>
      </c>
      <c r="G8" s="65">
        <v>42583</v>
      </c>
      <c r="H8" s="60"/>
      <c r="I8" s="55">
        <f t="shared" si="0"/>
        <v>8333.3333333333339</v>
      </c>
      <c r="J8" s="55">
        <f t="shared" si="0"/>
        <v>8333.3333333333339</v>
      </c>
      <c r="K8" s="55">
        <f t="shared" si="0"/>
        <v>8333.3333333333339</v>
      </c>
      <c r="L8" s="55">
        <f t="shared" si="0"/>
        <v>8333.3333333333339</v>
      </c>
      <c r="M8" s="55">
        <f t="shared" si="0"/>
        <v>8333.3333333333339</v>
      </c>
      <c r="N8" s="55">
        <f t="shared" si="0"/>
        <v>8333.3333333333339</v>
      </c>
      <c r="O8" s="55">
        <f t="shared" si="0"/>
        <v>8333.3333333333339</v>
      </c>
      <c r="P8" s="55">
        <f t="shared" si="0"/>
        <v>8333.3333333333339</v>
      </c>
      <c r="Q8" s="55">
        <f t="shared" si="0"/>
        <v>8333.3333333333339</v>
      </c>
      <c r="R8" s="55">
        <f t="shared" si="0"/>
        <v>8333.3333333333339</v>
      </c>
      <c r="S8" s="55">
        <f t="shared" si="1"/>
        <v>8333.3333333333339</v>
      </c>
      <c r="T8" s="55">
        <f t="shared" si="1"/>
        <v>8333.3333333333339</v>
      </c>
      <c r="U8" s="55">
        <f t="shared" si="1"/>
        <v>8750</v>
      </c>
      <c r="V8" s="55">
        <f t="shared" si="1"/>
        <v>8750</v>
      </c>
      <c r="W8" s="55">
        <f t="shared" si="1"/>
        <v>8750</v>
      </c>
      <c r="X8" s="55">
        <f t="shared" si="1"/>
        <v>8750</v>
      </c>
      <c r="Y8" s="55">
        <f t="shared" si="1"/>
        <v>8750</v>
      </c>
      <c r="Z8" s="55">
        <f t="shared" si="1"/>
        <v>8750</v>
      </c>
      <c r="AA8" s="55">
        <f t="shared" si="1"/>
        <v>8750</v>
      </c>
      <c r="AB8" s="55">
        <f t="shared" si="1"/>
        <v>8750</v>
      </c>
      <c r="AC8" s="55">
        <f t="shared" si="1"/>
        <v>8750</v>
      </c>
      <c r="AD8" s="55">
        <f t="shared" si="1"/>
        <v>8750</v>
      </c>
      <c r="AE8" s="55">
        <f t="shared" si="1"/>
        <v>8750</v>
      </c>
      <c r="AF8" s="55">
        <f t="shared" si="1"/>
        <v>8750</v>
      </c>
    </row>
    <row r="9" spans="2:32">
      <c r="D9" t="s">
        <v>123</v>
      </c>
      <c r="E9" s="63">
        <v>75000</v>
      </c>
      <c r="F9" s="64">
        <v>7.4999999999999997E-2</v>
      </c>
      <c r="G9" s="65">
        <v>42887</v>
      </c>
      <c r="H9" s="60"/>
      <c r="I9" s="55">
        <f t="shared" si="0"/>
        <v>0</v>
      </c>
      <c r="J9" s="55">
        <f t="shared" si="0"/>
        <v>0</v>
      </c>
      <c r="K9" s="55">
        <f t="shared" si="0"/>
        <v>0</v>
      </c>
      <c r="L9" s="55">
        <f t="shared" si="0"/>
        <v>0</v>
      </c>
      <c r="M9" s="55">
        <f t="shared" si="0"/>
        <v>0</v>
      </c>
      <c r="N9" s="55">
        <f t="shared" si="0"/>
        <v>6250</v>
      </c>
      <c r="O9" s="55">
        <f t="shared" si="0"/>
        <v>6250</v>
      </c>
      <c r="P9" s="55">
        <f t="shared" si="0"/>
        <v>6250</v>
      </c>
      <c r="Q9" s="55">
        <f t="shared" si="0"/>
        <v>6250</v>
      </c>
      <c r="R9" s="55">
        <f t="shared" si="0"/>
        <v>6250</v>
      </c>
      <c r="S9" s="55">
        <f t="shared" si="1"/>
        <v>6250</v>
      </c>
      <c r="T9" s="55">
        <f t="shared" si="1"/>
        <v>6250</v>
      </c>
      <c r="U9" s="55">
        <f t="shared" si="1"/>
        <v>6718.75</v>
      </c>
      <c r="V9" s="55">
        <f t="shared" si="1"/>
        <v>6718.75</v>
      </c>
      <c r="W9" s="55">
        <f t="shared" si="1"/>
        <v>6718.75</v>
      </c>
      <c r="X9" s="55">
        <f t="shared" si="1"/>
        <v>6718.75</v>
      </c>
      <c r="Y9" s="55">
        <f t="shared" si="1"/>
        <v>6718.75</v>
      </c>
      <c r="Z9" s="55">
        <f t="shared" si="1"/>
        <v>6718.75</v>
      </c>
      <c r="AA9" s="55">
        <f t="shared" si="1"/>
        <v>6718.75</v>
      </c>
      <c r="AB9" s="55">
        <f t="shared" si="1"/>
        <v>6718.75</v>
      </c>
      <c r="AC9" s="55">
        <f t="shared" si="1"/>
        <v>6718.75</v>
      </c>
      <c r="AD9" s="55">
        <f t="shared" si="1"/>
        <v>6718.75</v>
      </c>
      <c r="AE9" s="55">
        <f t="shared" si="1"/>
        <v>6718.75</v>
      </c>
      <c r="AF9" s="55">
        <f t="shared" si="1"/>
        <v>6718.75</v>
      </c>
    </row>
    <row r="10" spans="2:32">
      <c r="D10" t="s">
        <v>124</v>
      </c>
      <c r="E10" s="63">
        <v>75000</v>
      </c>
      <c r="F10" s="64">
        <v>7.4999999999999997E-2</v>
      </c>
      <c r="G10" s="65">
        <v>42675</v>
      </c>
      <c r="H10" s="60"/>
      <c r="I10" s="55">
        <f t="shared" si="0"/>
        <v>6250</v>
      </c>
      <c r="J10" s="55">
        <f t="shared" si="0"/>
        <v>6250</v>
      </c>
      <c r="K10" s="55">
        <f t="shared" si="0"/>
        <v>6250</v>
      </c>
      <c r="L10" s="55">
        <f t="shared" si="0"/>
        <v>6250</v>
      </c>
      <c r="M10" s="55">
        <f t="shared" si="0"/>
        <v>6250</v>
      </c>
      <c r="N10" s="55">
        <f t="shared" si="0"/>
        <v>6250</v>
      </c>
      <c r="O10" s="55">
        <f t="shared" si="0"/>
        <v>6250</v>
      </c>
      <c r="P10" s="55">
        <f t="shared" si="0"/>
        <v>6250</v>
      </c>
      <c r="Q10" s="55">
        <f t="shared" si="0"/>
        <v>6250</v>
      </c>
      <c r="R10" s="55">
        <f t="shared" si="0"/>
        <v>6250</v>
      </c>
      <c r="S10" s="55">
        <f t="shared" si="1"/>
        <v>6250</v>
      </c>
      <c r="T10" s="55">
        <f t="shared" si="1"/>
        <v>6250</v>
      </c>
      <c r="U10" s="55">
        <f t="shared" si="1"/>
        <v>6718.75</v>
      </c>
      <c r="V10" s="55">
        <f t="shared" si="1"/>
        <v>6718.75</v>
      </c>
      <c r="W10" s="55">
        <f t="shared" si="1"/>
        <v>6718.75</v>
      </c>
      <c r="X10" s="55">
        <f t="shared" si="1"/>
        <v>6718.75</v>
      </c>
      <c r="Y10" s="55">
        <f t="shared" si="1"/>
        <v>6718.75</v>
      </c>
      <c r="Z10" s="55">
        <f t="shared" si="1"/>
        <v>6718.75</v>
      </c>
      <c r="AA10" s="55">
        <f t="shared" si="1"/>
        <v>6718.75</v>
      </c>
      <c r="AB10" s="55">
        <f t="shared" si="1"/>
        <v>6718.75</v>
      </c>
      <c r="AC10" s="55">
        <f t="shared" si="1"/>
        <v>6718.75</v>
      </c>
      <c r="AD10" s="55">
        <f t="shared" si="1"/>
        <v>6718.75</v>
      </c>
      <c r="AE10" s="55">
        <f t="shared" si="1"/>
        <v>6718.75</v>
      </c>
      <c r="AF10" s="55">
        <f t="shared" si="1"/>
        <v>6718.75</v>
      </c>
    </row>
    <row r="11" spans="2:32">
      <c r="C11" t="s">
        <v>141</v>
      </c>
      <c r="E11" s="63"/>
      <c r="F11" s="66"/>
      <c r="G11" s="65"/>
      <c r="H11" s="60"/>
      <c r="I11" s="55"/>
      <c r="J11" s="55"/>
      <c r="K11" s="55"/>
      <c r="L11" s="55"/>
      <c r="M11" s="55"/>
      <c r="N11" s="55"/>
      <c r="O11" s="55"/>
      <c r="P11" s="55"/>
      <c r="Q11" s="55"/>
      <c r="R11" s="55"/>
      <c r="S11" s="55"/>
      <c r="T11" s="55"/>
      <c r="U11" s="55"/>
      <c r="V11" s="55"/>
      <c r="W11" s="55"/>
      <c r="X11" s="55"/>
      <c r="Y11" s="55"/>
      <c r="Z11" s="55"/>
      <c r="AA11" s="55"/>
      <c r="AB11" s="55"/>
      <c r="AC11" s="55"/>
      <c r="AD11" s="55"/>
      <c r="AE11" s="55"/>
      <c r="AF11" s="55"/>
    </row>
    <row r="12" spans="2:32">
      <c r="D12" t="s">
        <v>142</v>
      </c>
      <c r="E12" s="63">
        <v>45000</v>
      </c>
      <c r="F12" s="64">
        <v>3.5000000000000003E-2</v>
      </c>
      <c r="G12" s="65">
        <v>43101</v>
      </c>
      <c r="H12" s="60"/>
      <c r="I12" s="55">
        <f t="shared" ref="I12:AF12" si="2">IF(I$4&gt;=$G12,((1+(FLOOR((I$4-$I$4)/365,1)*$F12)) * $E12)/12,0)</f>
        <v>0</v>
      </c>
      <c r="J12" s="55">
        <f t="shared" si="2"/>
        <v>0</v>
      </c>
      <c r="K12" s="55">
        <f t="shared" si="2"/>
        <v>0</v>
      </c>
      <c r="L12" s="55">
        <f t="shared" si="2"/>
        <v>0</v>
      </c>
      <c r="M12" s="55">
        <f t="shared" si="2"/>
        <v>0</v>
      </c>
      <c r="N12" s="55">
        <f t="shared" si="2"/>
        <v>0</v>
      </c>
      <c r="O12" s="55">
        <f t="shared" si="2"/>
        <v>0</v>
      </c>
      <c r="P12" s="55">
        <f t="shared" si="2"/>
        <v>0</v>
      </c>
      <c r="Q12" s="55">
        <f t="shared" si="2"/>
        <v>0</v>
      </c>
      <c r="R12" s="55">
        <f t="shared" si="2"/>
        <v>0</v>
      </c>
      <c r="S12" s="55">
        <f t="shared" si="2"/>
        <v>0</v>
      </c>
      <c r="T12" s="55">
        <f t="shared" si="2"/>
        <v>0</v>
      </c>
      <c r="U12" s="55">
        <f t="shared" si="2"/>
        <v>3881.25</v>
      </c>
      <c r="V12" s="55">
        <f t="shared" si="2"/>
        <v>3881.25</v>
      </c>
      <c r="W12" s="55">
        <f t="shared" si="2"/>
        <v>3881.25</v>
      </c>
      <c r="X12" s="55">
        <f t="shared" si="2"/>
        <v>3881.25</v>
      </c>
      <c r="Y12" s="55">
        <f t="shared" si="2"/>
        <v>3881.25</v>
      </c>
      <c r="Z12" s="55">
        <f t="shared" si="2"/>
        <v>3881.25</v>
      </c>
      <c r="AA12" s="55">
        <f t="shared" si="2"/>
        <v>3881.25</v>
      </c>
      <c r="AB12" s="55">
        <f t="shared" si="2"/>
        <v>3881.25</v>
      </c>
      <c r="AC12" s="55">
        <f t="shared" si="2"/>
        <v>3881.25</v>
      </c>
      <c r="AD12" s="55">
        <f t="shared" si="2"/>
        <v>3881.25</v>
      </c>
      <c r="AE12" s="55">
        <f t="shared" si="2"/>
        <v>3881.25</v>
      </c>
      <c r="AF12" s="55">
        <f t="shared" si="2"/>
        <v>3881.25</v>
      </c>
    </row>
    <row r="13" spans="2:32">
      <c r="C13" t="s">
        <v>130</v>
      </c>
      <c r="E13" s="63"/>
      <c r="F13" s="66"/>
      <c r="G13" s="65"/>
      <c r="H13" s="60"/>
      <c r="I13" s="55"/>
      <c r="J13" s="55"/>
      <c r="K13" s="55"/>
      <c r="L13" s="55"/>
      <c r="M13" s="55"/>
      <c r="N13" s="55"/>
      <c r="O13" s="55"/>
      <c r="P13" s="55"/>
      <c r="Q13" s="55"/>
      <c r="R13" s="55"/>
      <c r="S13" s="55"/>
      <c r="T13" s="55"/>
      <c r="U13" s="55"/>
      <c r="V13" s="55"/>
      <c r="W13" s="55"/>
      <c r="X13" s="55"/>
      <c r="Y13" s="55"/>
      <c r="Z13" s="55"/>
      <c r="AA13" s="55"/>
      <c r="AB13" s="55"/>
      <c r="AC13" s="55"/>
      <c r="AD13" s="55"/>
      <c r="AE13" s="55"/>
      <c r="AF13" s="55"/>
    </row>
    <row r="14" spans="2:32">
      <c r="D14" t="s">
        <v>125</v>
      </c>
      <c r="E14" s="63">
        <v>75000</v>
      </c>
      <c r="F14" s="64">
        <v>0.05</v>
      </c>
      <c r="G14" s="65">
        <v>42522</v>
      </c>
      <c r="H14" s="60"/>
      <c r="I14" s="55">
        <f t="shared" ref="I14:AF14" si="3">IF(I$4&gt;=$G14,((1+(FLOOR((I$4-$I$4)/365,1)*$F14)) * $E14)/12,0)</f>
        <v>6250</v>
      </c>
      <c r="J14" s="55">
        <f t="shared" si="3"/>
        <v>6250</v>
      </c>
      <c r="K14" s="55">
        <f t="shared" si="3"/>
        <v>6250</v>
      </c>
      <c r="L14" s="55">
        <f t="shared" si="3"/>
        <v>6250</v>
      </c>
      <c r="M14" s="55">
        <f t="shared" si="3"/>
        <v>6250</v>
      </c>
      <c r="N14" s="55">
        <f t="shared" si="3"/>
        <v>6250</v>
      </c>
      <c r="O14" s="55">
        <f t="shared" si="3"/>
        <v>6250</v>
      </c>
      <c r="P14" s="55">
        <f t="shared" si="3"/>
        <v>6250</v>
      </c>
      <c r="Q14" s="55">
        <f t="shared" si="3"/>
        <v>6250</v>
      </c>
      <c r="R14" s="55">
        <f t="shared" si="3"/>
        <v>6250</v>
      </c>
      <c r="S14" s="55">
        <f t="shared" si="3"/>
        <v>6250</v>
      </c>
      <c r="T14" s="55">
        <f t="shared" si="3"/>
        <v>6250</v>
      </c>
      <c r="U14" s="55">
        <f t="shared" si="3"/>
        <v>6562.5</v>
      </c>
      <c r="V14" s="55">
        <f t="shared" si="3"/>
        <v>6562.5</v>
      </c>
      <c r="W14" s="55">
        <f t="shared" si="3"/>
        <v>6562.5</v>
      </c>
      <c r="X14" s="55">
        <f t="shared" si="3"/>
        <v>6562.5</v>
      </c>
      <c r="Y14" s="55">
        <f t="shared" si="3"/>
        <v>6562.5</v>
      </c>
      <c r="Z14" s="55">
        <f t="shared" si="3"/>
        <v>6562.5</v>
      </c>
      <c r="AA14" s="55">
        <f t="shared" si="3"/>
        <v>6562.5</v>
      </c>
      <c r="AB14" s="55">
        <f t="shared" si="3"/>
        <v>6562.5</v>
      </c>
      <c r="AC14" s="55">
        <f t="shared" si="3"/>
        <v>6562.5</v>
      </c>
      <c r="AD14" s="55">
        <f t="shared" si="3"/>
        <v>6562.5</v>
      </c>
      <c r="AE14" s="55">
        <f t="shared" si="3"/>
        <v>6562.5</v>
      </c>
      <c r="AF14" s="55">
        <f t="shared" si="3"/>
        <v>6562.5</v>
      </c>
    </row>
    <row r="15" spans="2:32">
      <c r="D15" t="s">
        <v>131</v>
      </c>
      <c r="E15" s="63">
        <v>60000</v>
      </c>
      <c r="F15" s="64">
        <v>0.05</v>
      </c>
      <c r="G15" s="65">
        <v>43101</v>
      </c>
      <c r="H15" s="60"/>
      <c r="I15" s="55"/>
      <c r="J15" s="55"/>
      <c r="K15" s="55"/>
      <c r="L15" s="55"/>
      <c r="M15" s="55"/>
      <c r="N15" s="55"/>
      <c r="O15" s="55"/>
      <c r="P15" s="55"/>
      <c r="Q15" s="55"/>
      <c r="R15" s="55"/>
      <c r="S15" s="55"/>
      <c r="T15" s="55"/>
      <c r="U15" s="55"/>
      <c r="V15" s="55"/>
      <c r="W15" s="55"/>
      <c r="X15" s="55"/>
      <c r="Y15" s="55"/>
      <c r="Z15" s="55"/>
      <c r="AA15" s="55"/>
      <c r="AB15" s="55"/>
      <c r="AC15" s="55"/>
      <c r="AD15" s="55"/>
      <c r="AE15" s="55"/>
      <c r="AF15" s="55"/>
    </row>
    <row r="16" spans="2:32">
      <c r="C16" t="s">
        <v>126</v>
      </c>
      <c r="E16" s="63"/>
      <c r="F16" s="66"/>
      <c r="G16" s="65"/>
      <c r="H16" s="60"/>
      <c r="I16" s="55"/>
      <c r="J16" s="55"/>
      <c r="K16" s="55"/>
      <c r="L16" s="55"/>
      <c r="M16" s="55"/>
      <c r="N16" s="55"/>
      <c r="O16" s="55"/>
      <c r="P16" s="55"/>
      <c r="Q16" s="55"/>
      <c r="R16" s="55"/>
      <c r="S16" s="55"/>
      <c r="T16" s="55"/>
      <c r="U16" s="55"/>
      <c r="V16" s="55"/>
      <c r="W16" s="55"/>
      <c r="X16" s="55"/>
      <c r="Y16" s="55"/>
      <c r="Z16" s="55"/>
      <c r="AA16" s="55"/>
      <c r="AB16" s="55"/>
      <c r="AC16" s="55"/>
      <c r="AD16" s="55"/>
      <c r="AE16" s="55"/>
      <c r="AF16" s="55"/>
    </row>
    <row r="17" spans="2:32">
      <c r="D17" t="s">
        <v>133</v>
      </c>
      <c r="E17" s="63">
        <v>35000</v>
      </c>
      <c r="F17" s="64">
        <v>3.5000000000000003E-2</v>
      </c>
      <c r="G17" s="65">
        <v>42461</v>
      </c>
      <c r="H17" s="60"/>
      <c r="I17" s="55">
        <f t="shared" ref="I17:R18" si="4">IF(I$4&gt;=$G17,((1+(FLOOR((I$4-$I$4)/365,1)*$F17)) * $E17)/12,0)</f>
        <v>2916.6666666666665</v>
      </c>
      <c r="J17" s="55">
        <f t="shared" si="4"/>
        <v>2916.6666666666665</v>
      </c>
      <c r="K17" s="55">
        <f t="shared" si="4"/>
        <v>2916.6666666666665</v>
      </c>
      <c r="L17" s="55">
        <f t="shared" si="4"/>
        <v>2916.6666666666665</v>
      </c>
      <c r="M17" s="55">
        <f t="shared" si="4"/>
        <v>2916.6666666666665</v>
      </c>
      <c r="N17" s="55">
        <f t="shared" si="4"/>
        <v>2916.6666666666665</v>
      </c>
      <c r="O17" s="55">
        <f t="shared" si="4"/>
        <v>2916.6666666666665</v>
      </c>
      <c r="P17" s="55">
        <f t="shared" si="4"/>
        <v>2916.6666666666665</v>
      </c>
      <c r="Q17" s="55">
        <f t="shared" si="4"/>
        <v>2916.6666666666665</v>
      </c>
      <c r="R17" s="55">
        <f t="shared" si="4"/>
        <v>2916.6666666666665</v>
      </c>
      <c r="S17" s="55">
        <f t="shared" ref="S17:AF18" si="5">IF(S$4&gt;=$G17,((1+(FLOOR((S$4-$I$4)/365,1)*$F17)) * $E17)/12,0)</f>
        <v>2916.6666666666665</v>
      </c>
      <c r="T17" s="55">
        <f t="shared" si="5"/>
        <v>2916.6666666666665</v>
      </c>
      <c r="U17" s="55">
        <f t="shared" si="5"/>
        <v>3018.75</v>
      </c>
      <c r="V17" s="55">
        <f t="shared" si="5"/>
        <v>3018.75</v>
      </c>
      <c r="W17" s="55">
        <f t="shared" si="5"/>
        <v>3018.75</v>
      </c>
      <c r="X17" s="55">
        <f t="shared" si="5"/>
        <v>3018.75</v>
      </c>
      <c r="Y17" s="55">
        <f t="shared" si="5"/>
        <v>3018.75</v>
      </c>
      <c r="Z17" s="55">
        <f t="shared" si="5"/>
        <v>3018.75</v>
      </c>
      <c r="AA17" s="55">
        <f t="shared" si="5"/>
        <v>3018.75</v>
      </c>
      <c r="AB17" s="55">
        <f t="shared" si="5"/>
        <v>3018.75</v>
      </c>
      <c r="AC17" s="55">
        <f t="shared" si="5"/>
        <v>3018.75</v>
      </c>
      <c r="AD17" s="55">
        <f t="shared" si="5"/>
        <v>3018.75</v>
      </c>
      <c r="AE17" s="55">
        <f t="shared" si="5"/>
        <v>3018.75</v>
      </c>
      <c r="AF17" s="55">
        <f t="shared" si="5"/>
        <v>3018.75</v>
      </c>
    </row>
    <row r="18" spans="2:32">
      <c r="D18" t="s">
        <v>133</v>
      </c>
      <c r="E18" s="63">
        <v>35000</v>
      </c>
      <c r="F18" s="64">
        <v>3.5000000000000003E-2</v>
      </c>
      <c r="G18" s="65">
        <v>43101</v>
      </c>
      <c r="H18" s="60"/>
      <c r="I18" s="55">
        <f t="shared" si="4"/>
        <v>0</v>
      </c>
      <c r="J18" s="55">
        <f t="shared" si="4"/>
        <v>0</v>
      </c>
      <c r="K18" s="55">
        <f t="shared" si="4"/>
        <v>0</v>
      </c>
      <c r="L18" s="55">
        <f t="shared" si="4"/>
        <v>0</v>
      </c>
      <c r="M18" s="55">
        <f t="shared" si="4"/>
        <v>0</v>
      </c>
      <c r="N18" s="55">
        <f t="shared" si="4"/>
        <v>0</v>
      </c>
      <c r="O18" s="55">
        <f t="shared" si="4"/>
        <v>0</v>
      </c>
      <c r="P18" s="55">
        <f t="shared" si="4"/>
        <v>0</v>
      </c>
      <c r="Q18" s="55">
        <f t="shared" si="4"/>
        <v>0</v>
      </c>
      <c r="R18" s="55">
        <f t="shared" si="4"/>
        <v>0</v>
      </c>
      <c r="S18" s="55">
        <f t="shared" si="5"/>
        <v>0</v>
      </c>
      <c r="T18" s="55">
        <f t="shared" si="5"/>
        <v>0</v>
      </c>
      <c r="U18" s="55">
        <f t="shared" si="5"/>
        <v>3018.75</v>
      </c>
      <c r="V18" s="55">
        <f t="shared" si="5"/>
        <v>3018.75</v>
      </c>
      <c r="W18" s="55">
        <f t="shared" si="5"/>
        <v>3018.75</v>
      </c>
      <c r="X18" s="55">
        <f t="shared" si="5"/>
        <v>3018.75</v>
      </c>
      <c r="Y18" s="55">
        <f t="shared" si="5"/>
        <v>3018.75</v>
      </c>
      <c r="Z18" s="55">
        <f t="shared" si="5"/>
        <v>3018.75</v>
      </c>
      <c r="AA18" s="55">
        <f t="shared" si="5"/>
        <v>3018.75</v>
      </c>
      <c r="AB18" s="55">
        <f t="shared" si="5"/>
        <v>3018.75</v>
      </c>
      <c r="AC18" s="55">
        <f t="shared" si="5"/>
        <v>3018.75</v>
      </c>
      <c r="AD18" s="55">
        <f t="shared" si="5"/>
        <v>3018.75</v>
      </c>
      <c r="AE18" s="55">
        <f t="shared" si="5"/>
        <v>3018.75</v>
      </c>
      <c r="AF18" s="55">
        <f t="shared" si="5"/>
        <v>3018.75</v>
      </c>
    </row>
    <row r="19" spans="2:32">
      <c r="C19" t="s">
        <v>143</v>
      </c>
      <c r="E19" s="63"/>
      <c r="F19" s="66"/>
      <c r="G19" s="65"/>
      <c r="H19" s="60"/>
      <c r="I19" s="55"/>
      <c r="J19" s="55"/>
      <c r="K19" s="55"/>
      <c r="L19" s="55"/>
      <c r="M19" s="55"/>
      <c r="N19" s="55"/>
      <c r="O19" s="55"/>
      <c r="P19" s="55"/>
      <c r="Q19" s="55"/>
      <c r="R19" s="55"/>
      <c r="S19" s="55"/>
      <c r="T19" s="55"/>
      <c r="U19" s="55"/>
      <c r="V19" s="55"/>
      <c r="W19" s="55"/>
      <c r="X19" s="55"/>
      <c r="Y19" s="55"/>
      <c r="Z19" s="55"/>
      <c r="AA19" s="55"/>
      <c r="AB19" s="55"/>
      <c r="AC19" s="55"/>
      <c r="AD19" s="55"/>
      <c r="AE19" s="55"/>
      <c r="AF19" s="55"/>
    </row>
    <row r="20" spans="2:32">
      <c r="D20" t="s">
        <v>144</v>
      </c>
      <c r="E20" s="63">
        <v>55000</v>
      </c>
      <c r="F20" s="67">
        <v>0.05</v>
      </c>
      <c r="G20" s="65">
        <v>42917</v>
      </c>
      <c r="H20" s="60"/>
      <c r="I20" s="55">
        <f t="shared" ref="I20:AF20" si="6">IF(I$4&gt;=$G20,((1+(FLOOR((I$4-$I$4)/365,1)*$F20)) * $E20)/12,0)</f>
        <v>0</v>
      </c>
      <c r="J20" s="55">
        <f t="shared" si="6"/>
        <v>0</v>
      </c>
      <c r="K20" s="55">
        <f t="shared" si="6"/>
        <v>0</v>
      </c>
      <c r="L20" s="55">
        <f t="shared" si="6"/>
        <v>0</v>
      </c>
      <c r="M20" s="55">
        <f t="shared" si="6"/>
        <v>0</v>
      </c>
      <c r="N20" s="55">
        <f t="shared" si="6"/>
        <v>0</v>
      </c>
      <c r="O20" s="55">
        <f t="shared" si="6"/>
        <v>4583.333333333333</v>
      </c>
      <c r="P20" s="55">
        <f t="shared" si="6"/>
        <v>4583.333333333333</v>
      </c>
      <c r="Q20" s="55">
        <f t="shared" si="6"/>
        <v>4583.333333333333</v>
      </c>
      <c r="R20" s="55">
        <f t="shared" si="6"/>
        <v>4583.333333333333</v>
      </c>
      <c r="S20" s="55">
        <f t="shared" si="6"/>
        <v>4583.333333333333</v>
      </c>
      <c r="T20" s="55">
        <f t="shared" si="6"/>
        <v>4583.333333333333</v>
      </c>
      <c r="U20" s="55">
        <f t="shared" si="6"/>
        <v>4812.5</v>
      </c>
      <c r="V20" s="55">
        <f t="shared" si="6"/>
        <v>4812.5</v>
      </c>
      <c r="W20" s="55">
        <f t="shared" si="6"/>
        <v>4812.5</v>
      </c>
      <c r="X20" s="55">
        <f t="shared" si="6"/>
        <v>4812.5</v>
      </c>
      <c r="Y20" s="55">
        <f t="shared" si="6"/>
        <v>4812.5</v>
      </c>
      <c r="Z20" s="55">
        <f t="shared" si="6"/>
        <v>4812.5</v>
      </c>
      <c r="AA20" s="55">
        <f t="shared" si="6"/>
        <v>4812.5</v>
      </c>
      <c r="AB20" s="55">
        <f t="shared" si="6"/>
        <v>4812.5</v>
      </c>
      <c r="AC20" s="55">
        <f t="shared" si="6"/>
        <v>4812.5</v>
      </c>
      <c r="AD20" s="55">
        <f t="shared" si="6"/>
        <v>4812.5</v>
      </c>
      <c r="AE20" s="55">
        <f t="shared" si="6"/>
        <v>4812.5</v>
      </c>
      <c r="AF20" s="55">
        <f t="shared" si="6"/>
        <v>4812.5</v>
      </c>
    </row>
    <row r="21" spans="2:32">
      <c r="C21" t="s">
        <v>95</v>
      </c>
      <c r="E21" s="63"/>
      <c r="F21" s="66"/>
      <c r="G21" s="65"/>
      <c r="H21" s="60"/>
      <c r="I21" s="55"/>
      <c r="J21" s="55"/>
      <c r="K21" s="55"/>
      <c r="L21" s="55"/>
      <c r="M21" s="55"/>
      <c r="N21" s="55"/>
      <c r="O21" s="55"/>
      <c r="P21" s="55"/>
      <c r="Q21" s="55"/>
      <c r="R21" s="55"/>
      <c r="S21" s="55"/>
      <c r="T21" s="55"/>
      <c r="U21" s="55"/>
      <c r="V21" s="55"/>
      <c r="W21" s="55"/>
      <c r="X21" s="55"/>
      <c r="Y21" s="55"/>
      <c r="Z21" s="55"/>
      <c r="AA21" s="55"/>
      <c r="AB21" s="55"/>
      <c r="AC21" s="55"/>
      <c r="AD21" s="55"/>
      <c r="AE21" s="55"/>
      <c r="AF21" s="55"/>
    </row>
    <row r="22" spans="2:32">
      <c r="D22" t="s">
        <v>147</v>
      </c>
      <c r="E22" s="63">
        <v>110000</v>
      </c>
      <c r="F22" s="64">
        <v>7.4999999999999997E-2</v>
      </c>
      <c r="G22" s="65">
        <v>42767</v>
      </c>
      <c r="H22" s="60"/>
      <c r="I22" s="55">
        <f t="shared" ref="I22:R23" si="7">IF(I$4&gt;=$G22,((1+(FLOOR((I$4-$I$4)/365,1)*$F22)) * $E22)/12,0)</f>
        <v>0</v>
      </c>
      <c r="J22" s="55">
        <f t="shared" si="7"/>
        <v>9166.6666666666661</v>
      </c>
      <c r="K22" s="55">
        <f t="shared" si="7"/>
        <v>9166.6666666666661</v>
      </c>
      <c r="L22" s="55">
        <f t="shared" si="7"/>
        <v>9166.6666666666661</v>
      </c>
      <c r="M22" s="55">
        <f t="shared" si="7"/>
        <v>9166.6666666666661</v>
      </c>
      <c r="N22" s="55">
        <f t="shared" si="7"/>
        <v>9166.6666666666661</v>
      </c>
      <c r="O22" s="55">
        <f t="shared" si="7"/>
        <v>9166.6666666666661</v>
      </c>
      <c r="P22" s="55">
        <f t="shared" si="7"/>
        <v>9166.6666666666661</v>
      </c>
      <c r="Q22" s="55">
        <f t="shared" si="7"/>
        <v>9166.6666666666661</v>
      </c>
      <c r="R22" s="55">
        <f t="shared" si="7"/>
        <v>9166.6666666666661</v>
      </c>
      <c r="S22" s="55">
        <f t="shared" ref="S22:AF23" si="8">IF(S$4&gt;=$G22,((1+(FLOOR((S$4-$I$4)/365,1)*$F22)) * $E22)/12,0)</f>
        <v>9166.6666666666661</v>
      </c>
      <c r="T22" s="55">
        <f t="shared" si="8"/>
        <v>9166.6666666666661</v>
      </c>
      <c r="U22" s="55">
        <f t="shared" si="8"/>
        <v>9854.1666666666661</v>
      </c>
      <c r="V22" s="55">
        <f t="shared" si="8"/>
        <v>9854.1666666666661</v>
      </c>
      <c r="W22" s="55">
        <f t="shared" si="8"/>
        <v>9854.1666666666661</v>
      </c>
      <c r="X22" s="55">
        <f t="shared" si="8"/>
        <v>9854.1666666666661</v>
      </c>
      <c r="Y22" s="55">
        <f t="shared" si="8"/>
        <v>9854.1666666666661</v>
      </c>
      <c r="Z22" s="55">
        <f t="shared" si="8"/>
        <v>9854.1666666666661</v>
      </c>
      <c r="AA22" s="55">
        <f t="shared" si="8"/>
        <v>9854.1666666666661</v>
      </c>
      <c r="AB22" s="55">
        <f t="shared" si="8"/>
        <v>9854.1666666666661</v>
      </c>
      <c r="AC22" s="55">
        <f t="shared" si="8"/>
        <v>9854.1666666666661</v>
      </c>
      <c r="AD22" s="55">
        <f t="shared" si="8"/>
        <v>9854.1666666666661</v>
      </c>
      <c r="AE22" s="55">
        <f t="shared" si="8"/>
        <v>9854.1666666666661</v>
      </c>
      <c r="AF22" s="55">
        <f t="shared" si="8"/>
        <v>9854.1666666666661</v>
      </c>
    </row>
    <row r="23" spans="2:32">
      <c r="B23" s="15"/>
      <c r="C23" s="15"/>
      <c r="D23" s="15" t="s">
        <v>148</v>
      </c>
      <c r="E23" s="68">
        <v>100000</v>
      </c>
      <c r="F23" s="69">
        <v>7.4999999999999997E-2</v>
      </c>
      <c r="G23" s="70">
        <v>42795</v>
      </c>
      <c r="H23" s="61"/>
      <c r="I23" s="56">
        <f t="shared" si="7"/>
        <v>0</v>
      </c>
      <c r="J23" s="56">
        <f t="shared" si="7"/>
        <v>0</v>
      </c>
      <c r="K23" s="56">
        <f t="shared" si="7"/>
        <v>8333.3333333333339</v>
      </c>
      <c r="L23" s="56">
        <f t="shared" si="7"/>
        <v>8333.3333333333339</v>
      </c>
      <c r="M23" s="56">
        <f t="shared" si="7"/>
        <v>8333.3333333333339</v>
      </c>
      <c r="N23" s="56">
        <f t="shared" si="7"/>
        <v>8333.3333333333339</v>
      </c>
      <c r="O23" s="56">
        <f t="shared" si="7"/>
        <v>8333.3333333333339</v>
      </c>
      <c r="P23" s="56">
        <f t="shared" si="7"/>
        <v>8333.3333333333339</v>
      </c>
      <c r="Q23" s="56">
        <f t="shared" si="7"/>
        <v>8333.3333333333339</v>
      </c>
      <c r="R23" s="56">
        <f t="shared" si="7"/>
        <v>8333.3333333333339</v>
      </c>
      <c r="S23" s="56">
        <f t="shared" si="8"/>
        <v>8333.3333333333339</v>
      </c>
      <c r="T23" s="56">
        <f t="shared" si="8"/>
        <v>8333.3333333333339</v>
      </c>
      <c r="U23" s="56">
        <f t="shared" si="8"/>
        <v>8958.3333333333339</v>
      </c>
      <c r="V23" s="56">
        <f t="shared" si="8"/>
        <v>8958.3333333333339</v>
      </c>
      <c r="W23" s="56">
        <f t="shared" si="8"/>
        <v>8958.3333333333339</v>
      </c>
      <c r="X23" s="56">
        <f t="shared" si="8"/>
        <v>8958.3333333333339</v>
      </c>
      <c r="Y23" s="56">
        <f t="shared" si="8"/>
        <v>8958.3333333333339</v>
      </c>
      <c r="Z23" s="56">
        <f t="shared" si="8"/>
        <v>8958.3333333333339</v>
      </c>
      <c r="AA23" s="56">
        <f t="shared" si="8"/>
        <v>8958.3333333333339</v>
      </c>
      <c r="AB23" s="56">
        <f t="shared" si="8"/>
        <v>8958.3333333333339</v>
      </c>
      <c r="AC23" s="56">
        <f t="shared" si="8"/>
        <v>8958.3333333333339</v>
      </c>
      <c r="AD23" s="56">
        <f t="shared" si="8"/>
        <v>8958.3333333333339</v>
      </c>
      <c r="AE23" s="56">
        <f t="shared" si="8"/>
        <v>8958.3333333333339</v>
      </c>
      <c r="AF23" s="56">
        <f t="shared" si="8"/>
        <v>8958.3333333333339</v>
      </c>
    </row>
    <row r="24" spans="2:32" s="1" customFormat="1">
      <c r="B24" s="1" t="s">
        <v>151</v>
      </c>
      <c r="E24" s="71"/>
      <c r="F24" s="72"/>
      <c r="G24" s="73"/>
      <c r="H24" s="62"/>
      <c r="I24" s="58">
        <f>SUM(I7:I23)</f>
        <v>32083.333333333336</v>
      </c>
      <c r="J24" s="58">
        <f t="shared" ref="J24:AF24" si="9">SUM(J7:J23)</f>
        <v>41250</v>
      </c>
      <c r="K24" s="58">
        <f t="shared" si="9"/>
        <v>49583.333333333336</v>
      </c>
      <c r="L24" s="58">
        <f t="shared" si="9"/>
        <v>49583.333333333336</v>
      </c>
      <c r="M24" s="58">
        <f t="shared" si="9"/>
        <v>49583.333333333336</v>
      </c>
      <c r="N24" s="58">
        <f t="shared" si="9"/>
        <v>55833.333333333336</v>
      </c>
      <c r="O24" s="58">
        <f t="shared" si="9"/>
        <v>60416.666666666672</v>
      </c>
      <c r="P24" s="58">
        <f t="shared" si="9"/>
        <v>60416.666666666672</v>
      </c>
      <c r="Q24" s="58">
        <f t="shared" si="9"/>
        <v>60416.666666666672</v>
      </c>
      <c r="R24" s="58">
        <f t="shared" si="9"/>
        <v>60416.666666666672</v>
      </c>
      <c r="S24" s="58">
        <f t="shared" si="9"/>
        <v>60416.666666666672</v>
      </c>
      <c r="T24" s="58">
        <f t="shared" si="9"/>
        <v>60416.666666666672</v>
      </c>
      <c r="U24" s="58">
        <f t="shared" si="9"/>
        <v>71043.75</v>
      </c>
      <c r="V24" s="58">
        <f t="shared" si="9"/>
        <v>71043.75</v>
      </c>
      <c r="W24" s="58">
        <f t="shared" si="9"/>
        <v>71043.75</v>
      </c>
      <c r="X24" s="58">
        <f t="shared" si="9"/>
        <v>71043.75</v>
      </c>
      <c r="Y24" s="58">
        <f t="shared" si="9"/>
        <v>71043.75</v>
      </c>
      <c r="Z24" s="58">
        <f t="shared" si="9"/>
        <v>71043.75</v>
      </c>
      <c r="AA24" s="58">
        <f t="shared" si="9"/>
        <v>71043.75</v>
      </c>
      <c r="AB24" s="58">
        <f t="shared" si="9"/>
        <v>71043.75</v>
      </c>
      <c r="AC24" s="58">
        <f t="shared" si="9"/>
        <v>71043.75</v>
      </c>
      <c r="AD24" s="58">
        <f t="shared" si="9"/>
        <v>71043.75</v>
      </c>
      <c r="AE24" s="58">
        <f t="shared" si="9"/>
        <v>71043.75</v>
      </c>
      <c r="AF24" s="58">
        <f t="shared" si="9"/>
        <v>71043.75</v>
      </c>
    </row>
    <row r="25" spans="2:32">
      <c r="E25" s="63"/>
      <c r="F25" s="64"/>
      <c r="G25" s="65"/>
      <c r="H25" s="60"/>
      <c r="I25" s="55"/>
      <c r="J25" s="55"/>
      <c r="K25" s="55"/>
      <c r="L25" s="55"/>
      <c r="M25" s="55"/>
      <c r="N25" s="55"/>
      <c r="O25" s="55"/>
      <c r="P25" s="55"/>
      <c r="Q25" s="55"/>
      <c r="R25" s="55"/>
      <c r="S25" s="55"/>
      <c r="T25" s="55"/>
      <c r="U25" s="55"/>
      <c r="V25" s="55"/>
      <c r="W25" s="55"/>
      <c r="X25" s="55"/>
      <c r="Y25" s="55"/>
      <c r="Z25" s="55"/>
      <c r="AA25" s="55"/>
      <c r="AB25" s="55"/>
      <c r="AC25" s="55"/>
      <c r="AD25" s="55"/>
      <c r="AE25" s="55"/>
      <c r="AF25" s="55"/>
    </row>
    <row r="26" spans="2:32" s="1" customFormat="1">
      <c r="B26" s="1" t="s">
        <v>87</v>
      </c>
      <c r="E26" s="71"/>
      <c r="F26" s="74"/>
      <c r="G26" s="73"/>
      <c r="H26" s="62"/>
      <c r="I26" s="58"/>
      <c r="J26" s="58"/>
      <c r="K26" s="58"/>
      <c r="L26" s="58"/>
      <c r="M26" s="58"/>
      <c r="N26" s="58"/>
      <c r="O26" s="58"/>
      <c r="P26" s="58"/>
      <c r="Q26" s="58"/>
      <c r="R26" s="58"/>
      <c r="S26" s="58"/>
      <c r="T26" s="58"/>
      <c r="U26" s="58"/>
      <c r="V26" s="58"/>
      <c r="W26" s="58"/>
      <c r="X26" s="58"/>
      <c r="Y26" s="58"/>
      <c r="Z26" s="58"/>
      <c r="AA26" s="58"/>
      <c r="AB26" s="58"/>
      <c r="AC26" s="58"/>
      <c r="AD26" s="58"/>
      <c r="AE26" s="58"/>
      <c r="AF26" s="58"/>
    </row>
    <row r="27" spans="2:32">
      <c r="C27" t="s">
        <v>128</v>
      </c>
      <c r="E27" s="63"/>
      <c r="F27" s="66"/>
      <c r="G27" s="65"/>
      <c r="H27" s="60"/>
      <c r="I27" s="55"/>
      <c r="J27" s="55"/>
      <c r="K27" s="55"/>
      <c r="L27" s="55"/>
      <c r="M27" s="55"/>
      <c r="N27" s="55"/>
      <c r="O27" s="55"/>
      <c r="P27" s="55"/>
      <c r="Q27" s="55"/>
      <c r="R27" s="55"/>
      <c r="S27" s="55"/>
      <c r="T27" s="55"/>
      <c r="U27" s="55"/>
      <c r="V27" s="55"/>
      <c r="W27" s="55"/>
      <c r="X27" s="55"/>
      <c r="Y27" s="55"/>
      <c r="Z27" s="55"/>
      <c r="AA27" s="55"/>
      <c r="AB27" s="55"/>
      <c r="AC27" s="55"/>
      <c r="AD27" s="55"/>
      <c r="AE27" s="55"/>
      <c r="AF27" s="55"/>
    </row>
    <row r="28" spans="2:32">
      <c r="D28" t="s">
        <v>134</v>
      </c>
      <c r="E28" s="63">
        <v>42000</v>
      </c>
      <c r="F28" s="67">
        <v>0.05</v>
      </c>
      <c r="G28" s="65">
        <v>43101</v>
      </c>
      <c r="H28" s="60"/>
      <c r="I28" s="55">
        <f t="shared" ref="I28:R29" si="10">IF(I$4&gt;=$G28,((1+(FLOOR((I$4-$I$4)/365,1)*$F28)) * $E28)/12,0)</f>
        <v>0</v>
      </c>
      <c r="J28" s="55">
        <f t="shared" si="10"/>
        <v>0</v>
      </c>
      <c r="K28" s="55">
        <f t="shared" si="10"/>
        <v>0</v>
      </c>
      <c r="L28" s="55">
        <f t="shared" si="10"/>
        <v>0</v>
      </c>
      <c r="M28" s="55">
        <f t="shared" si="10"/>
        <v>0</v>
      </c>
      <c r="N28" s="55">
        <f t="shared" si="10"/>
        <v>0</v>
      </c>
      <c r="O28" s="55">
        <f t="shared" si="10"/>
        <v>0</v>
      </c>
      <c r="P28" s="55">
        <f t="shared" si="10"/>
        <v>0</v>
      </c>
      <c r="Q28" s="55">
        <f t="shared" si="10"/>
        <v>0</v>
      </c>
      <c r="R28" s="55">
        <f t="shared" si="10"/>
        <v>0</v>
      </c>
      <c r="S28" s="55">
        <f t="shared" ref="S28:AF29" si="11">IF(S$4&gt;=$G28,((1+(FLOOR((S$4-$I$4)/365,1)*$F28)) * $E28)/12,0)</f>
        <v>0</v>
      </c>
      <c r="T28" s="55">
        <f t="shared" si="11"/>
        <v>0</v>
      </c>
      <c r="U28" s="55">
        <f t="shared" si="11"/>
        <v>3675</v>
      </c>
      <c r="V28" s="55">
        <f t="shared" si="11"/>
        <v>3675</v>
      </c>
      <c r="W28" s="55">
        <f t="shared" si="11"/>
        <v>3675</v>
      </c>
      <c r="X28" s="55">
        <f t="shared" si="11"/>
        <v>3675</v>
      </c>
      <c r="Y28" s="55">
        <f t="shared" si="11"/>
        <v>3675</v>
      </c>
      <c r="Z28" s="55">
        <f t="shared" si="11"/>
        <v>3675</v>
      </c>
      <c r="AA28" s="55">
        <f t="shared" si="11"/>
        <v>3675</v>
      </c>
      <c r="AB28" s="55">
        <f t="shared" si="11"/>
        <v>3675</v>
      </c>
      <c r="AC28" s="55">
        <f t="shared" si="11"/>
        <v>3675</v>
      </c>
      <c r="AD28" s="55">
        <f t="shared" si="11"/>
        <v>3675</v>
      </c>
      <c r="AE28" s="55">
        <f t="shared" si="11"/>
        <v>3675</v>
      </c>
      <c r="AF28" s="55">
        <f t="shared" si="11"/>
        <v>3675</v>
      </c>
    </row>
    <row r="29" spans="2:32">
      <c r="D29" t="s">
        <v>135</v>
      </c>
      <c r="E29" s="63">
        <v>42000</v>
      </c>
      <c r="F29" s="67">
        <v>0.05</v>
      </c>
      <c r="G29" s="65">
        <v>43101</v>
      </c>
      <c r="H29" s="60"/>
      <c r="I29" s="55">
        <f t="shared" si="10"/>
        <v>0</v>
      </c>
      <c r="J29" s="55">
        <f t="shared" si="10"/>
        <v>0</v>
      </c>
      <c r="K29" s="55">
        <f t="shared" si="10"/>
        <v>0</v>
      </c>
      <c r="L29" s="55">
        <f t="shared" si="10"/>
        <v>0</v>
      </c>
      <c r="M29" s="55">
        <f t="shared" si="10"/>
        <v>0</v>
      </c>
      <c r="N29" s="55">
        <f t="shared" si="10"/>
        <v>0</v>
      </c>
      <c r="O29" s="55">
        <f t="shared" si="10"/>
        <v>0</v>
      </c>
      <c r="P29" s="55">
        <f t="shared" si="10"/>
        <v>0</v>
      </c>
      <c r="Q29" s="55">
        <f t="shared" si="10"/>
        <v>0</v>
      </c>
      <c r="R29" s="55">
        <f t="shared" si="10"/>
        <v>0</v>
      </c>
      <c r="S29" s="55">
        <f t="shared" si="11"/>
        <v>0</v>
      </c>
      <c r="T29" s="55">
        <f t="shared" si="11"/>
        <v>0</v>
      </c>
      <c r="U29" s="55">
        <f t="shared" si="11"/>
        <v>3675</v>
      </c>
      <c r="V29" s="55">
        <f t="shared" si="11"/>
        <v>3675</v>
      </c>
      <c r="W29" s="55">
        <f t="shared" si="11"/>
        <v>3675</v>
      </c>
      <c r="X29" s="55">
        <f t="shared" si="11"/>
        <v>3675</v>
      </c>
      <c r="Y29" s="55">
        <f t="shared" si="11"/>
        <v>3675</v>
      </c>
      <c r="Z29" s="55">
        <f t="shared" si="11"/>
        <v>3675</v>
      </c>
      <c r="AA29" s="55">
        <f t="shared" si="11"/>
        <v>3675</v>
      </c>
      <c r="AB29" s="55">
        <f t="shared" si="11"/>
        <v>3675</v>
      </c>
      <c r="AC29" s="55">
        <f t="shared" si="11"/>
        <v>3675</v>
      </c>
      <c r="AD29" s="55">
        <f t="shared" si="11"/>
        <v>3675</v>
      </c>
      <c r="AE29" s="55">
        <f t="shared" si="11"/>
        <v>3675</v>
      </c>
      <c r="AF29" s="55">
        <f t="shared" si="11"/>
        <v>3675</v>
      </c>
    </row>
    <row r="30" spans="2:32">
      <c r="C30" t="s">
        <v>138</v>
      </c>
      <c r="E30" s="63"/>
      <c r="F30" s="66"/>
      <c r="G30" s="65"/>
      <c r="H30" s="60"/>
      <c r="I30" s="55"/>
      <c r="J30" s="55"/>
      <c r="K30" s="55"/>
      <c r="L30" s="55"/>
      <c r="M30" s="55"/>
      <c r="N30" s="55"/>
      <c r="O30" s="55"/>
      <c r="P30" s="55"/>
      <c r="Q30" s="55"/>
      <c r="R30" s="55"/>
      <c r="S30" s="55"/>
      <c r="T30" s="55"/>
      <c r="U30" s="55"/>
      <c r="V30" s="55"/>
      <c r="W30" s="55"/>
      <c r="X30" s="55"/>
      <c r="Y30" s="55"/>
      <c r="Z30" s="55"/>
      <c r="AA30" s="55"/>
      <c r="AB30" s="55"/>
      <c r="AC30" s="55"/>
      <c r="AD30" s="55"/>
      <c r="AE30" s="55"/>
      <c r="AF30" s="55"/>
    </row>
    <row r="31" spans="2:32">
      <c r="D31" t="s">
        <v>145</v>
      </c>
      <c r="E31" s="63">
        <v>45000</v>
      </c>
      <c r="F31" s="64">
        <v>7.4999999999999997E-2</v>
      </c>
      <c r="G31" s="65">
        <v>42491</v>
      </c>
      <c r="H31" s="60"/>
      <c r="I31" s="55">
        <f t="shared" ref="I31:R32" si="12">IF(I$4&gt;=$G31,((1+(FLOOR((I$4-$I$4)/365,1)*$F31)) * $E31)/12,0)</f>
        <v>3750</v>
      </c>
      <c r="J31" s="55">
        <f t="shared" si="12"/>
        <v>3750</v>
      </c>
      <c r="K31" s="55">
        <f t="shared" si="12"/>
        <v>3750</v>
      </c>
      <c r="L31" s="55">
        <f t="shared" si="12"/>
        <v>3750</v>
      </c>
      <c r="M31" s="55">
        <f t="shared" si="12"/>
        <v>3750</v>
      </c>
      <c r="N31" s="55">
        <f t="shared" si="12"/>
        <v>3750</v>
      </c>
      <c r="O31" s="55">
        <f t="shared" si="12"/>
        <v>3750</v>
      </c>
      <c r="P31" s="55">
        <f t="shared" si="12"/>
        <v>3750</v>
      </c>
      <c r="Q31" s="55">
        <f t="shared" si="12"/>
        <v>3750</v>
      </c>
      <c r="R31" s="55">
        <f t="shared" si="12"/>
        <v>3750</v>
      </c>
      <c r="S31" s="55">
        <f t="shared" ref="S31:AF32" si="13">IF(S$4&gt;=$G31,((1+(FLOOR((S$4-$I$4)/365,1)*$F31)) * $E31)/12,0)</f>
        <v>3750</v>
      </c>
      <c r="T31" s="55">
        <f t="shared" si="13"/>
        <v>3750</v>
      </c>
      <c r="U31" s="55">
        <f t="shared" si="13"/>
        <v>4031.25</v>
      </c>
      <c r="V31" s="55">
        <f t="shared" si="13"/>
        <v>4031.25</v>
      </c>
      <c r="W31" s="55">
        <f t="shared" si="13"/>
        <v>4031.25</v>
      </c>
      <c r="X31" s="55">
        <f t="shared" si="13"/>
        <v>4031.25</v>
      </c>
      <c r="Y31" s="55">
        <f t="shared" si="13"/>
        <v>4031.25</v>
      </c>
      <c r="Z31" s="55">
        <f t="shared" si="13"/>
        <v>4031.25</v>
      </c>
      <c r="AA31" s="55">
        <f t="shared" si="13"/>
        <v>4031.25</v>
      </c>
      <c r="AB31" s="55">
        <f t="shared" si="13"/>
        <v>4031.25</v>
      </c>
      <c r="AC31" s="55">
        <f t="shared" si="13"/>
        <v>4031.25</v>
      </c>
      <c r="AD31" s="55">
        <f t="shared" si="13"/>
        <v>4031.25</v>
      </c>
      <c r="AE31" s="55">
        <f t="shared" si="13"/>
        <v>4031.25</v>
      </c>
      <c r="AF31" s="55">
        <f t="shared" si="13"/>
        <v>4031.25</v>
      </c>
    </row>
    <row r="32" spans="2:32">
      <c r="B32" s="15"/>
      <c r="C32" s="15"/>
      <c r="D32" s="15" t="s">
        <v>146</v>
      </c>
      <c r="E32" s="68">
        <v>30000</v>
      </c>
      <c r="F32" s="69">
        <v>7.4999999999999997E-2</v>
      </c>
      <c r="G32" s="70">
        <v>42795</v>
      </c>
      <c r="H32" s="61"/>
      <c r="I32" s="56">
        <f t="shared" si="12"/>
        <v>0</v>
      </c>
      <c r="J32" s="56">
        <f t="shared" si="12"/>
        <v>0</v>
      </c>
      <c r="K32" s="56">
        <f t="shared" si="12"/>
        <v>2500</v>
      </c>
      <c r="L32" s="56">
        <f t="shared" si="12"/>
        <v>2500</v>
      </c>
      <c r="M32" s="56">
        <f t="shared" si="12"/>
        <v>2500</v>
      </c>
      <c r="N32" s="56">
        <f t="shared" si="12"/>
        <v>2500</v>
      </c>
      <c r="O32" s="56">
        <f t="shared" si="12"/>
        <v>2500</v>
      </c>
      <c r="P32" s="56">
        <f t="shared" si="12"/>
        <v>2500</v>
      </c>
      <c r="Q32" s="56">
        <f t="shared" si="12"/>
        <v>2500</v>
      </c>
      <c r="R32" s="56">
        <f t="shared" si="12"/>
        <v>2500</v>
      </c>
      <c r="S32" s="56">
        <f t="shared" si="13"/>
        <v>2500</v>
      </c>
      <c r="T32" s="56">
        <f t="shared" si="13"/>
        <v>2500</v>
      </c>
      <c r="U32" s="56">
        <f t="shared" si="13"/>
        <v>2687.5</v>
      </c>
      <c r="V32" s="56">
        <f t="shared" si="13"/>
        <v>2687.5</v>
      </c>
      <c r="W32" s="56">
        <f t="shared" si="13"/>
        <v>2687.5</v>
      </c>
      <c r="X32" s="56">
        <f t="shared" si="13"/>
        <v>2687.5</v>
      </c>
      <c r="Y32" s="56">
        <f t="shared" si="13"/>
        <v>2687.5</v>
      </c>
      <c r="Z32" s="56">
        <f t="shared" si="13"/>
        <v>2687.5</v>
      </c>
      <c r="AA32" s="56">
        <f t="shared" si="13"/>
        <v>2687.5</v>
      </c>
      <c r="AB32" s="56">
        <f t="shared" si="13"/>
        <v>2687.5</v>
      </c>
      <c r="AC32" s="56">
        <f t="shared" si="13"/>
        <v>2687.5</v>
      </c>
      <c r="AD32" s="56">
        <f t="shared" si="13"/>
        <v>2687.5</v>
      </c>
      <c r="AE32" s="56">
        <f t="shared" si="13"/>
        <v>2687.5</v>
      </c>
      <c r="AF32" s="56">
        <f t="shared" si="13"/>
        <v>2687.5</v>
      </c>
    </row>
    <row r="33" spans="2:32" s="1" customFormat="1">
      <c r="B33" s="1" t="s">
        <v>153</v>
      </c>
      <c r="E33" s="71"/>
      <c r="F33" s="74"/>
      <c r="G33" s="73"/>
      <c r="H33" s="62"/>
      <c r="I33" s="58">
        <f t="shared" ref="I33:AF33" si="14">SUM(I27:I32)</f>
        <v>3750</v>
      </c>
      <c r="J33" s="58">
        <f t="shared" si="14"/>
        <v>3750</v>
      </c>
      <c r="K33" s="58">
        <f t="shared" si="14"/>
        <v>6250</v>
      </c>
      <c r="L33" s="58">
        <f t="shared" si="14"/>
        <v>6250</v>
      </c>
      <c r="M33" s="58">
        <f t="shared" si="14"/>
        <v>6250</v>
      </c>
      <c r="N33" s="58">
        <f t="shared" si="14"/>
        <v>6250</v>
      </c>
      <c r="O33" s="58">
        <f t="shared" si="14"/>
        <v>6250</v>
      </c>
      <c r="P33" s="58">
        <f t="shared" si="14"/>
        <v>6250</v>
      </c>
      <c r="Q33" s="58">
        <f t="shared" si="14"/>
        <v>6250</v>
      </c>
      <c r="R33" s="58">
        <f t="shared" si="14"/>
        <v>6250</v>
      </c>
      <c r="S33" s="58">
        <f t="shared" si="14"/>
        <v>6250</v>
      </c>
      <c r="T33" s="58">
        <f t="shared" si="14"/>
        <v>6250</v>
      </c>
      <c r="U33" s="58">
        <f t="shared" si="14"/>
        <v>14068.75</v>
      </c>
      <c r="V33" s="58">
        <f t="shared" si="14"/>
        <v>14068.75</v>
      </c>
      <c r="W33" s="58">
        <f t="shared" si="14"/>
        <v>14068.75</v>
      </c>
      <c r="X33" s="58">
        <f t="shared" si="14"/>
        <v>14068.75</v>
      </c>
      <c r="Y33" s="58">
        <f t="shared" si="14"/>
        <v>14068.75</v>
      </c>
      <c r="Z33" s="58">
        <f t="shared" si="14"/>
        <v>14068.75</v>
      </c>
      <c r="AA33" s="58">
        <f t="shared" si="14"/>
        <v>14068.75</v>
      </c>
      <c r="AB33" s="58">
        <f t="shared" si="14"/>
        <v>14068.75</v>
      </c>
      <c r="AC33" s="58">
        <f t="shared" si="14"/>
        <v>14068.75</v>
      </c>
      <c r="AD33" s="58">
        <f t="shared" si="14"/>
        <v>14068.75</v>
      </c>
      <c r="AE33" s="58">
        <f t="shared" si="14"/>
        <v>14068.75</v>
      </c>
      <c r="AF33" s="58">
        <f t="shared" si="14"/>
        <v>14068.75</v>
      </c>
    </row>
    <row r="34" spans="2:32">
      <c r="E34" s="63"/>
      <c r="F34" s="66"/>
      <c r="G34" s="65"/>
      <c r="H34" s="60"/>
      <c r="I34" s="55"/>
      <c r="J34" s="55"/>
      <c r="K34" s="55"/>
      <c r="L34" s="55"/>
      <c r="M34" s="55"/>
      <c r="N34" s="55"/>
      <c r="O34" s="55"/>
      <c r="P34" s="55"/>
      <c r="Q34" s="55"/>
      <c r="R34" s="55"/>
      <c r="S34" s="55"/>
      <c r="T34" s="55"/>
      <c r="U34" s="55"/>
      <c r="V34" s="55"/>
      <c r="W34" s="55"/>
      <c r="X34" s="55"/>
      <c r="Y34" s="55"/>
      <c r="Z34" s="55"/>
      <c r="AA34" s="55"/>
      <c r="AB34" s="55"/>
      <c r="AC34" s="55"/>
      <c r="AD34" s="55"/>
      <c r="AE34" s="55"/>
      <c r="AF34" s="55"/>
    </row>
    <row r="35" spans="2:32" s="1" customFormat="1">
      <c r="B35" s="1" t="s">
        <v>137</v>
      </c>
      <c r="E35" s="71"/>
      <c r="F35" s="74"/>
      <c r="G35" s="73"/>
      <c r="H35" s="62"/>
      <c r="I35" s="58"/>
      <c r="J35" s="58"/>
      <c r="K35" s="58"/>
      <c r="L35" s="58"/>
      <c r="M35" s="58"/>
      <c r="N35" s="58"/>
      <c r="O35" s="58"/>
      <c r="P35" s="58"/>
      <c r="Q35" s="58"/>
      <c r="R35" s="58"/>
      <c r="S35" s="58"/>
      <c r="T35" s="58"/>
      <c r="U35" s="58"/>
      <c r="V35" s="58"/>
      <c r="W35" s="58"/>
      <c r="X35" s="58"/>
      <c r="Y35" s="58"/>
      <c r="Z35" s="58"/>
      <c r="AA35" s="58"/>
      <c r="AB35" s="58"/>
      <c r="AC35" s="58"/>
      <c r="AD35" s="58"/>
      <c r="AE35" s="58"/>
      <c r="AF35" s="58"/>
    </row>
    <row r="36" spans="2:32">
      <c r="C36" t="s">
        <v>136</v>
      </c>
      <c r="E36" s="63">
        <f>900*12</f>
        <v>10800</v>
      </c>
      <c r="F36" s="67">
        <v>0.03</v>
      </c>
      <c r="G36" s="65">
        <v>42522</v>
      </c>
      <c r="H36" s="60"/>
      <c r="I36" s="55">
        <f t="shared" ref="I36:R38" si="15">IF(I$4&gt;=$G36,((1+(FLOOR((I$4-$I$4)/365,1)*$F36)) * $E36)/12,0)</f>
        <v>900</v>
      </c>
      <c r="J36" s="55">
        <f t="shared" si="15"/>
        <v>900</v>
      </c>
      <c r="K36" s="55">
        <f t="shared" si="15"/>
        <v>900</v>
      </c>
      <c r="L36" s="55">
        <f t="shared" si="15"/>
        <v>900</v>
      </c>
      <c r="M36" s="55">
        <f t="shared" si="15"/>
        <v>900</v>
      </c>
      <c r="N36" s="55">
        <f t="shared" si="15"/>
        <v>900</v>
      </c>
      <c r="O36" s="55">
        <f t="shared" si="15"/>
        <v>900</v>
      </c>
      <c r="P36" s="55">
        <f t="shared" si="15"/>
        <v>900</v>
      </c>
      <c r="Q36" s="55">
        <f t="shared" si="15"/>
        <v>900</v>
      </c>
      <c r="R36" s="55">
        <f t="shared" si="15"/>
        <v>900</v>
      </c>
      <c r="S36" s="55">
        <f t="shared" ref="S36:AF38" si="16">IF(S$4&gt;=$G36,((1+(FLOOR((S$4-$I$4)/365,1)*$F36)) * $E36)/12,0)</f>
        <v>900</v>
      </c>
      <c r="T36" s="55">
        <f t="shared" si="16"/>
        <v>900</v>
      </c>
      <c r="U36" s="55">
        <f t="shared" si="16"/>
        <v>927</v>
      </c>
      <c r="V36" s="55">
        <f t="shared" si="16"/>
        <v>927</v>
      </c>
      <c r="W36" s="55">
        <f t="shared" si="16"/>
        <v>927</v>
      </c>
      <c r="X36" s="55">
        <f t="shared" si="16"/>
        <v>927</v>
      </c>
      <c r="Y36" s="55">
        <f t="shared" si="16"/>
        <v>927</v>
      </c>
      <c r="Z36" s="55">
        <f t="shared" si="16"/>
        <v>927</v>
      </c>
      <c r="AA36" s="55">
        <f t="shared" si="16"/>
        <v>927</v>
      </c>
      <c r="AB36" s="55">
        <f t="shared" si="16"/>
        <v>927</v>
      </c>
      <c r="AC36" s="55">
        <f t="shared" si="16"/>
        <v>927</v>
      </c>
      <c r="AD36" s="55">
        <f t="shared" si="16"/>
        <v>927</v>
      </c>
      <c r="AE36" s="55">
        <f t="shared" si="16"/>
        <v>927</v>
      </c>
      <c r="AF36" s="55">
        <f t="shared" si="16"/>
        <v>927</v>
      </c>
    </row>
    <row r="37" spans="2:32">
      <c r="C37" t="s">
        <v>139</v>
      </c>
      <c r="E37" s="63">
        <v>14000</v>
      </c>
      <c r="F37" s="67">
        <v>0.03</v>
      </c>
      <c r="G37" s="65">
        <v>42370</v>
      </c>
      <c r="H37" s="60"/>
      <c r="I37" s="55">
        <f t="shared" si="15"/>
        <v>1166.6666666666667</v>
      </c>
      <c r="J37" s="55">
        <f t="shared" si="15"/>
        <v>1166.6666666666667</v>
      </c>
      <c r="K37" s="55">
        <f t="shared" si="15"/>
        <v>1166.6666666666667</v>
      </c>
      <c r="L37" s="55">
        <f t="shared" si="15"/>
        <v>1166.6666666666667</v>
      </c>
      <c r="M37" s="55">
        <f t="shared" si="15"/>
        <v>1166.6666666666667</v>
      </c>
      <c r="N37" s="55">
        <f t="shared" si="15"/>
        <v>1166.6666666666667</v>
      </c>
      <c r="O37" s="55">
        <f t="shared" si="15"/>
        <v>1166.6666666666667</v>
      </c>
      <c r="P37" s="55">
        <f t="shared" si="15"/>
        <v>1166.6666666666667</v>
      </c>
      <c r="Q37" s="55">
        <f t="shared" si="15"/>
        <v>1166.6666666666667</v>
      </c>
      <c r="R37" s="55">
        <f t="shared" si="15"/>
        <v>1166.6666666666667</v>
      </c>
      <c r="S37" s="55">
        <f t="shared" si="16"/>
        <v>1166.6666666666667</v>
      </c>
      <c r="T37" s="55">
        <f t="shared" si="16"/>
        <v>1166.6666666666667</v>
      </c>
      <c r="U37" s="55">
        <f t="shared" si="16"/>
        <v>1201.6666666666667</v>
      </c>
      <c r="V37" s="55">
        <f t="shared" si="16"/>
        <v>1201.6666666666667</v>
      </c>
      <c r="W37" s="55">
        <f t="shared" si="16"/>
        <v>1201.6666666666667</v>
      </c>
      <c r="X37" s="55">
        <f t="shared" si="16"/>
        <v>1201.6666666666667</v>
      </c>
      <c r="Y37" s="55">
        <f t="shared" si="16"/>
        <v>1201.6666666666667</v>
      </c>
      <c r="Z37" s="55">
        <f t="shared" si="16"/>
        <v>1201.6666666666667</v>
      </c>
      <c r="AA37" s="55">
        <f t="shared" si="16"/>
        <v>1201.6666666666667</v>
      </c>
      <c r="AB37" s="55">
        <f t="shared" si="16"/>
        <v>1201.6666666666667</v>
      </c>
      <c r="AC37" s="55">
        <f t="shared" si="16"/>
        <v>1201.6666666666667</v>
      </c>
      <c r="AD37" s="55">
        <f t="shared" si="16"/>
        <v>1201.6666666666667</v>
      </c>
      <c r="AE37" s="55">
        <f t="shared" si="16"/>
        <v>1201.6666666666667</v>
      </c>
      <c r="AF37" s="55">
        <f t="shared" si="16"/>
        <v>1201.6666666666667</v>
      </c>
    </row>
    <row r="38" spans="2:32">
      <c r="B38" s="15"/>
      <c r="C38" s="15" t="s">
        <v>140</v>
      </c>
      <c r="D38" s="15"/>
      <c r="E38" s="68">
        <f>500*12</f>
        <v>6000</v>
      </c>
      <c r="F38" s="75">
        <v>0.03</v>
      </c>
      <c r="G38" s="70">
        <v>42522</v>
      </c>
      <c r="H38" s="61"/>
      <c r="I38" s="56">
        <f t="shared" si="15"/>
        <v>500</v>
      </c>
      <c r="J38" s="56">
        <f t="shared" si="15"/>
        <v>500</v>
      </c>
      <c r="K38" s="56">
        <f t="shared" si="15"/>
        <v>500</v>
      </c>
      <c r="L38" s="56">
        <f t="shared" si="15"/>
        <v>500</v>
      </c>
      <c r="M38" s="56">
        <f t="shared" si="15"/>
        <v>500</v>
      </c>
      <c r="N38" s="56">
        <f t="shared" si="15"/>
        <v>500</v>
      </c>
      <c r="O38" s="56">
        <f t="shared" si="15"/>
        <v>500</v>
      </c>
      <c r="P38" s="56">
        <f t="shared" si="15"/>
        <v>500</v>
      </c>
      <c r="Q38" s="56">
        <f t="shared" si="15"/>
        <v>500</v>
      </c>
      <c r="R38" s="56">
        <f t="shared" si="15"/>
        <v>500</v>
      </c>
      <c r="S38" s="56">
        <f t="shared" si="16"/>
        <v>500</v>
      </c>
      <c r="T38" s="56">
        <f t="shared" si="16"/>
        <v>500</v>
      </c>
      <c r="U38" s="56">
        <f t="shared" si="16"/>
        <v>515</v>
      </c>
      <c r="V38" s="56">
        <f t="shared" si="16"/>
        <v>515</v>
      </c>
      <c r="W38" s="56">
        <f t="shared" si="16"/>
        <v>515</v>
      </c>
      <c r="X38" s="56">
        <f t="shared" si="16"/>
        <v>515</v>
      </c>
      <c r="Y38" s="56">
        <f t="shared" si="16"/>
        <v>515</v>
      </c>
      <c r="Z38" s="56">
        <f t="shared" si="16"/>
        <v>515</v>
      </c>
      <c r="AA38" s="56">
        <f t="shared" si="16"/>
        <v>515</v>
      </c>
      <c r="AB38" s="56">
        <f t="shared" si="16"/>
        <v>515</v>
      </c>
      <c r="AC38" s="56">
        <f t="shared" si="16"/>
        <v>515</v>
      </c>
      <c r="AD38" s="56">
        <f t="shared" si="16"/>
        <v>515</v>
      </c>
      <c r="AE38" s="56">
        <f t="shared" si="16"/>
        <v>515</v>
      </c>
      <c r="AF38" s="56">
        <f t="shared" si="16"/>
        <v>515</v>
      </c>
    </row>
    <row r="39" spans="2:32" s="1" customFormat="1">
      <c r="B39" s="1" t="s">
        <v>152</v>
      </c>
      <c r="E39" s="76"/>
      <c r="F39" s="76"/>
      <c r="G39" s="77"/>
      <c r="H39" s="77"/>
      <c r="I39" s="58">
        <f>SUM(I36:I38)</f>
        <v>2566.666666666667</v>
      </c>
      <c r="J39" s="58">
        <f t="shared" ref="J39:AF39" si="17">SUM(J36:J38)</f>
        <v>2566.666666666667</v>
      </c>
      <c r="K39" s="58">
        <f t="shared" si="17"/>
        <v>2566.666666666667</v>
      </c>
      <c r="L39" s="58">
        <f t="shared" si="17"/>
        <v>2566.666666666667</v>
      </c>
      <c r="M39" s="58">
        <f t="shared" si="17"/>
        <v>2566.666666666667</v>
      </c>
      <c r="N39" s="58">
        <f t="shared" si="17"/>
        <v>2566.666666666667</v>
      </c>
      <c r="O39" s="58">
        <f t="shared" si="17"/>
        <v>2566.666666666667</v>
      </c>
      <c r="P39" s="58">
        <f t="shared" si="17"/>
        <v>2566.666666666667</v>
      </c>
      <c r="Q39" s="58">
        <f t="shared" si="17"/>
        <v>2566.666666666667</v>
      </c>
      <c r="R39" s="58">
        <f t="shared" si="17"/>
        <v>2566.666666666667</v>
      </c>
      <c r="S39" s="58">
        <f t="shared" si="17"/>
        <v>2566.666666666667</v>
      </c>
      <c r="T39" s="58">
        <f t="shared" si="17"/>
        <v>2566.666666666667</v>
      </c>
      <c r="U39" s="58">
        <f t="shared" si="17"/>
        <v>2643.666666666667</v>
      </c>
      <c r="V39" s="58">
        <f t="shared" si="17"/>
        <v>2643.666666666667</v>
      </c>
      <c r="W39" s="58">
        <f t="shared" si="17"/>
        <v>2643.666666666667</v>
      </c>
      <c r="X39" s="58">
        <f t="shared" si="17"/>
        <v>2643.666666666667</v>
      </c>
      <c r="Y39" s="58">
        <f t="shared" si="17"/>
        <v>2643.666666666667</v>
      </c>
      <c r="Z39" s="58">
        <f t="shared" si="17"/>
        <v>2643.666666666667</v>
      </c>
      <c r="AA39" s="58">
        <f t="shared" si="17"/>
        <v>2643.666666666667</v>
      </c>
      <c r="AB39" s="58">
        <f t="shared" si="17"/>
        <v>2643.666666666667</v>
      </c>
      <c r="AC39" s="58">
        <f t="shared" si="17"/>
        <v>2643.666666666667</v>
      </c>
      <c r="AD39" s="58">
        <f t="shared" si="17"/>
        <v>2643.666666666667</v>
      </c>
      <c r="AE39" s="58">
        <f t="shared" si="17"/>
        <v>2643.666666666667</v>
      </c>
      <c r="AF39" s="58">
        <f t="shared" si="17"/>
        <v>2643.666666666667</v>
      </c>
    </row>
  </sheetData>
  <pageMargins left="0.75" right="0.75" top="1" bottom="1" header="0.5" footer="0.5"/>
  <pageSetup orientation="portrait" horizontalDpi="4294967292" verticalDpi="4294967292"/>
  <ignoredErrors>
    <ignoredError sqref="I24:AF24 I33:AF33" emptyCellReference="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8"/>
  <sheetViews>
    <sheetView showGridLines="0" workbookViewId="0">
      <selection activeCell="H29" sqref="H29"/>
    </sheetView>
  </sheetViews>
  <sheetFormatPr baseColWidth="10" defaultRowHeight="15" x14ac:dyDescent="0"/>
  <cols>
    <col min="1" max="1" width="3.5" customWidth="1"/>
    <col min="2" max="2" width="1" customWidth="1"/>
    <col min="3" max="3" width="27.6640625" customWidth="1"/>
    <col min="4" max="4" width="1.1640625" customWidth="1"/>
    <col min="6" max="6" width="1.33203125" customWidth="1"/>
    <col min="8" max="8" width="26.33203125" customWidth="1"/>
    <col min="9" max="9" width="1.5" customWidth="1"/>
  </cols>
  <sheetData>
    <row r="2" spans="2:10" ht="40" customHeight="1">
      <c r="B2" s="100"/>
      <c r="C2" s="101" t="s">
        <v>179</v>
      </c>
    </row>
    <row r="3" spans="2:10" ht="16" thickBot="1"/>
    <row r="4" spans="2:10">
      <c r="B4" s="114"/>
      <c r="C4" s="89" t="s">
        <v>0</v>
      </c>
      <c r="D4" s="115"/>
      <c r="E4" s="115"/>
      <c r="F4" s="116"/>
    </row>
    <row r="5" spans="2:10">
      <c r="B5" s="80"/>
      <c r="C5" s="16" t="s">
        <v>73</v>
      </c>
      <c r="D5" s="16"/>
      <c r="E5" s="16">
        <f>FLOOR(E10*E12*60/E6,1)</f>
        <v>60</v>
      </c>
      <c r="F5" s="81"/>
      <c r="H5" s="1" t="s">
        <v>69</v>
      </c>
      <c r="I5" s="1"/>
      <c r="J5" s="106">
        <f>(E15*E12)+((E10-1)*E16*E12)</f>
        <v>1680</v>
      </c>
    </row>
    <row r="6" spans="2:10">
      <c r="B6" s="80"/>
      <c r="C6" s="16" t="s">
        <v>76</v>
      </c>
      <c r="D6" s="16"/>
      <c r="E6" s="92">
        <v>20</v>
      </c>
      <c r="F6" s="82"/>
    </row>
    <row r="7" spans="2:10">
      <c r="B7" s="80"/>
      <c r="C7" s="16" t="s">
        <v>78</v>
      </c>
      <c r="D7" s="16"/>
      <c r="E7" s="16">
        <f>E5</f>
        <v>60</v>
      </c>
      <c r="F7" s="82"/>
      <c r="H7" t="s">
        <v>80</v>
      </c>
      <c r="J7" s="48">
        <f>E12*E19</f>
        <v>400</v>
      </c>
    </row>
    <row r="8" spans="2:10">
      <c r="B8" s="80"/>
      <c r="C8" s="16" t="s">
        <v>74</v>
      </c>
      <c r="D8" s="16"/>
      <c r="E8" s="94">
        <v>0.1</v>
      </c>
      <c r="F8" s="82"/>
      <c r="H8" t="s">
        <v>71</v>
      </c>
      <c r="J8" s="48">
        <v>50</v>
      </c>
    </row>
    <row r="9" spans="2:10">
      <c r="B9" s="80"/>
      <c r="C9" s="16"/>
      <c r="D9" s="16"/>
      <c r="E9" s="94"/>
      <c r="F9" s="82"/>
      <c r="H9" t="s">
        <v>81</v>
      </c>
      <c r="J9" s="48">
        <f>E17*E18</f>
        <v>250</v>
      </c>
    </row>
    <row r="10" spans="2:10">
      <c r="B10" s="80"/>
      <c r="C10" s="16" t="s">
        <v>75</v>
      </c>
      <c r="D10" s="16"/>
      <c r="E10" s="92">
        <v>5</v>
      </c>
      <c r="F10" s="82"/>
      <c r="H10" s="15" t="s">
        <v>82</v>
      </c>
      <c r="I10" s="15"/>
      <c r="J10" s="53">
        <f>E22+E20</f>
        <v>26</v>
      </c>
    </row>
    <row r="11" spans="2:10">
      <c r="B11" s="80"/>
      <c r="C11" s="16" t="s">
        <v>120</v>
      </c>
      <c r="D11" s="16"/>
      <c r="E11" s="92">
        <v>3</v>
      </c>
      <c r="F11" s="82"/>
      <c r="H11" s="1" t="s">
        <v>85</v>
      </c>
      <c r="I11" s="1"/>
      <c r="J11" s="106">
        <f>SUM(J7:J10)</f>
        <v>726</v>
      </c>
    </row>
    <row r="12" spans="2:10">
      <c r="B12" s="80"/>
      <c r="C12" s="16" t="s">
        <v>70</v>
      </c>
      <c r="D12" s="16"/>
      <c r="E12" s="92">
        <v>4</v>
      </c>
      <c r="F12" s="82"/>
    </row>
    <row r="13" spans="2:10" ht="16" thickBot="1">
      <c r="B13" s="80"/>
      <c r="C13" s="16"/>
      <c r="D13" s="16"/>
      <c r="E13" s="92"/>
      <c r="F13" s="82"/>
      <c r="H13" s="38" t="s">
        <v>52</v>
      </c>
      <c r="I13" s="38"/>
      <c r="J13" s="119">
        <f>J5-J11</f>
        <v>954</v>
      </c>
    </row>
    <row r="14" spans="2:10" ht="16" thickTop="1">
      <c r="B14" s="80"/>
      <c r="C14" s="16" t="s">
        <v>117</v>
      </c>
      <c r="D14" s="16"/>
      <c r="E14" s="92">
        <v>1500</v>
      </c>
      <c r="F14" s="82"/>
      <c r="H14" t="s">
        <v>79</v>
      </c>
      <c r="J14">
        <f>FLOOR(E8*E7,1)</f>
        <v>6</v>
      </c>
    </row>
    <row r="15" spans="2:10">
      <c r="B15" s="80"/>
      <c r="C15" s="16" t="s">
        <v>118</v>
      </c>
      <c r="D15" s="16"/>
      <c r="E15" s="92">
        <v>180</v>
      </c>
      <c r="F15" s="110"/>
    </row>
    <row r="16" spans="2:10">
      <c r="B16" s="80"/>
      <c r="C16" s="16" t="s">
        <v>119</v>
      </c>
      <c r="D16" s="16"/>
      <c r="E16" s="92">
        <v>60</v>
      </c>
      <c r="F16" s="83"/>
    </row>
    <row r="17" spans="1:8">
      <c r="B17" s="80"/>
      <c r="C17" s="16" t="s">
        <v>84</v>
      </c>
      <c r="D17" s="16"/>
      <c r="E17" s="92">
        <f>75000/2000</f>
        <v>37.5</v>
      </c>
      <c r="F17" s="112"/>
    </row>
    <row r="18" spans="1:8">
      <c r="B18" s="80"/>
      <c r="C18" s="16" t="s">
        <v>83</v>
      </c>
      <c r="D18" s="16"/>
      <c r="E18" s="109">
        <f>E12*E10 / 3</f>
        <v>6.666666666666667</v>
      </c>
      <c r="F18" s="112"/>
    </row>
    <row r="19" spans="1:8">
      <c r="B19" s="80"/>
      <c r="C19" s="16" t="s">
        <v>132</v>
      </c>
      <c r="D19" s="16"/>
      <c r="E19" s="111">
        <v>100</v>
      </c>
      <c r="F19" s="112"/>
    </row>
    <row r="20" spans="1:8">
      <c r="B20" s="80"/>
      <c r="C20" s="16" t="s">
        <v>77</v>
      </c>
      <c r="D20" s="16"/>
      <c r="E20" s="108">
        <v>1</v>
      </c>
      <c r="F20" s="113"/>
    </row>
    <row r="21" spans="1:8">
      <c r="B21" s="80"/>
      <c r="C21" s="16" t="s">
        <v>71</v>
      </c>
      <c r="D21" s="16"/>
      <c r="E21" s="108">
        <v>50</v>
      </c>
      <c r="F21" s="81"/>
    </row>
    <row r="22" spans="1:8" ht="16" thickBot="1">
      <c r="A22" s="16"/>
      <c r="B22" s="84"/>
      <c r="C22" s="85" t="s">
        <v>72</v>
      </c>
      <c r="D22" s="85"/>
      <c r="E22" s="117">
        <v>25</v>
      </c>
      <c r="F22" s="118"/>
      <c r="G22" s="16"/>
      <c r="H22" s="16"/>
    </row>
    <row r="23" spans="1:8">
      <c r="A23" s="16"/>
      <c r="B23" s="16"/>
      <c r="C23" s="16"/>
      <c r="D23" s="16"/>
      <c r="E23" s="16"/>
      <c r="F23" s="16"/>
      <c r="G23" s="16"/>
      <c r="H23" s="16"/>
    </row>
    <row r="24" spans="1:8">
      <c r="A24" s="16"/>
      <c r="B24" s="16"/>
      <c r="C24" s="16"/>
      <c r="D24" s="16"/>
      <c r="E24" s="16"/>
      <c r="F24" s="16"/>
      <c r="G24" s="16"/>
      <c r="H24" s="16"/>
    </row>
    <row r="25" spans="1:8">
      <c r="A25" s="16"/>
      <c r="B25" s="16"/>
      <c r="C25" s="16"/>
      <c r="D25" s="16"/>
      <c r="E25" s="16"/>
      <c r="F25" s="16"/>
      <c r="G25" s="16"/>
      <c r="H25" s="16"/>
    </row>
    <row r="26" spans="1:8">
      <c r="A26" s="16"/>
      <c r="B26" s="16"/>
      <c r="C26" s="16"/>
      <c r="D26" s="16"/>
      <c r="E26" s="16"/>
      <c r="F26" s="16"/>
      <c r="G26" s="16"/>
      <c r="H26" s="16"/>
    </row>
    <row r="27" spans="1:8">
      <c r="A27" s="16"/>
      <c r="B27" s="16"/>
      <c r="C27" s="16"/>
      <c r="D27" s="16"/>
      <c r="E27" s="16"/>
      <c r="F27" s="16"/>
      <c r="G27" s="16"/>
      <c r="H27" s="16"/>
    </row>
    <row r="28" spans="1:8">
      <c r="C28" s="16"/>
      <c r="D28" s="16"/>
      <c r="E28" s="1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K67"/>
  <sheetViews>
    <sheetView showGridLines="0" workbookViewId="0">
      <pane xSplit="4" ySplit="5" topLeftCell="E6" activePane="bottomRight" state="frozen"/>
      <selection pane="topRight" activeCell="E1" sqref="E1"/>
      <selection pane="bottomLeft" activeCell="A6" sqref="A6"/>
      <selection pane="bottomRight" activeCell="AJ41" sqref="AJ41"/>
    </sheetView>
  </sheetViews>
  <sheetFormatPr baseColWidth="10" defaultRowHeight="15" x14ac:dyDescent="0"/>
  <cols>
    <col min="1" max="1" width="5.1640625" customWidth="1"/>
    <col min="2" max="2" width="1.33203125" customWidth="1"/>
    <col min="3" max="3" width="2.33203125" customWidth="1"/>
    <col min="4" max="4" width="31.5" customWidth="1"/>
    <col min="5" max="5" width="8.5" style="51" customWidth="1"/>
    <col min="6" max="6" width="17.6640625" customWidth="1"/>
    <col min="7" max="8" width="14.83203125" customWidth="1"/>
    <col min="9" max="9" width="13" bestFit="1" customWidth="1"/>
    <col min="10" max="10" width="12.33203125" customWidth="1"/>
    <col min="11" max="19" width="13" bestFit="1" customWidth="1"/>
    <col min="20" max="30" width="11.6640625" bestFit="1" customWidth="1"/>
    <col min="31" max="31" width="13.1640625" customWidth="1"/>
    <col min="32" max="32" width="12" bestFit="1" customWidth="1"/>
    <col min="33" max="33" width="12" hidden="1" customWidth="1"/>
    <col min="34" max="34" width="1.83203125" customWidth="1"/>
    <col min="35" max="35" width="11.5" customWidth="1"/>
    <col min="36" max="36" width="12" bestFit="1" customWidth="1"/>
    <col min="37" max="37" width="12.5" customWidth="1"/>
  </cols>
  <sheetData>
    <row r="2" spans="2:37" ht="40" customHeight="1">
      <c r="B2" s="104"/>
      <c r="C2" s="105" t="s">
        <v>180</v>
      </c>
    </row>
    <row r="4" spans="2:37">
      <c r="H4" s="146"/>
      <c r="I4" s="16"/>
      <c r="U4" s="129"/>
    </row>
    <row r="5" spans="2:37" ht="30">
      <c r="E5" s="156" t="s">
        <v>165</v>
      </c>
      <c r="F5" s="27" t="s">
        <v>154</v>
      </c>
      <c r="G5" s="28" t="s">
        <v>155</v>
      </c>
      <c r="H5" s="147" t="s">
        <v>160</v>
      </c>
      <c r="I5" s="144">
        <v>42736</v>
      </c>
      <c r="J5" s="26">
        <v>42767</v>
      </c>
      <c r="K5" s="26">
        <v>42795</v>
      </c>
      <c r="L5" s="26">
        <v>42826</v>
      </c>
      <c r="M5" s="26">
        <v>42856</v>
      </c>
      <c r="N5" s="26">
        <v>42887</v>
      </c>
      <c r="O5" s="26">
        <v>42917</v>
      </c>
      <c r="P5" s="26">
        <v>42948</v>
      </c>
      <c r="Q5" s="26">
        <v>42979</v>
      </c>
      <c r="R5" s="26">
        <v>43009</v>
      </c>
      <c r="S5" s="26">
        <v>43040</v>
      </c>
      <c r="T5" s="26">
        <v>43070</v>
      </c>
      <c r="U5" s="130">
        <v>43101</v>
      </c>
      <c r="V5" s="26">
        <v>43132</v>
      </c>
      <c r="W5" s="26">
        <v>43160</v>
      </c>
      <c r="X5" s="26">
        <v>43191</v>
      </c>
      <c r="Y5" s="26">
        <v>43221</v>
      </c>
      <c r="Z5" s="26">
        <v>43252</v>
      </c>
      <c r="AA5" s="26">
        <v>43282</v>
      </c>
      <c r="AB5" s="26">
        <v>43313</v>
      </c>
      <c r="AC5" s="26">
        <v>43344</v>
      </c>
      <c r="AD5" s="26">
        <v>43374</v>
      </c>
      <c r="AE5" s="26">
        <v>43405</v>
      </c>
      <c r="AF5" s="26">
        <v>43435</v>
      </c>
      <c r="AG5" s="26"/>
      <c r="AH5" s="123"/>
      <c r="AI5" s="128" t="s">
        <v>162</v>
      </c>
      <c r="AJ5" s="128" t="s">
        <v>163</v>
      </c>
      <c r="AK5" s="28" t="s">
        <v>187</v>
      </c>
    </row>
    <row r="6" spans="2:37">
      <c r="B6" s="1" t="s">
        <v>109</v>
      </c>
      <c r="H6" s="146"/>
      <c r="I6" s="45"/>
      <c r="J6" s="19"/>
      <c r="K6" s="19"/>
      <c r="L6" s="19"/>
      <c r="M6" s="19"/>
      <c r="N6" s="19"/>
      <c r="O6" s="19"/>
      <c r="P6" s="19"/>
      <c r="Q6" s="19"/>
      <c r="R6" s="19"/>
      <c r="S6" s="19"/>
      <c r="T6" s="19"/>
      <c r="U6" s="131"/>
      <c r="V6" s="19"/>
      <c r="W6" s="19"/>
      <c r="X6" s="19"/>
      <c r="Y6" s="19"/>
      <c r="Z6" s="19"/>
      <c r="AA6" s="19"/>
      <c r="AB6" s="19"/>
      <c r="AC6" s="19"/>
      <c r="AD6" s="19"/>
      <c r="AE6" s="19"/>
      <c r="AF6" s="19"/>
      <c r="AG6" s="19"/>
      <c r="AH6" s="123"/>
      <c r="AI6" s="19"/>
      <c r="AJ6" s="19"/>
    </row>
    <row r="7" spans="2:37">
      <c r="C7" t="s">
        <v>65</v>
      </c>
      <c r="F7" s="21">
        <v>242438.92500000002</v>
      </c>
      <c r="G7" s="21">
        <f>((F7*G8/F8)/8)*12</f>
        <v>395101.91489361698</v>
      </c>
      <c r="H7" s="148">
        <f>G7/12</f>
        <v>32925.159574468082</v>
      </c>
      <c r="I7" s="23">
        <f>((('Salon Model'!$R$14-'Salon Model'!$J$14)*'Salon Schedule'!H44) +'Salon Model'!$J$14)*'Salon Schedule'!H43</f>
        <v>39665.593287110052</v>
      </c>
      <c r="J7" s="21">
        <f>((('Salon Model'!$R$14-'Salon Model'!$J$14)*'Salon Schedule'!I44) +'Salon Model'!$J$14)*'Salon Schedule'!I43</f>
        <v>51690.911226946919</v>
      </c>
      <c r="K7" s="21">
        <f>((('Salon Model'!$R$14-'Salon Model'!$J$14)*'Salon Schedule'!J44) +'Salon Model'!$J$14)*'Salon Schedule'!J43</f>
        <v>64955.406678310508</v>
      </c>
      <c r="L7" s="21">
        <f>((('Salon Model'!$R$14-'Salon Model'!$J$14)*'Salon Schedule'!K44) +'Salon Model'!$J$14)*'Salon Schedule'!K43</f>
        <v>78742.356063753279</v>
      </c>
      <c r="M7" s="21">
        <f>((('Salon Model'!$R$14-'Salon Model'!$J$14)*'Salon Schedule'!L44) +'Salon Model'!$J$14)*'Salon Schedule'!L43</f>
        <v>94587.506288086588</v>
      </c>
      <c r="N7" s="21">
        <f>((('Salon Model'!$R$14-'Salon Model'!$J$14)*'Salon Schedule'!M44) +'Salon Model'!$J$14)*'Salon Schedule'!M43</f>
        <v>110165.22809685954</v>
      </c>
      <c r="O7" s="21">
        <f>((('Salon Model'!$R$14-'Salon Model'!$J$14)*'Salon Schedule'!N44) +'Salon Model'!$J$14)*'Salon Schedule'!N43</f>
        <v>125321.42465753425</v>
      </c>
      <c r="P7" s="21">
        <f>((('Salon Model'!$R$14-'Salon Model'!$J$14)*'Salon Schedule'!O44) +'Salon Model'!$J$14)*'Salon Schedule'!O43</f>
        <v>132835.23287671231</v>
      </c>
      <c r="Q7" s="21">
        <f>((('Salon Model'!$R$14-'Salon Model'!$J$14)*'Salon Schedule'!P44) +'Salon Model'!$J$14)*'Salon Schedule'!P43</f>
        <v>139149.04109589045</v>
      </c>
      <c r="R7" s="21">
        <f>((('Salon Model'!$R$14-'Salon Model'!$J$14)*'Salon Schedule'!Q44) +'Salon Model'!$J$14)*'Salon Schedule'!Q43</f>
        <v>147332.05479452055</v>
      </c>
      <c r="S7" s="21">
        <f>((('Salon Model'!$R$14-'Salon Model'!$J$14)*'Salon Schedule'!R44) +'Salon Model'!$J$14)*'Salon Schedule'!R43</f>
        <v>154547.83561643839</v>
      </c>
      <c r="T7" s="21">
        <f>((('Salon Model'!$R$14-'Salon Model'!$J$14)*'Salon Schedule'!S44) +'Salon Model'!$J$14)*'Salon Schedule'!S43</f>
        <v>161530.84931506845</v>
      </c>
      <c r="U7" s="132">
        <f>((('Salon Model'!$R$14-'Salon Model'!$J$14)*'Salon Schedule'!T44) +'Salon Model'!$J$14)*'Salon Schedule'!T43</f>
        <v>172426.84931506851</v>
      </c>
      <c r="V7" s="21">
        <f>((('Salon Model'!$R$14-'Salon Model'!$J$14)*'Salon Schedule'!U44) +'Salon Model'!$J$14)*'Salon Schedule'!U43</f>
        <v>180544.60273972602</v>
      </c>
      <c r="W7" s="21">
        <f>((('Salon Model'!$R$14-'Salon Model'!$J$14)*'Salon Schedule'!V44) +'Salon Model'!$J$14)*'Salon Schedule'!V43</f>
        <v>187876.76712328763</v>
      </c>
      <c r="X7" s="21">
        <f>((('Salon Model'!$R$14-'Salon Model'!$J$14)*'Salon Schedule'!W44) +'Salon Model'!$J$14)*'Salon Schedule'!W43</f>
        <v>198096.49315068495</v>
      </c>
      <c r="Y7" s="21">
        <f>((('Salon Model'!$R$14-'Salon Model'!$J$14)*'Salon Schedule'!X44) +'Salon Model'!$J$14)*'Salon Schedule'!X43</f>
        <v>205952.38356164389</v>
      </c>
      <c r="Z7" s="21">
        <f>((('Salon Model'!$R$14-'Salon Model'!$J$14)*'Salon Schedule'!Y44) +'Salon Model'!$J$14)*'Salon Schedule'!Y43</f>
        <v>214070.13698630134</v>
      </c>
      <c r="AA7" s="21">
        <f>((('Salon Model'!$R$14-'Salon Model'!$J$14)*'Salon Schedule'!Z44) +'Salon Model'!$J$14)*'Salon Schedule'!Z43</f>
        <v>223998.90410958903</v>
      </c>
      <c r="AB7" s="21">
        <f>((('Salon Model'!$R$14-'Salon Model'!$J$14)*'Salon Schedule'!AA44) +'Salon Model'!$J$14)*'Salon Schedule'!AA43</f>
        <v>233018.63013698635</v>
      </c>
      <c r="AC7" s="21">
        <f>((('Salon Model'!$R$14-'Salon Model'!$J$14)*'Salon Schedule'!AB44) +'Salon Model'!$J$14)*'Salon Schedule'!AB43</f>
        <v>242038.35616438359</v>
      </c>
      <c r="AD7" s="21">
        <f>((('Salon Model'!$R$14-'Salon Model'!$J$14)*'Salon Schedule'!AC44) +'Salon Model'!$J$14)*'Salon Schedule'!AC43</f>
        <v>252840</v>
      </c>
      <c r="AE7" s="21">
        <f>((('Salon Model'!$R$14-'Salon Model'!$J$14)*'Salon Schedule'!AD44) +'Salon Model'!$J$14)*'Salon Schedule'!AD43</f>
        <v>261859.72602739724</v>
      </c>
      <c r="AF7" s="21">
        <f>((('Salon Model'!$R$14-'Salon Model'!$J$14)*'Salon Schedule'!AE44) +'Salon Model'!$J$14)*'Salon Schedule'!AE43</f>
        <v>270588.49315068492</v>
      </c>
      <c r="AG7" s="21">
        <f>((('Salon Model'!$R$14-'Salon Model'!$J$14)*'Salon Schedule'!AF44) +'Salon Model'!$J$14)*'Salon Schedule'!AF43</f>
        <v>377107.72602739732</v>
      </c>
      <c r="AH7" s="123"/>
      <c r="AI7" s="21">
        <f>SUM(I7:T7)</f>
        <v>1300523.4399972314</v>
      </c>
      <c r="AJ7" s="21">
        <f>SUM(U7:AF7)</f>
        <v>2643311.3424657537</v>
      </c>
      <c r="AK7" s="24">
        <f>AVERAGE(AG7,AF7)*12</f>
        <v>3886177.3150684931</v>
      </c>
    </row>
    <row r="8" spans="2:37" s="14" customFormat="1" ht="14">
      <c r="D8" s="14" t="s">
        <v>67</v>
      </c>
      <c r="E8" s="11"/>
      <c r="F8" s="29">
        <v>276.125</v>
      </c>
      <c r="G8" s="29">
        <v>300</v>
      </c>
      <c r="H8" s="149">
        <f>G8</f>
        <v>300</v>
      </c>
      <c r="I8" s="143">
        <f>((('Salon Model'!$R$11-'Salon Model'!$J$11)*'Salon Schedule'!H44)+'Salon Model'!$J$11)*'Salon Schedule'!H43</f>
        <v>330.54661072591716</v>
      </c>
      <c r="J8" s="29">
        <f>((('Salon Model'!$R$11-'Salon Model'!$J$11)*'Salon Schedule'!I44)+'Salon Model'!$J$11)*'Salon Schedule'!I43</f>
        <v>430.75759355789103</v>
      </c>
      <c r="K8" s="29">
        <f>((('Salon Model'!$R$11-'Salon Model'!$J$11)*'Salon Schedule'!J44)+'Salon Model'!$J$11)*'Salon Schedule'!J43</f>
        <v>541.29505565258751</v>
      </c>
      <c r="L8" s="29">
        <f>((('Salon Model'!$R$11-'Salon Model'!$J$11)*'Salon Schedule'!K44)+'Salon Model'!$J$11)*'Salon Schedule'!K43</f>
        <v>656.18630053127731</v>
      </c>
      <c r="M8" s="29">
        <f>((('Salon Model'!$R$11-'Salon Model'!$J$11)*'Salon Schedule'!L44)+'Salon Model'!$J$11)*'Salon Schedule'!L43</f>
        <v>788.22921906738827</v>
      </c>
      <c r="N8" s="29">
        <f>((('Salon Model'!$R$11-'Salon Model'!$J$11)*'Salon Schedule'!M44)+'Salon Model'!$J$11)*'Salon Schedule'!M43</f>
        <v>918.04356747382963</v>
      </c>
      <c r="O8" s="29">
        <f>((('Salon Model'!$R$11-'Salon Model'!$J$11)*'Salon Schedule'!N44)+'Salon Model'!$J$11)*'Salon Schedule'!N43</f>
        <v>1044.345205479452</v>
      </c>
      <c r="P8" s="29">
        <f>((('Salon Model'!$R$11-'Salon Model'!$J$11)*'Salon Schedule'!O44)+'Salon Model'!$J$11)*'Salon Schedule'!O43</f>
        <v>1106.9602739726026</v>
      </c>
      <c r="Q8" s="29">
        <f>((('Salon Model'!$R$11-'Salon Model'!$J$11)*'Salon Schedule'!P44)+'Salon Model'!$J$11)*'Salon Schedule'!P43</f>
        <v>1159.5753424657537</v>
      </c>
      <c r="R8" s="29">
        <f>((('Salon Model'!$R$11-'Salon Model'!$J$11)*'Salon Schedule'!Q44)+'Salon Model'!$J$11)*'Salon Schedule'!Q43</f>
        <v>1227.7671232876712</v>
      </c>
      <c r="S8" s="29">
        <f>((('Salon Model'!$R$11-'Salon Model'!$J$11)*'Salon Schedule'!R44)+'Salon Model'!$J$11)*'Salon Schedule'!R43</f>
        <v>1287.8986301369864</v>
      </c>
      <c r="T8" s="29">
        <f>((('Salon Model'!$R$11-'Salon Model'!$J$11)*'Salon Schedule'!S44)+'Salon Model'!$J$11)*'Salon Schedule'!S43</f>
        <v>1346.0904109589039</v>
      </c>
      <c r="U8" s="133">
        <f>((('Salon Model'!$R$11-'Salon Model'!$J$11)*'Salon Schedule'!T44)+'Salon Model'!$J$11)*'Salon Schedule'!T43</f>
        <v>1436.8904109589041</v>
      </c>
      <c r="V8" s="29">
        <f>((('Salon Model'!$R$11-'Salon Model'!$J$11)*'Salon Schedule'!U44)+'Salon Model'!$J$11)*'Salon Schedule'!U43</f>
        <v>1504.5383561643835</v>
      </c>
      <c r="W8" s="29">
        <f>((('Salon Model'!$R$11-'Salon Model'!$J$11)*'Salon Schedule'!V44)+'Salon Model'!$J$11)*'Salon Schedule'!V43</f>
        <v>1565.6397260273968</v>
      </c>
      <c r="X8" s="29">
        <f>((('Salon Model'!$R$11-'Salon Model'!$J$11)*'Salon Schedule'!W44)+'Salon Model'!$J$11)*'Salon Schedule'!W43</f>
        <v>1650.8041095890414</v>
      </c>
      <c r="Y8" s="29">
        <f>((('Salon Model'!$R$11-'Salon Model'!$J$11)*'Salon Schedule'!X44)+'Salon Model'!$J$11)*'Salon Schedule'!X43</f>
        <v>1716.269863013699</v>
      </c>
      <c r="Z8" s="29">
        <f>((('Salon Model'!$R$11-'Salon Model'!$J$11)*'Salon Schedule'!Y44)+'Salon Model'!$J$11)*'Salon Schedule'!Y43</f>
        <v>1783.9178082191779</v>
      </c>
      <c r="AA8" s="29">
        <f>((('Salon Model'!$R$11-'Salon Model'!$J$11)*'Salon Schedule'!Z44)+'Salon Model'!$J$11)*'Salon Schedule'!Z43</f>
        <v>1866.6575342465756</v>
      </c>
      <c r="AB8" s="29">
        <f>((('Salon Model'!$R$11-'Salon Model'!$J$11)*'Salon Schedule'!AA44)+'Salon Model'!$J$11)*'Salon Schedule'!AA43</f>
        <v>1941.8219178082197</v>
      </c>
      <c r="AC8" s="29">
        <f>((('Salon Model'!$R$11-'Salon Model'!$J$11)*'Salon Schedule'!AB44)+'Salon Model'!$J$11)*'Salon Schedule'!AB43</f>
        <v>2016.9863013698632</v>
      </c>
      <c r="AD8" s="29">
        <f>((('Salon Model'!$R$11-'Salon Model'!$J$11)*'Salon Schedule'!AC44)+'Salon Model'!$J$11)*'Salon Schedule'!AC43</f>
        <v>2107</v>
      </c>
      <c r="AE8" s="29">
        <f>((('Salon Model'!$R$11-'Salon Model'!$J$11)*'Salon Schedule'!AD44)+'Salon Model'!$J$11)*'Salon Schedule'!AD43</f>
        <v>2182.1643835616433</v>
      </c>
      <c r="AF8" s="29">
        <f>((('Salon Model'!$R$11-'Salon Model'!$J$11)*'Salon Schedule'!AE44)+'Salon Model'!$J$11)*'Salon Schedule'!AE43</f>
        <v>2254.9041095890411</v>
      </c>
      <c r="AG8" s="29">
        <f>((('Salon Model'!$R$11-'Salon Model'!$J$11)*'Salon Schedule'!AF44)+'Salon Model'!$J$11)*'Salon Schedule'!AF43</f>
        <v>3142.5643835616438</v>
      </c>
      <c r="AH8" s="124"/>
      <c r="AI8" s="29">
        <f>T8</f>
        <v>1346.0904109589039</v>
      </c>
      <c r="AJ8" s="29">
        <f>AF8</f>
        <v>2254.9041095890411</v>
      </c>
      <c r="AK8" s="30">
        <f>AG8</f>
        <v>3142.5643835616438</v>
      </c>
    </row>
    <row r="9" spans="2:37">
      <c r="C9" t="s">
        <v>66</v>
      </c>
      <c r="F9" s="21">
        <v>72529.225000000006</v>
      </c>
      <c r="G9" s="21">
        <f>(F9/8)*12</f>
        <v>108793.83750000001</v>
      </c>
      <c r="H9" s="148">
        <f>G9/12</f>
        <v>9066.1531250000007</v>
      </c>
      <c r="I9" s="23">
        <f>((('Salon Model'!$R$19-'Salon Model'!$J$19)*'Salon Schedule'!H44)+'Salon Model'!$J$19)*'Salon Schedule'!H43</f>
        <v>13650.334694126486</v>
      </c>
      <c r="J9" s="21">
        <f>((('Salon Model'!$R$19-'Salon Model'!$J$19)*'Salon Schedule'!I44)+'Salon Model'!$J$19)*'Salon Schedule'!I43</f>
        <v>17285.105935828589</v>
      </c>
      <c r="K9" s="21">
        <f>((('Salon Model'!$R$19-'Salon Model'!$J$19)*'Salon Schedule'!J44)+'Salon Model'!$J$19)*'Salon Schedule'!J43</f>
        <v>21531.718967737921</v>
      </c>
      <c r="L9" s="21">
        <f>((('Salon Model'!$R$19-'Salon Model'!$J$19)*'Salon Schedule'!K44)+'Salon Model'!$J$19)*'Salon Schedule'!K43</f>
        <v>25698.960731134466</v>
      </c>
      <c r="M9" s="21">
        <f>((('Salon Model'!$R$19-'Salon Model'!$J$19)*'Salon Schedule'!L44)+'Salon Model'!$J$19)*'Salon Schedule'!L43</f>
        <v>30725.602183122221</v>
      </c>
      <c r="N9" s="21">
        <f>((('Salon Model'!$R$19-'Salon Model'!$J$19)*'Salon Schedule'!M44)+'Salon Model'!$J$19)*'Salon Schedule'!M43</f>
        <v>35434.12261684738</v>
      </c>
      <c r="O9" s="21">
        <f>((('Salon Model'!$R$19-'Salon Model'!$J$19)*'Salon Schedule'!N44)+'Salon Model'!$J$19)*'Salon Schedule'!N43</f>
        <v>40015.232876712325</v>
      </c>
      <c r="P9" s="21">
        <f>((('Salon Model'!$R$19-'Salon Model'!$J$19)*'Salon Schedule'!O44)+'Salon Model'!$J$19)*'Salon Schedule'!O43</f>
        <v>42523.643835616444</v>
      </c>
      <c r="Q9" s="21">
        <f>((('Salon Model'!$R$19-'Salon Model'!$J$19)*'Salon Schedule'!P44)+'Salon Model'!$J$19)*'Salon Schedule'!P43</f>
        <v>44432.054794520554</v>
      </c>
      <c r="R9" s="21">
        <f>((('Salon Model'!$R$19-'Salon Model'!$J$19)*'Salon Schedule'!Q44)+'Salon Model'!$J$19)*'Salon Schedule'!Q43</f>
        <v>47142.739726027401</v>
      </c>
      <c r="S9" s="21">
        <f>((('Salon Model'!$R$19-'Salon Model'!$J$19)*'Salon Schedule'!R44)+'Salon Model'!$J$19)*'Salon Schedule'!R43</f>
        <v>49323.780821917819</v>
      </c>
      <c r="T9" s="21">
        <f>((('Salon Model'!$R$19-'Salon Model'!$J$19)*'Salon Schedule'!S44)+'Salon Model'!$J$19)*'Salon Schedule'!S43</f>
        <v>51434.465753424651</v>
      </c>
      <c r="U9" s="132">
        <f>((('Salon Model'!$R$19-'Salon Model'!$J$19)*'Salon Schedule'!T44)+'Salon Model'!$J$19)*'Salon Schedule'!T43</f>
        <v>55202.465753424665</v>
      </c>
      <c r="V9" s="21">
        <f>((('Salon Model'!$R$19-'Salon Model'!$J$19)*'Salon Schedule'!U44)+'Salon Model'!$J$19)*'Salon Schedule'!U43</f>
        <v>57656.136986301375</v>
      </c>
      <c r="W9" s="21">
        <f>((('Salon Model'!$R$19-'Salon Model'!$J$19)*'Salon Schedule'!V44)+'Salon Model'!$J$19)*'Salon Schedule'!V43</f>
        <v>59872.356164383549</v>
      </c>
      <c r="X9" s="21">
        <f>((('Salon Model'!$R$19-'Salon Model'!$J$19)*'Salon Schedule'!W44)+'Salon Model'!$J$19)*'Salon Schedule'!W43</f>
        <v>63198.657534246588</v>
      </c>
      <c r="Y9" s="21">
        <f>((('Salon Model'!$R$19-'Salon Model'!$J$19)*'Salon Schedule'!X44)+'Salon Model'!$J$19)*'Salon Schedule'!X43</f>
        <v>65573.178082191793</v>
      </c>
      <c r="Z9" s="21">
        <f>((('Salon Model'!$R$19-'Salon Model'!$J$19)*'Salon Schedule'!Y44)+'Salon Model'!$J$19)*'Salon Schedule'!Y43</f>
        <v>68026.849315068481</v>
      </c>
      <c r="AA9" s="21">
        <f>((('Salon Model'!$R$19-'Salon Model'!$J$19)*'Salon Schedule'!Z44)+'Salon Model'!$J$19)*'Salon Schedule'!Z43</f>
        <v>71265.205479452052</v>
      </c>
      <c r="AB9" s="21">
        <f>((('Salon Model'!$R$19-'Salon Model'!$J$19)*'Salon Schedule'!AA44)+'Salon Model'!$J$19)*'Salon Schedule'!AA43</f>
        <v>73991.506849315076</v>
      </c>
      <c r="AC9" s="21">
        <f>((('Salon Model'!$R$19-'Salon Model'!$J$19)*'Salon Schedule'!AB44)+'Salon Model'!$J$19)*'Salon Schedule'!AB43</f>
        <v>76717.808219178085</v>
      </c>
      <c r="AD9" s="21">
        <f>((('Salon Model'!$R$19-'Salon Model'!$J$19)*'Salon Schedule'!AC44)+'Salon Model'!$J$19)*'Salon Schedule'!AC43</f>
        <v>80220</v>
      </c>
      <c r="AE9" s="21">
        <f>((('Salon Model'!$R$19-'Salon Model'!$J$19)*'Salon Schedule'!AD44)+'Salon Model'!$J$19)*'Salon Schedule'!AD43</f>
        <v>82946.301369863009</v>
      </c>
      <c r="AF9" s="21">
        <f>((('Salon Model'!$R$19-'Salon Model'!$J$19)*'Salon Schedule'!AE44)+'Salon Model'!$J$19)*'Salon Schedule'!AE43</f>
        <v>85584.657534246566</v>
      </c>
      <c r="AG9" s="21">
        <f>((('Salon Model'!$R$19-'Salon Model'!$J$19)*'Salon Schedule'!AF44)+'Salon Model'!$J$19)*'Salon Schedule'!AF43</f>
        <v>118730.30136986302</v>
      </c>
      <c r="AH9" s="123"/>
      <c r="AI9" s="21">
        <f t="shared" ref="AI9:AI14" si="0">SUM(I9:T9)</f>
        <v>419197.76293701632</v>
      </c>
      <c r="AJ9" s="21">
        <f t="shared" ref="AJ9:AJ14" si="1">SUM(U9:AF9)</f>
        <v>840255.12328767113</v>
      </c>
      <c r="AK9" s="24">
        <f>AVERAGE(AG9,AF9)*12</f>
        <v>1225889.7534246575</v>
      </c>
    </row>
    <row r="10" spans="2:37" s="14" customFormat="1" ht="14">
      <c r="D10" s="14" t="s">
        <v>68</v>
      </c>
      <c r="E10" s="11"/>
      <c r="F10" s="31">
        <v>3442.75</v>
      </c>
      <c r="G10" s="29">
        <f>(F10/8)*12</f>
        <v>5164.125</v>
      </c>
      <c r="H10" s="150">
        <f>G10/12</f>
        <v>430.34375</v>
      </c>
      <c r="I10" s="143">
        <f>((('Salon Model'!$R$16-'Salon Model'!$J$16)*'Salon Schedule'!H44)+'Salon Model'!$J$16)*'Salon Schedule'!H43</f>
        <v>455.01115647088295</v>
      </c>
      <c r="J10" s="29">
        <f>((('Salon Model'!$R$16-'Salon Model'!$J$16)*'Salon Schedule'!I44)+'Salon Model'!$J$16)*'Salon Schedule'!I43</f>
        <v>576.17019786095307</v>
      </c>
      <c r="K10" s="29">
        <f>((('Salon Model'!$R$16-'Salon Model'!$J$16)*'Salon Schedule'!J44)+'Salon Model'!$J$16)*'Salon Schedule'!J43</f>
        <v>717.72396559126412</v>
      </c>
      <c r="L10" s="29">
        <f>((('Salon Model'!$R$16-'Salon Model'!$J$16)*'Salon Schedule'!K44)+'Salon Model'!$J$16)*'Salon Schedule'!K43</f>
        <v>856.63202437114887</v>
      </c>
      <c r="M10" s="29">
        <f>((('Salon Model'!$R$16-'Salon Model'!$J$16)*'Salon Schedule'!L44)+'Salon Model'!$J$16)*'Salon Schedule'!L43</f>
        <v>1024.1867394374074</v>
      </c>
      <c r="N10" s="29">
        <f>((('Salon Model'!$R$16-'Salon Model'!$J$16)*'Salon Schedule'!M44)+'Salon Model'!$J$16)*'Salon Schedule'!M43</f>
        <v>1181.1374205615793</v>
      </c>
      <c r="O10" s="29">
        <f>((('Salon Model'!$R$16-'Salon Model'!$J$16)*'Salon Schedule'!N44)+'Salon Model'!$J$16)*'Salon Schedule'!N43</f>
        <v>1333.841095890411</v>
      </c>
      <c r="P10" s="29">
        <f>((('Salon Model'!$R$16-'Salon Model'!$J$16)*'Salon Schedule'!O44)+'Salon Model'!$J$16)*'Salon Schedule'!O43</f>
        <v>1417.4547945205477</v>
      </c>
      <c r="Q10" s="29">
        <f>((('Salon Model'!$R$16-'Salon Model'!$J$16)*'Salon Schedule'!P44)+'Salon Model'!$J$16)*'Salon Schedule'!P43</f>
        <v>1481.0684931506853</v>
      </c>
      <c r="R10" s="29">
        <f>((('Salon Model'!$R$16-'Salon Model'!$J$16)*'Salon Schedule'!Q44)+'Salon Model'!$J$16)*'Salon Schedule'!Q43</f>
        <v>1571.4246575342465</v>
      </c>
      <c r="S10" s="29">
        <f>((('Salon Model'!$R$16-'Salon Model'!$J$16)*'Salon Schedule'!R44)+'Salon Model'!$J$16)*'Salon Schedule'!R43</f>
        <v>1644.1260273972607</v>
      </c>
      <c r="T10" s="29">
        <f>((('Salon Model'!$R$16-'Salon Model'!$J$16)*'Salon Schedule'!S44)+'Salon Model'!$J$16)*'Salon Schedule'!S43</f>
        <v>1714.4821917808217</v>
      </c>
      <c r="U10" s="133">
        <f>((('Salon Model'!$R$16-'Salon Model'!$J$16)*'Salon Schedule'!T44)+'Salon Model'!$J$16)*'Salon Schedule'!T43</f>
        <v>1840.0821917808223</v>
      </c>
      <c r="V10" s="29">
        <f>((('Salon Model'!$R$16-'Salon Model'!$J$16)*'Salon Schedule'!U44)+'Salon Model'!$J$16)*'Salon Schedule'!U43</f>
        <v>1921.8712328767124</v>
      </c>
      <c r="W10" s="29">
        <f>((('Salon Model'!$R$16-'Salon Model'!$J$16)*'Salon Schedule'!V44)+'Salon Model'!$J$16)*'Salon Schedule'!V43</f>
        <v>1995.7452054794514</v>
      </c>
      <c r="X10" s="29">
        <f>((('Salon Model'!$R$16-'Salon Model'!$J$16)*'Salon Schedule'!W44)+'Salon Model'!$J$16)*'Salon Schedule'!W43</f>
        <v>2106.6219178082197</v>
      </c>
      <c r="Y10" s="29">
        <f>((('Salon Model'!$R$16-'Salon Model'!$J$16)*'Salon Schedule'!X44)+'Salon Model'!$J$16)*'Salon Schedule'!X43</f>
        <v>2185.7726027397266</v>
      </c>
      <c r="Z10" s="29">
        <f>((('Salon Model'!$R$16-'Salon Model'!$J$16)*'Salon Schedule'!Y44)+'Salon Model'!$J$16)*'Salon Schedule'!Y43</f>
        <v>2267.561643835616</v>
      </c>
      <c r="AA10" s="29">
        <f>((('Salon Model'!$R$16-'Salon Model'!$J$16)*'Salon Schedule'!Z44)+'Salon Model'!$J$16)*'Salon Schedule'!Z43</f>
        <v>2375.5068493150684</v>
      </c>
      <c r="AB10" s="29">
        <f>((('Salon Model'!$R$16-'Salon Model'!$J$16)*'Salon Schedule'!AA44)+'Salon Model'!$J$16)*'Salon Schedule'!AA43</f>
        <v>2466.3835616438359</v>
      </c>
      <c r="AC10" s="29">
        <f>((('Salon Model'!$R$16-'Salon Model'!$J$16)*'Salon Schedule'!AB44)+'Salon Model'!$J$16)*'Salon Schedule'!AB43</f>
        <v>2557.2602739726026</v>
      </c>
      <c r="AD10" s="29">
        <f>((('Salon Model'!$R$16-'Salon Model'!$J$16)*'Salon Schedule'!AC44)+'Salon Model'!$J$16)*'Salon Schedule'!AC43</f>
        <v>2674</v>
      </c>
      <c r="AE10" s="29">
        <f>((('Salon Model'!$R$16-'Salon Model'!$J$16)*'Salon Schedule'!AD44)+'Salon Model'!$J$16)*'Salon Schedule'!AD43</f>
        <v>2764.8767123287666</v>
      </c>
      <c r="AF10" s="29">
        <f>((('Salon Model'!$R$16-'Salon Model'!$J$16)*'Salon Schedule'!AE44)+'Salon Model'!$J$16)*'Salon Schedule'!AE43</f>
        <v>2852.821917808219</v>
      </c>
      <c r="AG10" s="29">
        <f>((('Salon Model'!$R$16-'Salon Model'!$J$16)*'Salon Schedule'!AF44)+'Salon Model'!$J$16)*'Salon Schedule'!AF43</f>
        <v>3957.6767123287673</v>
      </c>
      <c r="AH10" s="124"/>
      <c r="AI10" s="29">
        <f t="shared" si="0"/>
        <v>13973.258764567208</v>
      </c>
      <c r="AJ10" s="29">
        <f t="shared" si="1"/>
        <v>28008.504109589041</v>
      </c>
      <c r="AK10" s="30">
        <f>AVERAGE(AG10,AF10)*12</f>
        <v>40862.991780821918</v>
      </c>
    </row>
    <row r="11" spans="2:37">
      <c r="C11" t="s">
        <v>43</v>
      </c>
      <c r="F11" s="21">
        <v>6118.2250000000004</v>
      </c>
      <c r="G11" s="21">
        <f>(F11/8)*12</f>
        <v>9177.3375000000015</v>
      </c>
      <c r="H11" s="148">
        <f>G11/12</f>
        <v>764.77812500000016</v>
      </c>
      <c r="I11" s="23">
        <f>((('Salon Model'!$R$21-'Salon Model'!$J$21)*'Salon Schedule'!H44)+'Salon Model'!$J$21)*'Salon Schedule'!H43</f>
        <v>2169.9764829729515</v>
      </c>
      <c r="J11" s="21">
        <f>((('Salon Model'!$R$21-'Salon Model'!$J$21)*'Salon Schedule'!I44)+'Salon Model'!$J$21)*'Salon Schedule'!I43</f>
        <v>2802.6644678019388</v>
      </c>
      <c r="K11" s="21">
        <f>((('Salon Model'!$R$21-'Salon Model'!$J$21)*'Salon Schedule'!J44)+'Salon Model'!$J$21)*'Salon Schedule'!J43</f>
        <v>3512.4136988235405</v>
      </c>
      <c r="L11" s="21">
        <f>((('Salon Model'!$R$21-'Salon Model'!$J$21)*'Salon Schedule'!K44)+'Salon Model'!$J$21)*'Salon Schedule'!K43</f>
        <v>4237.7863889474711</v>
      </c>
      <c r="M11" s="21">
        <f>((('Salon Model'!$R$21-'Salon Model'!$J$21)*'Salon Schedule'!L44)+'Salon Model'!$J$21)*'Salon Schedule'!L43</f>
        <v>5083.3115949593575</v>
      </c>
      <c r="N11" s="21">
        <f>((('Salon Model'!$R$21-'Salon Model'!$J$21)*'Salon Schedule'!M44)+'Salon Model'!$J$21)*'Salon Schedule'!M43</f>
        <v>5902.9021844746021</v>
      </c>
      <c r="O11" s="21">
        <f>((('Salon Model'!$R$21-'Salon Model'!$J$21)*'Salon Schedule'!N44)+'Salon Model'!$J$21)*'Salon Schedule'!N43</f>
        <v>6700.3150684931516</v>
      </c>
      <c r="P11" s="21">
        <f>((('Salon Model'!$R$21-'Salon Model'!$J$21)*'Salon Schedule'!O44)+'Salon Model'!$J$21)*'Salon Schedule'!O43</f>
        <v>7107.5034246575333</v>
      </c>
      <c r="Q11" s="21">
        <f>((('Salon Model'!$R$21-'Salon Model'!$J$21)*'Salon Schedule'!P44)+'Salon Model'!$J$21)*'Salon Schedule'!P43</f>
        <v>7439.6917808219205</v>
      </c>
      <c r="R11" s="21">
        <f>((('Salon Model'!$R$21-'Salon Model'!$J$21)*'Salon Schedule'!Q44)+'Salon Model'!$J$21)*'Salon Schedule'!Q43</f>
        <v>7882.08904109589</v>
      </c>
      <c r="S11" s="21">
        <f>((('Salon Model'!$R$21-'Salon Model'!$J$21)*'Salon Schedule'!R44)+'Salon Model'!$J$21)*'Salon Schedule'!R43</f>
        <v>8261.7328767123308</v>
      </c>
      <c r="T11" s="21">
        <f>((('Salon Model'!$R$21-'Salon Model'!$J$21)*'Salon Schedule'!S44)+'Salon Model'!$J$21)*'Salon Schedule'!S43</f>
        <v>8629.1301369862995</v>
      </c>
      <c r="U11" s="132">
        <f>((('Salon Model'!$R$21-'Salon Model'!$J$21)*'Salon Schedule'!T44)+'Salon Model'!$J$21)*'Salon Schedule'!T43</f>
        <v>9226.1301369863013</v>
      </c>
      <c r="V11" s="21">
        <f>((('Salon Model'!$R$21-'Salon Model'!$J$21)*'Salon Schedule'!U44)+'Salon Model'!$J$21)*'Salon Schedule'!U43</f>
        <v>9653.2294520547948</v>
      </c>
      <c r="W11" s="21">
        <f>((('Salon Model'!$R$21-'Salon Model'!$J$21)*'Salon Schedule'!V44)+'Salon Model'!$J$21)*'Salon Schedule'!V43</f>
        <v>10038.996575342464</v>
      </c>
      <c r="X11" s="21">
        <f>((('Salon Model'!$R$21-'Salon Model'!$J$21)*'Salon Schedule'!W44)+'Salon Model'!$J$21)*'Salon Schedule'!W43</f>
        <v>10588.551369863017</v>
      </c>
      <c r="Y11" s="21">
        <f>((('Salon Model'!$R$21-'Salon Model'!$J$21)*'Salon Schedule'!X44)+'Salon Model'!$J$21)*'Salon Schedule'!X43</f>
        <v>11001.873287671235</v>
      </c>
      <c r="Z11" s="21">
        <f>((('Salon Model'!$R$21-'Salon Model'!$J$21)*'Salon Schedule'!Y44)+'Salon Model'!$J$21)*'Salon Schedule'!Y43</f>
        <v>11428.972602739725</v>
      </c>
      <c r="AA11" s="21">
        <f>((('Salon Model'!$R$21-'Salon Model'!$J$21)*'Salon Schedule'!Z44)+'Salon Model'!$J$21)*'Salon Schedule'!Z43</f>
        <v>11963.219178082192</v>
      </c>
      <c r="AB11" s="21">
        <f>((('Salon Model'!$R$21-'Salon Model'!$J$21)*'Salon Schedule'!AA44)+'Salon Model'!$J$21)*'Salon Schedule'!AA43</f>
        <v>12437.773972602741</v>
      </c>
      <c r="AC11" s="21">
        <f>((('Salon Model'!$R$21-'Salon Model'!$J$21)*'Salon Schedule'!AB44)+'Salon Model'!$J$21)*'Salon Schedule'!AB43</f>
        <v>12912.328767123288</v>
      </c>
      <c r="AD11" s="21">
        <f>((('Salon Model'!$R$21-'Salon Model'!$J$21)*'Salon Schedule'!AC44)+'Salon Model'!$J$21)*'Salon Schedule'!AC43</f>
        <v>13492.5</v>
      </c>
      <c r="AE11" s="21">
        <f>((('Salon Model'!$R$21-'Salon Model'!$J$21)*'Salon Schedule'!AD44)+'Salon Model'!$J$21)*'Salon Schedule'!AD43</f>
        <v>13967.054794520547</v>
      </c>
      <c r="AF11" s="21">
        <f>((('Salon Model'!$R$21-'Salon Model'!$J$21)*'Salon Schedule'!AE44)+'Salon Model'!$J$21)*'Salon Schedule'!AE43</f>
        <v>14426.301369863013</v>
      </c>
      <c r="AG11" s="21">
        <f>((('Salon Model'!$R$21-'Salon Model'!$J$21)*'Salon Schedule'!AF44)+'Salon Model'!$J$21)*'Salon Schedule'!AF43</f>
        <v>20078.054794520547</v>
      </c>
      <c r="AH11" s="123"/>
      <c r="AI11" s="21">
        <f t="shared" si="0"/>
        <v>69729.517146746992</v>
      </c>
      <c r="AJ11" s="21">
        <f t="shared" si="1"/>
        <v>141136.9315068493</v>
      </c>
      <c r="AK11" s="24">
        <f>AVERAGE(AG11,AF11)*12</f>
        <v>207026.13698630134</v>
      </c>
    </row>
    <row r="12" spans="2:37">
      <c r="C12" t="s">
        <v>69</v>
      </c>
      <c r="F12" s="21">
        <v>0</v>
      </c>
      <c r="G12" s="21">
        <v>5000</v>
      </c>
      <c r="H12" s="151">
        <v>1800</v>
      </c>
      <c r="I12" s="23">
        <f>I13*'Event Model'!$J$5</f>
        <v>6720</v>
      </c>
      <c r="J12" s="21">
        <f>J13*'Event Model'!$J$5</f>
        <v>6887.9999999999991</v>
      </c>
      <c r="K12" s="21">
        <f>K13*'Event Model'!$J$5</f>
        <v>7060.2</v>
      </c>
      <c r="L12" s="21">
        <f>L13*'Event Model'!$J$5</f>
        <v>7236.704999999999</v>
      </c>
      <c r="M12" s="21">
        <f>M13*'Event Model'!$J$5</f>
        <v>7417.6226249999982</v>
      </c>
      <c r="N12" s="21">
        <f>N13*'Event Model'!$J$5</f>
        <v>7603.0631906249973</v>
      </c>
      <c r="O12" s="21">
        <f>O13*'Event Model'!$J$5</f>
        <v>7793.1397703906223</v>
      </c>
      <c r="P12" s="21">
        <f>P13*'Event Model'!$J$5</f>
        <v>7987.9682646503861</v>
      </c>
      <c r="Q12" s="21">
        <f>Q13*'Event Model'!$J$5</f>
        <v>8187.6674712666454</v>
      </c>
      <c r="R12" s="21">
        <f>R13*'Event Model'!$J$5</f>
        <v>8392.3591580483098</v>
      </c>
      <c r="S12" s="21">
        <f>S13*'Event Model'!$J$5</f>
        <v>8602.1681369995167</v>
      </c>
      <c r="T12" s="21">
        <f>T13*'Event Model'!$J$5</f>
        <v>8817.2223404245051</v>
      </c>
      <c r="U12" s="132">
        <f>U13*'Event Model'!$J$5</f>
        <v>9037.6528989351173</v>
      </c>
      <c r="V12" s="21">
        <f>V13*'Event Model'!$J$5</f>
        <v>9263.5942214084935</v>
      </c>
      <c r="W12" s="21">
        <f>W13*'Event Model'!$J$5</f>
        <v>9495.1840769437058</v>
      </c>
      <c r="X12" s="21">
        <f>X13*'Event Model'!$J$5</f>
        <v>9732.5636788672964</v>
      </c>
      <c r="Y12" s="21">
        <f>Y13*'Event Model'!$J$5</f>
        <v>9975.8777708389789</v>
      </c>
      <c r="Z12" s="21">
        <f>Z13*'Event Model'!$J$5</f>
        <v>10225.274715109952</v>
      </c>
      <c r="AA12" s="21">
        <f>AA13*'Event Model'!$J$5</f>
        <v>10480.9065829877</v>
      </c>
      <c r="AB12" s="21">
        <f>AB13*'Event Model'!$J$5</f>
        <v>10742.929247562392</v>
      </c>
      <c r="AC12" s="21">
        <f>AC13*'Event Model'!$J$5</f>
        <v>11011.502478751449</v>
      </c>
      <c r="AD12" s="21">
        <f>AD13*'Event Model'!$J$5</f>
        <v>11286.790040720234</v>
      </c>
      <c r="AE12" s="21">
        <f>AE13*'Event Model'!$J$5</f>
        <v>11568.959791738238</v>
      </c>
      <c r="AF12" s="21">
        <f>AF13*'Event Model'!$J$5</f>
        <v>11858.183786531694</v>
      </c>
      <c r="AG12" s="21">
        <f>AG13*'Event Model'!$J$5</f>
        <v>12154.638381194985</v>
      </c>
      <c r="AH12" s="123"/>
      <c r="AI12" s="21">
        <f t="shared" si="0"/>
        <v>92706.115957404982</v>
      </c>
      <c r="AJ12" s="21">
        <f t="shared" si="1"/>
        <v>124679.41929039526</v>
      </c>
      <c r="AK12" s="24">
        <f>AVERAGE(AG12,AF12)*12</f>
        <v>144076.93300636008</v>
      </c>
    </row>
    <row r="13" spans="2:37" s="14" customFormat="1" ht="14">
      <c r="B13" s="32"/>
      <c r="C13" s="32"/>
      <c r="D13" s="32" t="s">
        <v>116</v>
      </c>
      <c r="E13" s="157">
        <v>2.5000000000000001E-2</v>
      </c>
      <c r="F13" s="33">
        <v>0</v>
      </c>
      <c r="G13" s="33">
        <v>20</v>
      </c>
      <c r="H13" s="152">
        <v>4</v>
      </c>
      <c r="I13" s="33">
        <v>4</v>
      </c>
      <c r="J13" s="33">
        <f>I13*(1+$E$13)</f>
        <v>4.0999999999999996</v>
      </c>
      <c r="K13" s="33">
        <f t="shared" ref="K13:AF13" si="2">J13*(1+$E$13)</f>
        <v>4.2024999999999997</v>
      </c>
      <c r="L13" s="33">
        <f t="shared" si="2"/>
        <v>4.3075624999999995</v>
      </c>
      <c r="M13" s="33">
        <f t="shared" si="2"/>
        <v>4.4152515624999991</v>
      </c>
      <c r="N13" s="33">
        <f t="shared" si="2"/>
        <v>4.5256328515624986</v>
      </c>
      <c r="O13" s="33">
        <f t="shared" si="2"/>
        <v>4.6387736728515607</v>
      </c>
      <c r="P13" s="33">
        <f t="shared" si="2"/>
        <v>4.7547430146728491</v>
      </c>
      <c r="Q13" s="33">
        <f t="shared" si="2"/>
        <v>4.8736115900396699</v>
      </c>
      <c r="R13" s="33">
        <f t="shared" si="2"/>
        <v>4.9954518797906609</v>
      </c>
      <c r="S13" s="33">
        <f t="shared" si="2"/>
        <v>5.1203381767854266</v>
      </c>
      <c r="T13" s="33">
        <f t="shared" si="2"/>
        <v>5.2483466312050622</v>
      </c>
      <c r="U13" s="134">
        <f t="shared" si="2"/>
        <v>5.3795552969851883</v>
      </c>
      <c r="V13" s="33">
        <f t="shared" si="2"/>
        <v>5.5140441794098178</v>
      </c>
      <c r="W13" s="33">
        <f t="shared" si="2"/>
        <v>5.6518952838950627</v>
      </c>
      <c r="X13" s="33">
        <f t="shared" si="2"/>
        <v>5.7931926659924384</v>
      </c>
      <c r="Y13" s="33">
        <f t="shared" si="2"/>
        <v>5.938022482642249</v>
      </c>
      <c r="Z13" s="33">
        <f t="shared" si="2"/>
        <v>6.0864730447083044</v>
      </c>
      <c r="AA13" s="33">
        <f t="shared" si="2"/>
        <v>6.2386348708260115</v>
      </c>
      <c r="AB13" s="33">
        <f t="shared" si="2"/>
        <v>6.3946007425966611</v>
      </c>
      <c r="AC13" s="33">
        <f t="shared" si="2"/>
        <v>6.5544657611615769</v>
      </c>
      <c r="AD13" s="33">
        <f t="shared" si="2"/>
        <v>6.7183274051906157</v>
      </c>
      <c r="AE13" s="33">
        <f t="shared" si="2"/>
        <v>6.8862855903203801</v>
      </c>
      <c r="AF13" s="33">
        <f t="shared" si="2"/>
        <v>7.0584427300783892</v>
      </c>
      <c r="AG13" s="33">
        <f>AF13*(1+$E$13)</f>
        <v>7.2349037983303486</v>
      </c>
      <c r="AH13" s="124"/>
      <c r="AI13" s="33">
        <f t="shared" si="0"/>
        <v>55.182211879407724</v>
      </c>
      <c r="AJ13" s="33">
        <f t="shared" si="1"/>
        <v>74.213940053806681</v>
      </c>
      <c r="AK13" s="161">
        <f>AVERAGE(AG13,AF13)*12</f>
        <v>85.760079170452428</v>
      </c>
    </row>
    <row r="14" spans="2:37" s="1" customFormat="1">
      <c r="B14" s="1" t="s">
        <v>110</v>
      </c>
      <c r="E14" s="2"/>
      <c r="F14" s="34">
        <v>321086.375</v>
      </c>
      <c r="G14" s="34">
        <f>G12+G11+G9+G7</f>
        <v>518073.08989361697</v>
      </c>
      <c r="H14" s="153">
        <f>H12+H11+H9+H7</f>
        <v>44556.090824468083</v>
      </c>
      <c r="I14" s="36">
        <f>I12+I11+I9+I7</f>
        <v>62205.904464209489</v>
      </c>
      <c r="J14" s="34">
        <f t="shared" ref="J14:AF14" si="3">J12+J11+J9+J7</f>
        <v>78666.681630577456</v>
      </c>
      <c r="K14" s="34">
        <f t="shared" si="3"/>
        <v>97059.739344871967</v>
      </c>
      <c r="L14" s="34">
        <f t="shared" si="3"/>
        <v>115915.80818383521</v>
      </c>
      <c r="M14" s="34">
        <f t="shared" si="3"/>
        <v>137814.04269116817</v>
      </c>
      <c r="N14" s="34">
        <f t="shared" si="3"/>
        <v>159105.31608880652</v>
      </c>
      <c r="O14" s="34">
        <f t="shared" si="3"/>
        <v>179830.11237313034</v>
      </c>
      <c r="P14" s="34">
        <f t="shared" si="3"/>
        <v>190454.34840163667</v>
      </c>
      <c r="Q14" s="34">
        <f t="shared" si="3"/>
        <v>199208.45514249959</v>
      </c>
      <c r="R14" s="34">
        <f t="shared" si="3"/>
        <v>210749.24271969215</v>
      </c>
      <c r="S14" s="34">
        <f t="shared" si="3"/>
        <v>220735.51745206804</v>
      </c>
      <c r="T14" s="34">
        <f t="shared" si="3"/>
        <v>230411.66754590391</v>
      </c>
      <c r="U14" s="135">
        <f t="shared" si="3"/>
        <v>245893.09810441459</v>
      </c>
      <c r="V14" s="34">
        <f t="shared" si="3"/>
        <v>257117.56339949067</v>
      </c>
      <c r="W14" s="34">
        <f t="shared" si="3"/>
        <v>267283.30393995735</v>
      </c>
      <c r="X14" s="34">
        <f t="shared" si="3"/>
        <v>281616.26573366183</v>
      </c>
      <c r="Y14" s="34">
        <f t="shared" si="3"/>
        <v>292503.31270234589</v>
      </c>
      <c r="Z14" s="34">
        <f t="shared" si="3"/>
        <v>303751.23361921951</v>
      </c>
      <c r="AA14" s="34">
        <f t="shared" si="3"/>
        <v>317708.23535011098</v>
      </c>
      <c r="AB14" s="34">
        <f t="shared" si="3"/>
        <v>330190.84020646656</v>
      </c>
      <c r="AC14" s="34">
        <f t="shared" si="3"/>
        <v>342679.99562943639</v>
      </c>
      <c r="AD14" s="34">
        <f t="shared" si="3"/>
        <v>357839.29004072025</v>
      </c>
      <c r="AE14" s="34">
        <f t="shared" si="3"/>
        <v>370342.04198351904</v>
      </c>
      <c r="AF14" s="34">
        <f t="shared" si="3"/>
        <v>382457.63584132621</v>
      </c>
      <c r="AG14" s="34">
        <f>AG12+AG11+AG9+AG7</f>
        <v>528070.72057297593</v>
      </c>
      <c r="AH14" s="125"/>
      <c r="AI14" s="34">
        <f t="shared" si="0"/>
        <v>1882156.8360383995</v>
      </c>
      <c r="AJ14" s="34">
        <f t="shared" si="1"/>
        <v>3749382.8165506697</v>
      </c>
      <c r="AK14" s="35">
        <f>AK12+AK11+AK9+AK7</f>
        <v>5463170.1384858117</v>
      </c>
    </row>
    <row r="15" spans="2:37" s="1" customFormat="1" ht="9" customHeight="1">
      <c r="E15" s="2"/>
      <c r="F15" s="34"/>
      <c r="G15" s="34"/>
      <c r="H15" s="153"/>
      <c r="I15" s="36"/>
      <c r="J15" s="34"/>
      <c r="K15" s="34"/>
      <c r="L15" s="34"/>
      <c r="M15" s="34"/>
      <c r="N15" s="34"/>
      <c r="O15" s="34"/>
      <c r="P15" s="34"/>
      <c r="Q15" s="34"/>
      <c r="R15" s="34"/>
      <c r="S15" s="34"/>
      <c r="T15" s="34"/>
      <c r="U15" s="135"/>
      <c r="V15" s="34"/>
      <c r="W15" s="34"/>
      <c r="X15" s="34"/>
      <c r="Y15" s="34"/>
      <c r="Z15" s="34"/>
      <c r="AA15" s="34"/>
      <c r="AB15" s="34"/>
      <c r="AC15" s="34"/>
      <c r="AD15" s="34"/>
      <c r="AE15" s="34"/>
      <c r="AF15" s="34"/>
      <c r="AG15" s="34"/>
      <c r="AH15" s="125"/>
      <c r="AI15" s="34"/>
      <c r="AJ15" s="34"/>
      <c r="AK15" s="35"/>
    </row>
    <row r="16" spans="2:37" s="1" customFormat="1">
      <c r="C16" s="1" t="s">
        <v>168</v>
      </c>
      <c r="E16" s="2"/>
      <c r="F16" s="34">
        <v>24141.55</v>
      </c>
      <c r="G16" s="34">
        <f>(F16/8)*12</f>
        <v>36212.324999999997</v>
      </c>
      <c r="H16" s="154">
        <f>G16/12</f>
        <v>3017.6937499999999</v>
      </c>
      <c r="I16" s="36">
        <f>((('Salon Model'!$R$32-'Salon Model'!$J$32)*'Salon Schedule'!H44)+'Salon Model'!$J$32)*'Salon Schedule'!H43</f>
        <v>525</v>
      </c>
      <c r="J16" s="36">
        <f>((('Salon Model'!$R$32-'Salon Model'!$J$32)*'Salon Schedule'!I44)+'Salon Model'!$J$32)*'Salon Schedule'!I43</f>
        <v>525</v>
      </c>
      <c r="K16" s="36">
        <f>((('Salon Model'!$R$32-'Salon Model'!$J$32)*'Salon Schedule'!J44)+'Salon Model'!$J$32)*'Salon Schedule'!J43</f>
        <v>600</v>
      </c>
      <c r="L16" s="36">
        <f>((('Salon Model'!$R$32-'Salon Model'!$J$32)*'Salon Schedule'!K44)+'Salon Model'!$J$32)*'Salon Schedule'!K43</f>
        <v>600</v>
      </c>
      <c r="M16" s="36">
        <f>((('Salon Model'!$R$32-'Salon Model'!$J$32)*'Salon Schedule'!L44)+'Salon Model'!$J$32)*'Salon Schedule'!L43</f>
        <v>675</v>
      </c>
      <c r="N16" s="36">
        <f>((('Salon Model'!$R$32-'Salon Model'!$J$32)*'Salon Schedule'!M44)+'Salon Model'!$J$32)*'Salon Schedule'!M43</f>
        <v>675</v>
      </c>
      <c r="O16" s="36">
        <f>((('Salon Model'!$R$32-'Salon Model'!$J$32)*'Salon Schedule'!N44)+'Salon Model'!$J$32)*'Salon Schedule'!N43</f>
        <v>675</v>
      </c>
      <c r="P16" s="36">
        <f>((('Salon Model'!$R$32-'Salon Model'!$J$32)*'Salon Schedule'!O44)+'Salon Model'!$J$32)*'Salon Schedule'!O43</f>
        <v>750</v>
      </c>
      <c r="Q16" s="36">
        <f>((('Salon Model'!$R$32-'Salon Model'!$J$32)*'Salon Schedule'!P44)+'Salon Model'!$J$32)*'Salon Schedule'!P43</f>
        <v>750</v>
      </c>
      <c r="R16" s="36">
        <f>((('Salon Model'!$R$32-'Salon Model'!$J$32)*'Salon Schedule'!Q44)+'Salon Model'!$J$32)*'Salon Schedule'!Q43</f>
        <v>825</v>
      </c>
      <c r="S16" s="36">
        <f>((('Salon Model'!$R$32-'Salon Model'!$J$32)*'Salon Schedule'!R44)+'Salon Model'!$J$32)*'Salon Schedule'!R43</f>
        <v>825</v>
      </c>
      <c r="T16" s="34">
        <f>((('Salon Model'!$R$32-'Salon Model'!$J$32)*'Salon Schedule'!S44)+'Salon Model'!$J$32)*'Salon Schedule'!S43</f>
        <v>825</v>
      </c>
      <c r="U16" s="135">
        <f>((('Salon Model'!$R$32-'Salon Model'!$J$32)*'Salon Schedule'!T44)+'Salon Model'!$J$32)*'Salon Schedule'!T43</f>
        <v>975</v>
      </c>
      <c r="V16" s="36">
        <f>((('Salon Model'!$R$32-'Salon Model'!$J$32)*'Salon Schedule'!U44)+'Salon Model'!$J$32)*'Salon Schedule'!U43</f>
        <v>975</v>
      </c>
      <c r="W16" s="36">
        <f>((('Salon Model'!$R$32-'Salon Model'!$J$32)*'Salon Schedule'!V44)+'Salon Model'!$J$32)*'Salon Schedule'!V43</f>
        <v>975</v>
      </c>
      <c r="X16" s="36">
        <f>((('Salon Model'!$R$32-'Salon Model'!$J$32)*'Salon Schedule'!W44)+'Salon Model'!$J$32)*'Salon Schedule'!W43</f>
        <v>1050</v>
      </c>
      <c r="Y16" s="36">
        <f>((('Salon Model'!$R$32-'Salon Model'!$J$32)*'Salon Schedule'!X44)+'Salon Model'!$J$32)*'Salon Schedule'!X43</f>
        <v>1050</v>
      </c>
      <c r="Z16" s="36">
        <f>((('Salon Model'!$R$32-'Salon Model'!$J$32)*'Salon Schedule'!Y44)+'Salon Model'!$J$32)*'Salon Schedule'!Y43</f>
        <v>1050</v>
      </c>
      <c r="AA16" s="36">
        <f>((('Salon Model'!$R$32-'Salon Model'!$J$32)*'Salon Schedule'!Z44)+'Salon Model'!$J$32)*'Salon Schedule'!Z43</f>
        <v>1125</v>
      </c>
      <c r="AB16" s="36">
        <f>((('Salon Model'!$R$32-'Salon Model'!$J$32)*'Salon Schedule'!AA44)+'Salon Model'!$J$32)*'Salon Schedule'!AA43</f>
        <v>1125</v>
      </c>
      <c r="AC16" s="36">
        <f>((('Salon Model'!$R$32-'Salon Model'!$J$32)*'Salon Schedule'!AB44)+'Salon Model'!$J$32)*'Salon Schedule'!AB43</f>
        <v>1125</v>
      </c>
      <c r="AD16" s="36">
        <f>((('Salon Model'!$R$32-'Salon Model'!$J$32)*'Salon Schedule'!AC44)+'Salon Model'!$J$32)*'Salon Schedule'!AC43</f>
        <v>1200</v>
      </c>
      <c r="AE16" s="36">
        <f>((('Salon Model'!$R$32-'Salon Model'!$J$32)*'Salon Schedule'!AD44)+'Salon Model'!$J$32)*'Salon Schedule'!AD43</f>
        <v>1200</v>
      </c>
      <c r="AF16" s="36">
        <f>((('Salon Model'!$R$32-'Salon Model'!$J$32)*'Salon Schedule'!AE44)+'Salon Model'!$J$32)*'Salon Schedule'!AE43</f>
        <v>1200</v>
      </c>
      <c r="AG16" s="36">
        <f>((('Salon Model'!$R$32-'Salon Model'!$J$32)*'Salon Schedule'!AF44)+'Salon Model'!$J$32)*'Salon Schedule'!AF43</f>
        <v>1500</v>
      </c>
      <c r="AH16" s="125"/>
      <c r="AI16" s="34">
        <f>SUM(I16:T16)</f>
        <v>8250</v>
      </c>
      <c r="AJ16" s="34">
        <f>SUM(U16:AF16)</f>
        <v>13050</v>
      </c>
      <c r="AK16" s="35">
        <f>AVERAGE(AG16,AF16)*12</f>
        <v>16200</v>
      </c>
    </row>
    <row r="17" spans="2:37" s="1" customFormat="1">
      <c r="C17" s="1" t="s">
        <v>46</v>
      </c>
      <c r="E17" s="2"/>
      <c r="F17" s="34">
        <v>64815.115000000005</v>
      </c>
      <c r="G17" s="34">
        <f>(F17/8)*12</f>
        <v>97222.672500000015</v>
      </c>
      <c r="H17" s="153">
        <f>G17/12</f>
        <v>8101.8893750000016</v>
      </c>
      <c r="I17" s="36">
        <f>((('Salon Model'!$R$33-'Salon Model'!$J$33)*'Salon Schedule'!H44)+'Salon Model'!$J$33)*'Salon Schedule'!H43</f>
        <v>5548.5904464209489</v>
      </c>
      <c r="J17" s="36">
        <f>((('Salon Model'!$R$33-'Salon Model'!$J$33)*'Salon Schedule'!I44)+'Salon Model'!$J$33)*'Salon Schedule'!I43</f>
        <v>7177.8681630577448</v>
      </c>
      <c r="K17" s="36">
        <f>((('Salon Model'!$R$33-'Salon Model'!$J$33)*'Salon Schedule'!J44)+'Salon Model'!$J$33)*'Salon Schedule'!J43</f>
        <v>8999.9539344871973</v>
      </c>
      <c r="L17" s="36">
        <f>((('Salon Model'!$R$33-'Salon Model'!$J$33)*'Salon Schedule'!K44)+'Salon Model'!$J$33)*'Salon Schedule'!K43</f>
        <v>10867.910318383521</v>
      </c>
      <c r="M17" s="36">
        <f>((('Salon Model'!$R$33-'Salon Model'!$J$33)*'Salon Schedule'!L44)+'Salon Model'!$J$33)*'Salon Schedule'!L43</f>
        <v>13039.642006616818</v>
      </c>
      <c r="N17" s="36">
        <f>((('Salon Model'!$R$33-'Salon Model'!$J$33)*'Salon Schedule'!M44)+'Salon Model'!$J$33)*'Salon Schedule'!M43</f>
        <v>15150.225289818154</v>
      </c>
      <c r="O17" s="36">
        <f>((('Salon Model'!$R$33-'Salon Model'!$J$33)*'Salon Schedule'!N44)+'Salon Model'!$J$33)*'Salon Schedule'!N43</f>
        <v>17203.697260273973</v>
      </c>
      <c r="P17" s="36">
        <f>((('Salon Model'!$R$33-'Salon Model'!$J$33)*'Salon Schedule'!O44)+'Salon Model'!$J$33)*'Salon Schedule'!O43</f>
        <v>18246.638013698626</v>
      </c>
      <c r="Q17" s="36">
        <f>((('Salon Model'!$R$33-'Salon Model'!$J$33)*'Salon Schedule'!P44)+'Salon Model'!$J$33)*'Salon Schedule'!P43</f>
        <v>19102.07876712329</v>
      </c>
      <c r="R17" s="36">
        <f>((('Salon Model'!$R$33-'Salon Model'!$J$33)*'Salon Schedule'!Q44)+'Salon Model'!$J$33)*'Salon Schedule'!Q43</f>
        <v>20235.688356164381</v>
      </c>
      <c r="S17" s="36">
        <f>((('Salon Model'!$R$33-'Salon Model'!$J$33)*'Salon Schedule'!R44)+'Salon Model'!$J$33)*'Salon Schedule'!R43</f>
        <v>21213.334931506852</v>
      </c>
      <c r="T17" s="36">
        <f>((('Salon Model'!$R$33-'Salon Model'!$J$33)*'Salon Schedule'!S44)+'Salon Model'!$J$33)*'Salon Schedule'!S43</f>
        <v>22159.444520547942</v>
      </c>
      <c r="U17" s="135">
        <f>((('Salon Model'!$R$33-'Salon Model'!$J$33)*'Salon Schedule'!T44)+'Salon Model'!$J$33)*'Salon Schedule'!T43</f>
        <v>23685.544520547945</v>
      </c>
      <c r="V17" s="36">
        <f>((('Salon Model'!$R$33-'Salon Model'!$J$33)*'Salon Schedule'!U44)+'Salon Model'!$J$33)*'Salon Schedule'!U43</f>
        <v>24785.396917808222</v>
      </c>
      <c r="W17" s="36">
        <f>((('Salon Model'!$R$33-'Salon Model'!$J$33)*'Salon Schedule'!V44)+'Salon Model'!$J$33)*'Salon Schedule'!V43</f>
        <v>25778.811986301364</v>
      </c>
      <c r="X17" s="36">
        <f>((('Salon Model'!$R$33-'Salon Model'!$J$33)*'Salon Schedule'!W44)+'Salon Model'!$J$33)*'Salon Schedule'!W43</f>
        <v>27188.370205479456</v>
      </c>
      <c r="Y17" s="36">
        <f>((('Salon Model'!$R$33-'Salon Model'!$J$33)*'Salon Schedule'!X44)+'Salon Model'!$J$33)*'Salon Schedule'!X43</f>
        <v>28252.74349315069</v>
      </c>
      <c r="Z17" s="36">
        <f>((('Salon Model'!$R$33-'Salon Model'!$J$33)*'Salon Schedule'!Y44)+'Salon Model'!$J$33)*'Salon Schedule'!Y43</f>
        <v>29352.595890410954</v>
      </c>
      <c r="AA17" s="36">
        <f>((('Salon Model'!$R$33-'Salon Model'!$J$33)*'Salon Schedule'!Z44)+'Salon Model'!$J$33)*'Salon Schedule'!Z43</f>
        <v>30722.732876712329</v>
      </c>
      <c r="AB17" s="36">
        <f>((('Salon Model'!$R$33-'Salon Model'!$J$33)*'Salon Schedule'!AA44)+'Salon Model'!$J$33)*'Salon Schedule'!AA43</f>
        <v>31944.791095890418</v>
      </c>
      <c r="AC17" s="36">
        <f>((('Salon Model'!$R$33-'Salon Model'!$J$33)*'Salon Schedule'!AB44)+'Salon Model'!$J$33)*'Salon Schedule'!AB43</f>
        <v>33166.849315068495</v>
      </c>
      <c r="AD17" s="36">
        <f>((('Salon Model'!$R$33-'Salon Model'!$J$33)*'Salon Schedule'!AC44)+'Salon Model'!$J$33)*'Salon Schedule'!AC43</f>
        <v>34655.25</v>
      </c>
      <c r="AE17" s="36">
        <f>((('Salon Model'!$R$33-'Salon Model'!$J$33)*'Salon Schedule'!AD44)+'Salon Model'!$J$33)*'Salon Schedule'!AD43</f>
        <v>35877.308219178078</v>
      </c>
      <c r="AF17" s="36">
        <f>((('Salon Model'!$R$33-'Salon Model'!$J$33)*'Salon Schedule'!AE44)+'Salon Model'!$J$33)*'Salon Schedule'!AE43</f>
        <v>37059.945205479453</v>
      </c>
      <c r="AG17" s="36">
        <f>((('Salon Model'!$R$33-'Salon Model'!$J$33)*'Salon Schedule'!AF44)+'Salon Model'!$J$33)*'Salon Schedule'!AF43</f>
        <v>51591.608219178088</v>
      </c>
      <c r="AH17" s="125"/>
      <c r="AI17" s="34">
        <f>SUM(I17:T17)</f>
        <v>178945.07200809947</v>
      </c>
      <c r="AJ17" s="34">
        <f>SUM(U17:AF17)</f>
        <v>362470.33972602739</v>
      </c>
      <c r="AK17" s="35">
        <f>AVERAGE(AG17,AF17)*12</f>
        <v>531909.32054794522</v>
      </c>
    </row>
    <row r="18" spans="2:37" s="1" customFormat="1" ht="8" customHeight="1">
      <c r="E18" s="2"/>
      <c r="F18" s="34"/>
      <c r="G18" s="34"/>
      <c r="H18" s="153"/>
      <c r="I18" s="36"/>
      <c r="J18" s="34"/>
      <c r="K18" s="34"/>
      <c r="L18" s="34"/>
      <c r="M18" s="34"/>
      <c r="N18" s="34"/>
      <c r="O18" s="34"/>
      <c r="P18" s="34"/>
      <c r="Q18" s="34"/>
      <c r="R18" s="34"/>
      <c r="S18" s="34"/>
      <c r="T18" s="34"/>
      <c r="U18" s="135"/>
      <c r="V18" s="34"/>
      <c r="W18" s="34"/>
      <c r="X18" s="34"/>
      <c r="Y18" s="34"/>
      <c r="Z18" s="34"/>
      <c r="AA18" s="34"/>
      <c r="AB18" s="34"/>
      <c r="AC18" s="34"/>
      <c r="AD18" s="34"/>
      <c r="AE18" s="34"/>
      <c r="AF18" s="34"/>
      <c r="AG18" s="34"/>
      <c r="AH18" s="125"/>
      <c r="AI18" s="34"/>
      <c r="AJ18" s="34"/>
      <c r="AK18" s="35"/>
    </row>
    <row r="19" spans="2:37" s="1" customFormat="1">
      <c r="B19" s="1" t="s">
        <v>169</v>
      </c>
      <c r="E19" s="2"/>
      <c r="F19" s="34">
        <v>232129.71000000002</v>
      </c>
      <c r="G19" s="34">
        <f t="shared" ref="G19:AF19" si="4">G14-G16-G17</f>
        <v>384638.09239361691</v>
      </c>
      <c r="H19" s="37">
        <f t="shared" si="4"/>
        <v>33436.507699468086</v>
      </c>
      <c r="I19" s="34">
        <f t="shared" si="4"/>
        <v>56132.314017788536</v>
      </c>
      <c r="J19" s="34">
        <f t="shared" si="4"/>
        <v>70963.813467519707</v>
      </c>
      <c r="K19" s="34">
        <f t="shared" si="4"/>
        <v>87459.785410384764</v>
      </c>
      <c r="L19" s="34">
        <f t="shared" si="4"/>
        <v>104447.89786545168</v>
      </c>
      <c r="M19" s="34">
        <f t="shared" si="4"/>
        <v>124099.40068455135</v>
      </c>
      <c r="N19" s="34">
        <f t="shared" si="4"/>
        <v>143280.09079898836</v>
      </c>
      <c r="O19" s="34">
        <f t="shared" si="4"/>
        <v>161951.41511285637</v>
      </c>
      <c r="P19" s="34">
        <f t="shared" si="4"/>
        <v>171457.71038793804</v>
      </c>
      <c r="Q19" s="34">
        <f t="shared" si="4"/>
        <v>179356.37637537631</v>
      </c>
      <c r="R19" s="34">
        <f t="shared" si="4"/>
        <v>189688.55436352777</v>
      </c>
      <c r="S19" s="34">
        <f t="shared" si="4"/>
        <v>198697.18252056118</v>
      </c>
      <c r="T19" s="34">
        <f t="shared" si="4"/>
        <v>207427.22302535595</v>
      </c>
      <c r="U19" s="135">
        <f t="shared" si="4"/>
        <v>221232.55358386665</v>
      </c>
      <c r="V19" s="34">
        <f t="shared" si="4"/>
        <v>231357.16648168245</v>
      </c>
      <c r="W19" s="34">
        <f t="shared" si="4"/>
        <v>240529.49195365599</v>
      </c>
      <c r="X19" s="34">
        <f t="shared" si="4"/>
        <v>253377.89552818239</v>
      </c>
      <c r="Y19" s="34">
        <f t="shared" si="4"/>
        <v>263200.56920919521</v>
      </c>
      <c r="Z19" s="34">
        <f t="shared" si="4"/>
        <v>273348.63772880856</v>
      </c>
      <c r="AA19" s="34">
        <f t="shared" si="4"/>
        <v>285860.50247339864</v>
      </c>
      <c r="AB19" s="34">
        <f t="shared" si="4"/>
        <v>297121.04911057616</v>
      </c>
      <c r="AC19" s="34">
        <f t="shared" si="4"/>
        <v>308388.14631436788</v>
      </c>
      <c r="AD19" s="34">
        <f t="shared" si="4"/>
        <v>321984.04004072025</v>
      </c>
      <c r="AE19" s="34">
        <f t="shared" si="4"/>
        <v>333264.73376434098</v>
      </c>
      <c r="AF19" s="34">
        <f t="shared" si="4"/>
        <v>344197.69063584675</v>
      </c>
      <c r="AG19" s="34">
        <f>AG14-AG16</f>
        <v>526570.72057297593</v>
      </c>
      <c r="AH19" s="125"/>
      <c r="AI19" s="34">
        <f>SUM(I19:T19)</f>
        <v>1694961.7640303001</v>
      </c>
      <c r="AJ19" s="34">
        <f>SUM(U19:AF19)</f>
        <v>3373862.4768246422</v>
      </c>
      <c r="AK19" s="35">
        <f>AK14-AK16-AK17</f>
        <v>4915060.8179378668</v>
      </c>
    </row>
    <row r="20" spans="2:37">
      <c r="F20" s="21"/>
      <c r="G20" s="21"/>
      <c r="H20" s="151"/>
      <c r="I20" s="23"/>
      <c r="J20" s="21"/>
      <c r="K20" s="21"/>
      <c r="L20" s="21"/>
      <c r="M20" s="21"/>
      <c r="N20" s="21"/>
      <c r="O20" s="21"/>
      <c r="P20" s="21"/>
      <c r="Q20" s="21"/>
      <c r="R20" s="21"/>
      <c r="S20" s="21"/>
      <c r="T20" s="21"/>
      <c r="U20" s="132"/>
      <c r="V20" s="21"/>
      <c r="W20" s="21"/>
      <c r="X20" s="21"/>
      <c r="Y20" s="21"/>
      <c r="Z20" s="21"/>
      <c r="AA20" s="21"/>
      <c r="AB20" s="21"/>
      <c r="AC20" s="21"/>
      <c r="AD20" s="21"/>
      <c r="AE20" s="21"/>
      <c r="AF20" s="21"/>
      <c r="AG20" s="21"/>
      <c r="AH20" s="123"/>
      <c r="AI20" s="21"/>
      <c r="AJ20" s="21"/>
    </row>
    <row r="21" spans="2:37">
      <c r="B21" s="1" t="s">
        <v>267</v>
      </c>
      <c r="F21" s="21"/>
      <c r="G21" s="21"/>
      <c r="H21" s="151"/>
      <c r="I21" s="23"/>
      <c r="J21" s="21"/>
      <c r="K21" s="21"/>
      <c r="L21" s="21"/>
      <c r="M21" s="21"/>
      <c r="N21" s="21"/>
      <c r="O21" s="21"/>
      <c r="P21" s="21"/>
      <c r="Q21" s="21"/>
      <c r="R21" s="21"/>
      <c r="S21" s="21"/>
      <c r="T21" s="21"/>
      <c r="U21" s="132"/>
      <c r="V21" s="21"/>
      <c r="W21" s="21"/>
      <c r="X21" s="21"/>
      <c r="Y21" s="21"/>
      <c r="Z21" s="21"/>
      <c r="AA21" s="21"/>
      <c r="AB21" s="21"/>
      <c r="AC21" s="21"/>
      <c r="AD21" s="21"/>
      <c r="AE21" s="21"/>
      <c r="AF21" s="21"/>
      <c r="AG21" s="21"/>
      <c r="AH21" s="123"/>
      <c r="AI21" s="21"/>
      <c r="AJ21" s="21"/>
    </row>
    <row r="22" spans="2:37">
      <c r="C22" t="s">
        <v>86</v>
      </c>
      <c r="F22" s="21">
        <v>354824.15</v>
      </c>
      <c r="G22" s="21">
        <f>(F22/8)*12</f>
        <v>532236.22500000009</v>
      </c>
      <c r="H22" s="151">
        <f>G22/12</f>
        <v>44353.01875000001</v>
      </c>
      <c r="I22" s="23">
        <f>((('Salon Model'!$R$27-'Salon Model'!$J$27)*'Salon Schedule'!H$44)+'Salon Model'!$J$27)*'Salon Schedule'!H$43</f>
        <v>44715.293849781869</v>
      </c>
      <c r="J22" s="21">
        <f>((('Salon Model'!$R$27-'Salon Model'!$J$27)*'Salon Schedule'!I44)+'Salon Model'!$J$27)*'Salon Schedule'!I43</f>
        <v>47703.506094907054</v>
      </c>
      <c r="K22" s="21">
        <f>((('Salon Model'!$R$27-'Salon Model'!$J$27)*'Salon Schedule'!J44)+'Salon Model'!$J$27)*'Salon Schedule'!J43</f>
        <v>55979.453693414449</v>
      </c>
      <c r="L22" s="21">
        <f>((('Salon Model'!$R$27-'Salon Model'!$J$27)*'Salon Schedule'!K44)+'Salon Model'!$J$27)*'Salon Schedule'!K43</f>
        <v>59405.419741266</v>
      </c>
      <c r="M22" s="21">
        <f>((('Salon Model'!$R$27-'Salon Model'!$J$27)*'Salon Schedule'!L44)+'Salon Model'!$J$27)*'Salon Schedule'!L43</f>
        <v>68322.64304089082</v>
      </c>
      <c r="N22" s="21">
        <f>((('Salon Model'!$R$27-'Salon Model'!$J$27)*'Salon Schedule'!M44)+'Salon Model'!$J$27)*'Salon Schedule'!M43</f>
        <v>72193.60423235521</v>
      </c>
      <c r="O22" s="21">
        <f>((('Salon Model'!$R$27-'Salon Model'!$J$27)*'Salon Schedule'!N44)+'Salon Model'!$J$27)*'Salon Schedule'!N43</f>
        <v>75959.819178082194</v>
      </c>
      <c r="P22" s="21">
        <f>((('Salon Model'!$R$27-'Salon Model'!$J$27)*'Salon Schedule'!O44)+'Salon Model'!$J$27)*'Salon Schedule'!O43</f>
        <v>82806.758904109593</v>
      </c>
      <c r="Q22" s="21">
        <f>((('Salon Model'!$R$27-'Salon Model'!$J$27)*'Salon Schedule'!P44)+'Salon Model'!$J$27)*'Salon Schedule'!P43</f>
        <v>84375.698630136991</v>
      </c>
      <c r="R22" s="21">
        <f>((('Salon Model'!$R$27-'Salon Model'!$J$27)*'Salon Schedule'!Q44)+'Salon Model'!$J$27)*'Salon Schedule'!Q43</f>
        <v>91388.931506849316</v>
      </c>
      <c r="S22" s="21">
        <f>((('Salon Model'!$R$27-'Salon Model'!$J$27)*'Salon Schedule'!R44)+'Salon Model'!$J$27)*'Salon Schedule'!R43</f>
        <v>93182.005479452069</v>
      </c>
      <c r="T22" s="21">
        <f>((('Salon Model'!$R$27-'Salon Model'!$J$27)*'Salon Schedule'!S44)+'Salon Model'!$J$27)*'Salon Schedule'!S43</f>
        <v>94917.23835616438</v>
      </c>
      <c r="U22" s="132">
        <f>((('Salon Model'!$R$27-'Salon Model'!$J$27)*'Salon Schedule'!T44)+'Salon Model'!$J$27)*'Salon Schedule'!T43</f>
        <v>107584.43835616439</v>
      </c>
      <c r="V22" s="21">
        <f>((('Salon Model'!$R$27-'Salon Model'!$J$27)*'Salon Schedule'!U44)+'Salon Model'!$J$27)*'Salon Schedule'!U43</f>
        <v>109601.64657534246</v>
      </c>
      <c r="W22" s="21">
        <f>((('Salon Model'!$R$27-'Salon Model'!$J$27)*'Salon Schedule'!V44)+'Salon Model'!$J$27)*'Salon Schedule'!V43</f>
        <v>111423.6410958904</v>
      </c>
      <c r="X22" s="21">
        <f>((('Salon Model'!$R$27-'Salon Model'!$J$27)*'Salon Schedule'!W44)+'Salon Model'!$J$27)*'Salon Schedule'!W43</f>
        <v>118942.98356164385</v>
      </c>
      <c r="Y22" s="21">
        <f>((('Salon Model'!$R$27-'Salon Model'!$J$27)*'Salon Schedule'!X44)+'Salon Model'!$J$27)*'Salon Schedule'!X43</f>
        <v>120895.1205479452</v>
      </c>
      <c r="Z22" s="21">
        <f>((('Salon Model'!$R$27-'Salon Model'!$J$27)*'Salon Schedule'!Y44)+'Salon Model'!$J$27)*'Salon Schedule'!Y43</f>
        <v>122912.32876712327</v>
      </c>
      <c r="AA22" s="21">
        <f>((('Salon Model'!$R$27-'Salon Model'!$J$27)*'Salon Schedule'!Z44)+'Salon Model'!$J$27)*'Salon Schedule'!Z43</f>
        <v>130359.36986301369</v>
      </c>
      <c r="AB22" s="21">
        <f>((('Salon Model'!$R$27-'Salon Model'!$J$27)*'Salon Schedule'!AA44)+'Salon Model'!$J$27)*'Salon Schedule'!AA43</f>
        <v>132600.71232876714</v>
      </c>
      <c r="AC22" s="21">
        <f>((('Salon Model'!$R$27-'Salon Model'!$J$27)*'Salon Schedule'!AB44)+'Salon Model'!$J$27)*'Salon Schedule'!AB43</f>
        <v>134842.05479452055</v>
      </c>
      <c r="AD22" s="21">
        <f>((('Salon Model'!$R$27-'Salon Model'!$J$27)*'Salon Schedule'!AC44)+'Salon Model'!$J$27)*'Salon Schedule'!AC43</f>
        <v>142506</v>
      </c>
      <c r="AE22" s="21">
        <f>((('Salon Model'!$R$27-'Salon Model'!$J$27)*'Salon Schedule'!AD44)+'Salon Model'!$J$27)*'Salon Schedule'!AD43</f>
        <v>144747.34246575343</v>
      </c>
      <c r="AF22" s="21">
        <f>((('Salon Model'!$R$27-'Salon Model'!$J$27)*'Salon Schedule'!AE44)+'Salon Model'!$J$27)*'Salon Schedule'!AE43</f>
        <v>146916.38356164383</v>
      </c>
      <c r="AG22" s="21">
        <f>((('Salon Model'!$R$27-'Salon Model'!$J$27)*'Salon Schedule'!AF44)+'Salon Model'!$J$27)*'Salon Schedule'!AF43</f>
        <v>193304.94246575341</v>
      </c>
      <c r="AH22" s="123"/>
      <c r="AI22" s="21">
        <f>SUM(I22:T22)</f>
        <v>870950.37270741002</v>
      </c>
      <c r="AJ22" s="21">
        <f>SUM(U22:AF22)</f>
        <v>1523332.0219178081</v>
      </c>
      <c r="AK22" s="24">
        <f>AVERAGE(AG22,AF22)*12</f>
        <v>2041327.9561643833</v>
      </c>
    </row>
    <row r="23" spans="2:37">
      <c r="C23" t="s">
        <v>114</v>
      </c>
      <c r="E23" s="411">
        <v>3.5000000000000003E-2</v>
      </c>
      <c r="F23" s="21">
        <v>5876.1750000000002</v>
      </c>
      <c r="G23" s="21">
        <f>(F23/8)*12</f>
        <v>8814.2625000000007</v>
      </c>
      <c r="H23" s="151">
        <f>G23/12</f>
        <v>734.52187500000002</v>
      </c>
      <c r="I23" s="23">
        <f t="shared" ref="I23:AF23" si="5">$E$23*I22</f>
        <v>1565.0352847423655</v>
      </c>
      <c r="J23" s="21">
        <f t="shared" si="5"/>
        <v>1669.6227133217471</v>
      </c>
      <c r="K23" s="21">
        <f t="shared" si="5"/>
        <v>1959.2808792695059</v>
      </c>
      <c r="L23" s="21">
        <f t="shared" si="5"/>
        <v>2079.1896909443103</v>
      </c>
      <c r="M23" s="21">
        <f t="shared" si="5"/>
        <v>2391.2925064311789</v>
      </c>
      <c r="N23" s="21">
        <f t="shared" si="5"/>
        <v>2526.7761481324328</v>
      </c>
      <c r="O23" s="21">
        <f t="shared" si="5"/>
        <v>2658.5936712328771</v>
      </c>
      <c r="P23" s="21">
        <f t="shared" si="5"/>
        <v>2898.236561643836</v>
      </c>
      <c r="Q23" s="21">
        <f t="shared" si="5"/>
        <v>2953.1494520547949</v>
      </c>
      <c r="R23" s="21">
        <f t="shared" si="5"/>
        <v>3198.6126027397263</v>
      </c>
      <c r="S23" s="21">
        <f t="shared" si="5"/>
        <v>3261.3701917808226</v>
      </c>
      <c r="T23" s="21">
        <f t="shared" si="5"/>
        <v>3322.1033424657535</v>
      </c>
      <c r="U23" s="132">
        <f t="shared" si="5"/>
        <v>3765.4553424657543</v>
      </c>
      <c r="V23" s="21">
        <f t="shared" si="5"/>
        <v>3836.0576301369865</v>
      </c>
      <c r="W23" s="21">
        <f t="shared" si="5"/>
        <v>3899.8274383561643</v>
      </c>
      <c r="X23" s="21">
        <f t="shared" si="5"/>
        <v>4163.0044246575353</v>
      </c>
      <c r="Y23" s="21">
        <f t="shared" si="5"/>
        <v>4231.3292191780829</v>
      </c>
      <c r="Z23" s="21">
        <f t="shared" si="5"/>
        <v>4301.9315068493152</v>
      </c>
      <c r="AA23" s="21">
        <f t="shared" si="5"/>
        <v>4562.5779452054794</v>
      </c>
      <c r="AB23" s="21">
        <f t="shared" si="5"/>
        <v>4641.0249315068504</v>
      </c>
      <c r="AC23" s="21">
        <f t="shared" si="5"/>
        <v>4719.4719178082196</v>
      </c>
      <c r="AD23" s="21">
        <f t="shared" si="5"/>
        <v>4987.71</v>
      </c>
      <c r="AE23" s="21">
        <f t="shared" si="5"/>
        <v>5066.156986301371</v>
      </c>
      <c r="AF23" s="21">
        <f t="shared" si="5"/>
        <v>5142.0734246575348</v>
      </c>
      <c r="AG23" s="21"/>
      <c r="AH23" s="123"/>
      <c r="AI23" s="21">
        <f>SUM(I23:T23)</f>
        <v>30483.263044759351</v>
      </c>
      <c r="AJ23" s="21">
        <f>SUM(U23:AF23)</f>
        <v>53316.620767123299</v>
      </c>
      <c r="AK23" s="24">
        <f>(1+((AJ23-AI23)/AI23))*AJ23</f>
        <v>93253.207369935772</v>
      </c>
    </row>
    <row r="24" spans="2:37">
      <c r="B24" s="15"/>
      <c r="C24" s="15" t="s">
        <v>115</v>
      </c>
      <c r="D24" s="15"/>
      <c r="E24" s="412">
        <v>0.09</v>
      </c>
      <c r="F24" s="22">
        <v>22328.525000000001</v>
      </c>
      <c r="G24" s="22">
        <f>(F24/8)*12</f>
        <v>33492.787500000006</v>
      </c>
      <c r="H24" s="163">
        <f>G24/12</f>
        <v>2791.0656250000006</v>
      </c>
      <c r="I24" s="22">
        <f>$E$24*I37</f>
        <v>2887.5</v>
      </c>
      <c r="J24" s="22">
        <f>$E$24*J22</f>
        <v>4293.3155485416346</v>
      </c>
      <c r="K24" s="22">
        <f t="shared" ref="K24:AF24" si="6">$E$24*K22</f>
        <v>5038.1508324073002</v>
      </c>
      <c r="L24" s="22">
        <f t="shared" si="6"/>
        <v>5346.4877767139396</v>
      </c>
      <c r="M24" s="22">
        <f t="shared" si="6"/>
        <v>6149.037873680174</v>
      </c>
      <c r="N24" s="22">
        <f t="shared" si="6"/>
        <v>6497.4243809119689</v>
      </c>
      <c r="O24" s="22">
        <f t="shared" si="6"/>
        <v>6836.3837260273976</v>
      </c>
      <c r="P24" s="22">
        <f t="shared" si="6"/>
        <v>7452.6083013698626</v>
      </c>
      <c r="Q24" s="22">
        <f t="shared" si="6"/>
        <v>7593.8128767123289</v>
      </c>
      <c r="R24" s="22">
        <f t="shared" si="6"/>
        <v>8225.0038356164387</v>
      </c>
      <c r="S24" s="22">
        <f t="shared" si="6"/>
        <v>8386.3804931506857</v>
      </c>
      <c r="T24" s="22">
        <f t="shared" si="6"/>
        <v>8542.5514520547931</v>
      </c>
      <c r="U24" s="136">
        <f t="shared" si="6"/>
        <v>9682.5994520547956</v>
      </c>
      <c r="V24" s="22">
        <f t="shared" si="6"/>
        <v>9864.1481917808214</v>
      </c>
      <c r="W24" s="22">
        <f t="shared" si="6"/>
        <v>10028.127698630136</v>
      </c>
      <c r="X24" s="22">
        <f t="shared" si="6"/>
        <v>10704.868520547947</v>
      </c>
      <c r="Y24" s="22">
        <f t="shared" si="6"/>
        <v>10880.560849315068</v>
      </c>
      <c r="Z24" s="22">
        <f t="shared" si="6"/>
        <v>11062.109589041094</v>
      </c>
      <c r="AA24" s="22">
        <f t="shared" si="6"/>
        <v>11732.343287671232</v>
      </c>
      <c r="AB24" s="22">
        <f t="shared" si="6"/>
        <v>11934.064109589042</v>
      </c>
      <c r="AC24" s="22">
        <f t="shared" si="6"/>
        <v>12135.784931506849</v>
      </c>
      <c r="AD24" s="22">
        <f t="shared" si="6"/>
        <v>12825.539999999999</v>
      </c>
      <c r="AE24" s="22">
        <f t="shared" si="6"/>
        <v>13027.260821917809</v>
      </c>
      <c r="AF24" s="22">
        <f t="shared" si="6"/>
        <v>13222.474520547945</v>
      </c>
      <c r="AG24" s="22"/>
      <c r="AH24" s="123"/>
      <c r="AI24" s="22">
        <f>SUM(I24:T24)</f>
        <v>77248.657097186515</v>
      </c>
      <c r="AJ24" s="22">
        <f>SUM(U24:AF24)</f>
        <v>137099.88197260274</v>
      </c>
      <c r="AK24" s="160">
        <f>(1+((AJ24-AI24)/AI24))*AJ24</f>
        <v>243323.03425357782</v>
      </c>
    </row>
    <row r="25" spans="2:37" s="1" customFormat="1">
      <c r="B25" s="1" t="s">
        <v>268</v>
      </c>
      <c r="E25" s="2"/>
      <c r="F25" s="34">
        <f t="shared" ref="F25:AF25" si="7">SUM(F22:F24)</f>
        <v>383028.85000000003</v>
      </c>
      <c r="G25" s="34">
        <f t="shared" si="7"/>
        <v>574543.27500000002</v>
      </c>
      <c r="H25" s="153">
        <f t="shared" si="7"/>
        <v>47878.606250000012</v>
      </c>
      <c r="I25" s="36">
        <f t="shared" si="7"/>
        <v>49167.829134524232</v>
      </c>
      <c r="J25" s="34">
        <f t="shared" si="7"/>
        <v>53666.444356770437</v>
      </c>
      <c r="K25" s="34">
        <f t="shared" si="7"/>
        <v>62976.885405091256</v>
      </c>
      <c r="L25" s="34">
        <f t="shared" si="7"/>
        <v>66831.097208924242</v>
      </c>
      <c r="M25" s="34">
        <f t="shared" si="7"/>
        <v>76862.973421002185</v>
      </c>
      <c r="N25" s="34">
        <f t="shared" si="7"/>
        <v>81217.804761399602</v>
      </c>
      <c r="O25" s="34">
        <f t="shared" si="7"/>
        <v>85454.79657534248</v>
      </c>
      <c r="P25" s="34">
        <f t="shared" si="7"/>
        <v>93157.603767123292</v>
      </c>
      <c r="Q25" s="34">
        <f t="shared" si="7"/>
        <v>94922.660958904118</v>
      </c>
      <c r="R25" s="34">
        <f t="shared" si="7"/>
        <v>102812.54794520549</v>
      </c>
      <c r="S25" s="34">
        <f t="shared" si="7"/>
        <v>104829.75616438358</v>
      </c>
      <c r="T25" s="34">
        <f t="shared" si="7"/>
        <v>106781.89315068492</v>
      </c>
      <c r="U25" s="135">
        <f t="shared" si="7"/>
        <v>121032.49315068494</v>
      </c>
      <c r="V25" s="34">
        <f t="shared" si="7"/>
        <v>123301.85239726027</v>
      </c>
      <c r="W25" s="34">
        <f t="shared" si="7"/>
        <v>125351.59623287671</v>
      </c>
      <c r="X25" s="34">
        <f t="shared" si="7"/>
        <v>133810.85650684935</v>
      </c>
      <c r="Y25" s="34">
        <f t="shared" si="7"/>
        <v>136007.01061643835</v>
      </c>
      <c r="Z25" s="34">
        <f t="shared" si="7"/>
        <v>138276.36986301368</v>
      </c>
      <c r="AA25" s="34">
        <f t="shared" si="7"/>
        <v>146654.2910958904</v>
      </c>
      <c r="AB25" s="34">
        <f t="shared" si="7"/>
        <v>149175.80136986304</v>
      </c>
      <c r="AC25" s="34">
        <f t="shared" si="7"/>
        <v>151697.31164383562</v>
      </c>
      <c r="AD25" s="34">
        <f t="shared" si="7"/>
        <v>160319.25</v>
      </c>
      <c r="AE25" s="34">
        <f t="shared" si="7"/>
        <v>162840.76027397261</v>
      </c>
      <c r="AF25" s="34">
        <f t="shared" si="7"/>
        <v>165280.93150684933</v>
      </c>
      <c r="AG25" s="34"/>
      <c r="AH25" s="125"/>
      <c r="AI25" s="34">
        <f>SUM(I25:T25)</f>
        <v>978682.29284935573</v>
      </c>
      <c r="AJ25" s="34">
        <f>SUM(U25:AF25)</f>
        <v>1713748.5246575342</v>
      </c>
      <c r="AK25" s="35">
        <f>SUM(AK22:AK24)</f>
        <v>2377904.1977878967</v>
      </c>
    </row>
    <row r="26" spans="2:37">
      <c r="F26" s="21"/>
      <c r="G26" s="21"/>
      <c r="H26" s="151"/>
      <c r="I26" s="23"/>
      <c r="J26" s="21"/>
      <c r="K26" s="21"/>
      <c r="L26" s="21"/>
      <c r="M26" s="21"/>
      <c r="N26" s="21"/>
      <c r="O26" s="21"/>
      <c r="P26" s="21"/>
      <c r="Q26" s="21"/>
      <c r="R26" s="21"/>
      <c r="S26" s="21"/>
      <c r="T26" s="21"/>
      <c r="U26" s="132"/>
      <c r="V26" s="21"/>
      <c r="W26" s="21"/>
      <c r="X26" s="21"/>
      <c r="Y26" s="21"/>
      <c r="Z26" s="21"/>
      <c r="AA26" s="21"/>
      <c r="AB26" s="21"/>
      <c r="AC26" s="21"/>
      <c r="AD26" s="21"/>
      <c r="AE26" s="21"/>
      <c r="AF26" s="21"/>
      <c r="AG26" s="21"/>
      <c r="AH26" s="123"/>
      <c r="AI26" s="21"/>
      <c r="AJ26" s="21"/>
    </row>
    <row r="27" spans="2:37">
      <c r="B27" s="1" t="s">
        <v>88</v>
      </c>
      <c r="F27" s="21"/>
      <c r="G27" s="25"/>
      <c r="H27" s="151"/>
      <c r="I27" s="23"/>
      <c r="J27" s="21"/>
      <c r="K27" s="21"/>
      <c r="L27" s="21"/>
      <c r="M27" s="21"/>
      <c r="N27" s="21"/>
      <c r="O27" s="21"/>
      <c r="P27" s="21"/>
      <c r="Q27" s="21"/>
      <c r="R27" s="21"/>
      <c r="S27" s="21"/>
      <c r="T27" s="21"/>
      <c r="U27" s="132"/>
      <c r="V27" s="21"/>
      <c r="W27" s="21"/>
      <c r="X27" s="21"/>
      <c r="Y27" s="21"/>
      <c r="Z27" s="21"/>
      <c r="AA27" s="21"/>
      <c r="AB27" s="21"/>
      <c r="AC27" s="21"/>
      <c r="AD27" s="21"/>
      <c r="AE27" s="21"/>
      <c r="AF27" s="21"/>
      <c r="AG27" s="21"/>
      <c r="AH27" s="123"/>
      <c r="AI27" s="21"/>
      <c r="AJ27" s="21"/>
    </row>
    <row r="28" spans="2:37">
      <c r="C28" t="s">
        <v>90</v>
      </c>
      <c r="E28" s="52">
        <v>0.05</v>
      </c>
      <c r="F28" s="21">
        <v>11480.925000000001</v>
      </c>
      <c r="G28" s="21">
        <f>(F28/8)*12</f>
        <v>17221.387500000001</v>
      </c>
      <c r="H28" s="151">
        <f>G28/12</f>
        <v>1435.1156250000001</v>
      </c>
      <c r="I28" s="23">
        <f>((('Salon Model'!$R$30-'Salon Model'!$J$30)*'Salon Schedule'!H$44)+'Salon Model'!$J$30)*'Salon Schedule'!H$43</f>
        <v>1925</v>
      </c>
      <c r="J28" s="21">
        <f>((('Salon Model'!$R$30-'Salon Model'!$J$30)*'Salon Schedule'!I$44)+'Salon Model'!$J$30)*'Salon Schedule'!I$43</f>
        <v>1925</v>
      </c>
      <c r="K28" s="21">
        <f>((('Salon Model'!$R$30-'Salon Model'!$J$30)*'Salon Schedule'!J$44)+'Salon Model'!$J$30)*'Salon Schedule'!J$43</f>
        <v>2200</v>
      </c>
      <c r="L28" s="21">
        <f>((('Salon Model'!$R$30-'Salon Model'!$J$30)*'Salon Schedule'!K$44)+'Salon Model'!$J$30)*'Salon Schedule'!K$43</f>
        <v>2200</v>
      </c>
      <c r="M28" s="21">
        <f>((('Salon Model'!$R$30-'Salon Model'!$J$30)*'Salon Schedule'!L$44)+'Salon Model'!$J$30)*'Salon Schedule'!L$43</f>
        <v>2475</v>
      </c>
      <c r="N28" s="21">
        <f>((('Salon Model'!$R$30-'Salon Model'!$J$30)*'Salon Schedule'!M$44)+'Salon Model'!$J$30)*'Salon Schedule'!M$43</f>
        <v>2475</v>
      </c>
      <c r="O28" s="21">
        <f>((('Salon Model'!$R$30-'Salon Model'!$J$30)*'Salon Schedule'!N$44)+'Salon Model'!$J$30)*'Salon Schedule'!N$43</f>
        <v>2475</v>
      </c>
      <c r="P28" s="21">
        <f>((('Salon Model'!$R$30-'Salon Model'!$J$30)*'Salon Schedule'!O$44)+'Salon Model'!$J$30)*'Salon Schedule'!O$43</f>
        <v>2750</v>
      </c>
      <c r="Q28" s="21">
        <f>((('Salon Model'!$R$30-'Salon Model'!$J$30)*'Salon Schedule'!P$44)+'Salon Model'!$J$30)*'Salon Schedule'!P$43</f>
        <v>2750</v>
      </c>
      <c r="R28" s="21">
        <f>((('Salon Model'!$R$30-'Salon Model'!$J$30)*'Salon Schedule'!Q$44)+'Salon Model'!$J$30)*'Salon Schedule'!Q$43</f>
        <v>3025</v>
      </c>
      <c r="S28" s="21">
        <f>((('Salon Model'!$R$30-'Salon Model'!$J$30)*'Salon Schedule'!R$44)+'Salon Model'!$J$30)*'Salon Schedule'!R$43</f>
        <v>3025</v>
      </c>
      <c r="T28" s="21">
        <f>((('Salon Model'!$R$30-'Salon Model'!$J$30)*'Salon Schedule'!S$44)+'Salon Model'!$J$30)*'Salon Schedule'!S$43</f>
        <v>3025</v>
      </c>
      <c r="U28" s="132">
        <f>((('Salon Model'!$R$30-'Salon Model'!$J$30)*'Salon Schedule'!T$44)+'Salon Model'!$J$30)*'Salon Schedule'!T$43</f>
        <v>3575</v>
      </c>
      <c r="V28" s="21">
        <f>((('Salon Model'!$R$30-'Salon Model'!$J$30)*'Salon Schedule'!U$44)+'Salon Model'!$J$30)*'Salon Schedule'!U$43</f>
        <v>3575</v>
      </c>
      <c r="W28" s="21">
        <f>((('Salon Model'!$R$30-'Salon Model'!$J$30)*'Salon Schedule'!V$44)+'Salon Model'!$J$30)*'Salon Schedule'!V$43</f>
        <v>3575</v>
      </c>
      <c r="X28" s="21">
        <f>((('Salon Model'!$R$30-'Salon Model'!$J$30)*'Salon Schedule'!W$44)+'Salon Model'!$J$30)*'Salon Schedule'!W$43</f>
        <v>3850</v>
      </c>
      <c r="Y28" s="21">
        <f>((('Salon Model'!$R$30-'Salon Model'!$J$30)*'Salon Schedule'!X$44)+'Salon Model'!$J$30)*'Salon Schedule'!X$43</f>
        <v>3850</v>
      </c>
      <c r="Z28" s="21">
        <f>((('Salon Model'!$R$30-'Salon Model'!$J$30)*'Salon Schedule'!Y$44)+'Salon Model'!$J$30)*'Salon Schedule'!Y$43</f>
        <v>3850</v>
      </c>
      <c r="AA28" s="21">
        <f>((('Salon Model'!$R$30-'Salon Model'!$J$30)*'Salon Schedule'!Z$44)+'Salon Model'!$J$30)*'Salon Schedule'!Z$43</f>
        <v>4125</v>
      </c>
      <c r="AB28" s="21">
        <f>((('Salon Model'!$R$30-'Salon Model'!$J$30)*'Salon Schedule'!AA$44)+'Salon Model'!$J$30)*'Salon Schedule'!AA$43</f>
        <v>4125</v>
      </c>
      <c r="AC28" s="21">
        <f>((('Salon Model'!$R$30-'Salon Model'!$J$30)*'Salon Schedule'!AB$44)+'Salon Model'!$J$30)*'Salon Schedule'!AB$43</f>
        <v>4125</v>
      </c>
      <c r="AD28" s="21">
        <f>((('Salon Model'!$R$30-'Salon Model'!$J$30)*'Salon Schedule'!AC$44)+'Salon Model'!$J$30)*'Salon Schedule'!AC$43</f>
        <v>4400</v>
      </c>
      <c r="AE28" s="21">
        <f>((('Salon Model'!$R$30-'Salon Model'!$J$30)*'Salon Schedule'!AD$44)+'Salon Model'!$J$30)*'Salon Schedule'!AD$43</f>
        <v>4400</v>
      </c>
      <c r="AF28" s="21">
        <f>((('Salon Model'!$R$30-'Salon Model'!$J$30)*'Salon Schedule'!AE$44)+'Salon Model'!$J$30)*'Salon Schedule'!AE$43</f>
        <v>4400</v>
      </c>
      <c r="AG28" s="21"/>
      <c r="AH28" s="123"/>
      <c r="AI28" s="21">
        <f>SUM(I28:T28)</f>
        <v>30250</v>
      </c>
      <c r="AJ28" s="21">
        <f>SUM(U28:AF28)</f>
        <v>47850</v>
      </c>
      <c r="AK28" s="24">
        <f>(1+((AJ28-AI28)/AI28))*AJ28</f>
        <v>75690</v>
      </c>
    </row>
    <row r="29" spans="2:37">
      <c r="C29" t="s">
        <v>91</v>
      </c>
      <c r="E29" s="52">
        <v>0.05</v>
      </c>
      <c r="F29" s="21">
        <v>16071.650000000001</v>
      </c>
      <c r="G29" s="21">
        <f>(F29/8)*12</f>
        <v>24107.475000000002</v>
      </c>
      <c r="H29" s="151">
        <f>G29/12</f>
        <v>2008.9562500000002</v>
      </c>
      <c r="I29" s="23">
        <f>((('Salon Model'!$R$29-'Salon Model'!$J$29)*'Salon Schedule'!H$44)+'Salon Model'!$J$29)*'Salon Schedule'!H$43</f>
        <v>1664.5771339262847</v>
      </c>
      <c r="J29" s="21">
        <f>((('Salon Model'!$R$29-'Salon Model'!$J$29)*'Salon Schedule'!I$44)+'Salon Model'!$J$29)*'Salon Schedule'!I$43</f>
        <v>2153.3604489173231</v>
      </c>
      <c r="K29" s="21">
        <f>((('Salon Model'!$R$29-'Salon Model'!$J$29)*'Salon Schedule'!J$44)+'Salon Model'!$J$29)*'Salon Schedule'!J$43</f>
        <v>2699.986180346159</v>
      </c>
      <c r="L29" s="21">
        <f>((('Salon Model'!$R$29-'Salon Model'!$J$29)*'Salon Schedule'!K$44)+'Salon Model'!$J$29)*'Salon Schedule'!K$43</f>
        <v>3260.3730955150563</v>
      </c>
      <c r="M29" s="21">
        <f>((('Salon Model'!$R$29-'Salon Model'!$J$29)*'Salon Schedule'!L$44)+'Salon Model'!$J$29)*'Salon Schedule'!L$43</f>
        <v>3911.8926019850451</v>
      </c>
      <c r="N29" s="21">
        <f>((('Salon Model'!$R$29-'Salon Model'!$J$29)*'Salon Schedule'!M$44)+'Salon Model'!$J$29)*'Salon Schedule'!M$43</f>
        <v>4545.0675869454453</v>
      </c>
      <c r="O29" s="21">
        <f>((('Salon Model'!$R$29-'Salon Model'!$J$29)*'Salon Schedule'!N$44)+'Salon Model'!$J$29)*'Salon Schedule'!N$43</f>
        <v>5161.1091780821916</v>
      </c>
      <c r="P29" s="21">
        <f>((('Salon Model'!$R$29-'Salon Model'!$J$29)*'Salon Schedule'!O$44)+'Salon Model'!$J$29)*'Salon Schedule'!O$43</f>
        <v>5473.9914041095881</v>
      </c>
      <c r="Q29" s="21">
        <f>((('Salon Model'!$R$29-'Salon Model'!$J$29)*'Salon Schedule'!P$44)+'Salon Model'!$J$29)*'Salon Schedule'!P$43</f>
        <v>5730.6236301369872</v>
      </c>
      <c r="R29" s="21">
        <f>((('Salon Model'!$R$29-'Salon Model'!$J$29)*'Salon Schedule'!Q$44)+'Salon Model'!$J$29)*'Salon Schedule'!Q$43</f>
        <v>6070.7065068493139</v>
      </c>
      <c r="S29" s="21">
        <f>((('Salon Model'!$R$29-'Salon Model'!$J$29)*'Salon Schedule'!R$44)+'Salon Model'!$J$29)*'Salon Schedule'!R$43</f>
        <v>6364.0004794520555</v>
      </c>
      <c r="T29" s="21">
        <f>((('Salon Model'!$R$29-'Salon Model'!$J$29)*'Salon Schedule'!S$44)+'Salon Model'!$J$29)*'Salon Schedule'!S$43</f>
        <v>6647.8333561643822</v>
      </c>
      <c r="U29" s="132">
        <f>((('Salon Model'!$R$29-'Salon Model'!$J$29)*'Salon Schedule'!T$44)+'Salon Model'!$J$29)*'Salon Schedule'!T$43</f>
        <v>7105.6633561643848</v>
      </c>
      <c r="V29" s="21">
        <f>((('Salon Model'!$R$29-'Salon Model'!$J$29)*'Salon Schedule'!U$44)+'Salon Model'!$J$29)*'Salon Schedule'!U$43</f>
        <v>7435.6190753424662</v>
      </c>
      <c r="W29" s="21">
        <f>((('Salon Model'!$R$29-'Salon Model'!$J$29)*'Salon Schedule'!V$44)+'Salon Model'!$J$29)*'Salon Schedule'!V$43</f>
        <v>7733.6435958904076</v>
      </c>
      <c r="X29" s="21">
        <f>((('Salon Model'!$R$29-'Salon Model'!$J$29)*'Salon Schedule'!W$44)+'Salon Model'!$J$29)*'Salon Schedule'!W$43</f>
        <v>8156.511061643836</v>
      </c>
      <c r="Y29" s="21">
        <f>((('Salon Model'!$R$29-'Salon Model'!$J$29)*'Salon Schedule'!X$44)+'Salon Model'!$J$29)*'Salon Schedule'!X$43</f>
        <v>8475.8230479452068</v>
      </c>
      <c r="Z29" s="21">
        <f>((('Salon Model'!$R$29-'Salon Model'!$J$29)*'Salon Schedule'!Y$44)+'Salon Model'!$J$29)*'Salon Schedule'!Y$43</f>
        <v>8805.7787671232854</v>
      </c>
      <c r="AA29" s="21">
        <f>((('Salon Model'!$R$29-'Salon Model'!$J$29)*'Salon Schedule'!Z$44)+'Salon Model'!$J$29)*'Salon Schedule'!Z$43</f>
        <v>9216.8198630136976</v>
      </c>
      <c r="AB29" s="21">
        <f>((('Salon Model'!$R$29-'Salon Model'!$J$29)*'Salon Schedule'!AA$44)+'Salon Model'!$J$29)*'Salon Schedule'!AA$43</f>
        <v>9583.437328767126</v>
      </c>
      <c r="AC29" s="21">
        <f>((('Salon Model'!$R$29-'Salon Model'!$J$29)*'Salon Schedule'!AB$44)+'Salon Model'!$J$29)*'Salon Schedule'!AB$43</f>
        <v>9950.0547945205471</v>
      </c>
      <c r="AD29" s="21">
        <f>((('Salon Model'!$R$29-'Salon Model'!$J$29)*'Salon Schedule'!AC$44)+'Salon Model'!$J$29)*'Salon Schedule'!AC$43</f>
        <v>10396.574999999999</v>
      </c>
      <c r="AE29" s="21">
        <f>((('Salon Model'!$R$29-'Salon Model'!$J$29)*'Salon Schedule'!AD$44)+'Salon Model'!$J$29)*'Salon Schedule'!AD$43</f>
        <v>10763.192465753422</v>
      </c>
      <c r="AF29" s="21">
        <f>((('Salon Model'!$R$29-'Salon Model'!$J$29)*'Salon Schedule'!AE$44)+'Salon Model'!$J$29)*'Salon Schedule'!AE$43</f>
        <v>11117.983561643834</v>
      </c>
      <c r="AG29" s="21"/>
      <c r="AH29" s="123"/>
      <c r="AI29" s="21">
        <f>SUM(I29:T29)</f>
        <v>53683.521602429835</v>
      </c>
      <c r="AJ29" s="21">
        <f>SUM(U29:AF29)</f>
        <v>108741.10191780821</v>
      </c>
      <c r="AK29" s="24">
        <f>(1+((AJ29-AI29)/AI29))*AJ29</f>
        <v>220265.49103596702</v>
      </c>
    </row>
    <row r="30" spans="2:37">
      <c r="C30" s="380" t="s">
        <v>261</v>
      </c>
      <c r="E30" s="52"/>
      <c r="F30" s="21">
        <v>2508.625</v>
      </c>
      <c r="G30" s="21">
        <f>(F30/8)*12</f>
        <v>3762.9375</v>
      </c>
      <c r="H30" s="151">
        <f>G30/12</f>
        <v>313.578125</v>
      </c>
      <c r="I30" s="23">
        <f>((('Salon Model'!$R$32-'Salon Model'!$J$32)*'Salon Schedule'!H$44)+'Salon Model'!$J$32)*'Salon Schedule'!H$43</f>
        <v>525</v>
      </c>
      <c r="J30" s="21">
        <f>((('Salon Model'!$R$32-'Salon Model'!$J$32)*'Salon Schedule'!I$44)+'Salon Model'!$J$32)*'Salon Schedule'!I$43</f>
        <v>525</v>
      </c>
      <c r="K30" s="21">
        <f>((('Salon Model'!$R$32-'Salon Model'!$J$32)*'Salon Schedule'!J$44)+'Salon Model'!$J$32)*'Salon Schedule'!J$43</f>
        <v>600</v>
      </c>
      <c r="L30" s="21">
        <f>((('Salon Model'!$R$32-'Salon Model'!$J$32)*'Salon Schedule'!K$44)+'Salon Model'!$J$32)*'Salon Schedule'!K$43</f>
        <v>600</v>
      </c>
      <c r="M30" s="21">
        <f>((('Salon Model'!$R$32-'Salon Model'!$J$32)*'Salon Schedule'!L$44)+'Salon Model'!$J$32)*'Salon Schedule'!L$43</f>
        <v>675</v>
      </c>
      <c r="N30" s="21">
        <f>((('Salon Model'!$R$32-'Salon Model'!$J$32)*'Salon Schedule'!M$44)+'Salon Model'!$J$32)*'Salon Schedule'!M$43</f>
        <v>675</v>
      </c>
      <c r="O30" s="21">
        <f>((('Salon Model'!$R$32-'Salon Model'!$J$32)*'Salon Schedule'!N$44)+'Salon Model'!$J$32)*'Salon Schedule'!N$43</f>
        <v>675</v>
      </c>
      <c r="P30" s="21">
        <f>((('Salon Model'!$R$32-'Salon Model'!$J$32)*'Salon Schedule'!O$44)+'Salon Model'!$J$32)*'Salon Schedule'!O$43</f>
        <v>750</v>
      </c>
      <c r="Q30" s="21">
        <f>((('Salon Model'!$R$32-'Salon Model'!$J$32)*'Salon Schedule'!P$44)+'Salon Model'!$J$32)*'Salon Schedule'!P$43</f>
        <v>750</v>
      </c>
      <c r="R30" s="21">
        <f>((('Salon Model'!$R$32-'Salon Model'!$J$32)*'Salon Schedule'!Q$44)+'Salon Model'!$J$32)*'Salon Schedule'!Q$43</f>
        <v>825</v>
      </c>
      <c r="S30" s="21">
        <f>((('Salon Model'!$R$32-'Salon Model'!$J$32)*'Salon Schedule'!R$44)+'Salon Model'!$J$32)*'Salon Schedule'!R$43</f>
        <v>825</v>
      </c>
      <c r="T30" s="21">
        <f>((('Salon Model'!$R$32-'Salon Model'!$J$32)*'Salon Schedule'!S$44)+'Salon Model'!$J$32)*'Salon Schedule'!S$43</f>
        <v>825</v>
      </c>
      <c r="U30" s="132">
        <f>((('Salon Model'!$R$32-'Salon Model'!$J$32)*'Salon Schedule'!T$44)+'Salon Model'!$J$32)*'Salon Schedule'!T$43</f>
        <v>975</v>
      </c>
      <c r="V30" s="21">
        <f>((('Salon Model'!$R$32-'Salon Model'!$J$32)*'Salon Schedule'!U$44)+'Salon Model'!$J$32)*'Salon Schedule'!U$43</f>
        <v>975</v>
      </c>
      <c r="W30" s="21">
        <f>((('Salon Model'!$R$32-'Salon Model'!$J$32)*'Salon Schedule'!V$44)+'Salon Model'!$J$32)*'Salon Schedule'!V$43</f>
        <v>975</v>
      </c>
      <c r="X30" s="21">
        <f>((('Salon Model'!$R$32-'Salon Model'!$J$32)*'Salon Schedule'!W$44)+'Salon Model'!$J$32)*'Salon Schedule'!W$43</f>
        <v>1050</v>
      </c>
      <c r="Y30" s="21">
        <f>((('Salon Model'!$R$32-'Salon Model'!$J$32)*'Salon Schedule'!X$44)+'Salon Model'!$J$32)*'Salon Schedule'!X$43</f>
        <v>1050</v>
      </c>
      <c r="Z30" s="21">
        <f>((('Salon Model'!$R$32-'Salon Model'!$J$32)*'Salon Schedule'!Y$44)+'Salon Model'!$J$32)*'Salon Schedule'!Y$43</f>
        <v>1050</v>
      </c>
      <c r="AA30" s="21">
        <f>((('Salon Model'!$R$32-'Salon Model'!$J$32)*'Salon Schedule'!Z$44)+'Salon Model'!$J$32)*'Salon Schedule'!Z$43</f>
        <v>1125</v>
      </c>
      <c r="AB30" s="21">
        <f>((('Salon Model'!$R$32-'Salon Model'!$J$32)*'Salon Schedule'!AA$44)+'Salon Model'!$J$32)*'Salon Schedule'!AA$43</f>
        <v>1125</v>
      </c>
      <c r="AC30" s="21">
        <f>((('Salon Model'!$R$32-'Salon Model'!$J$32)*'Salon Schedule'!AB$44)+'Salon Model'!$J$32)*'Salon Schedule'!AB$43</f>
        <v>1125</v>
      </c>
      <c r="AD30" s="21">
        <f>((('Salon Model'!$R$32-'Salon Model'!$J$32)*'Salon Schedule'!AC$44)+'Salon Model'!$J$32)*'Salon Schedule'!AC$43</f>
        <v>1200</v>
      </c>
      <c r="AE30" s="21">
        <f>((('Salon Model'!$R$32-'Salon Model'!$J$32)*'Salon Schedule'!AD$44)+'Salon Model'!$J$32)*'Salon Schedule'!AD$43</f>
        <v>1200</v>
      </c>
      <c r="AF30" s="21">
        <f>((('Salon Model'!$R$32-'Salon Model'!$J$32)*'Salon Schedule'!AE$44)+'Salon Model'!$J$32)*'Salon Schedule'!AE$43</f>
        <v>1200</v>
      </c>
      <c r="AG30" s="21"/>
      <c r="AH30" s="162"/>
      <c r="AI30" s="21">
        <f>SUM(I30:T30)</f>
        <v>8250</v>
      </c>
      <c r="AJ30" s="21">
        <f>SUM(U30:AF30)</f>
        <v>13050</v>
      </c>
      <c r="AK30" s="24">
        <f>(1+((AJ30-AI30)/AI30))*AJ30</f>
        <v>20642.727272727272</v>
      </c>
    </row>
    <row r="31" spans="2:37">
      <c r="B31" s="15"/>
      <c r="C31" s="15" t="s">
        <v>92</v>
      </c>
      <c r="D31" s="15"/>
      <c r="E31" s="158"/>
      <c r="F31" s="22">
        <v>191.52500000000001</v>
      </c>
      <c r="G31" s="22">
        <f>(F31/8)*12</f>
        <v>287.28750000000002</v>
      </c>
      <c r="H31" s="163">
        <f>G31/12</f>
        <v>23.940625000000001</v>
      </c>
      <c r="I31" s="22">
        <f>((('Salon Model'!$R$31-'Salon Model'!$J$31)*'Salon Schedule'!H$44)+'Salon Model'!$J$31)*'Salon Schedule'!H$43</f>
        <v>42.360073749319696</v>
      </c>
      <c r="J31" s="22">
        <f>((('Salon Model'!$R$31-'Salon Model'!$J$31)*'Salon Schedule'!I$44)+'Salon Model'!$J$31)*'Salon Schedule'!I$43</f>
        <v>45.190892473386754</v>
      </c>
      <c r="K31" s="22">
        <f>((('Salon Model'!$R$31-'Salon Model'!$J$31)*'Salon Schedule'!J$44)+'Salon Model'!$J$31)*'Salon Schedule'!J$43</f>
        <v>53.030933775496827</v>
      </c>
      <c r="L31" s="22">
        <f>((('Salon Model'!$R$31-'Salon Model'!$J$31)*'Salon Schedule'!K$44)+'Salon Model'!$J$31)*'Salon Schedule'!K$43</f>
        <v>56.276449167550211</v>
      </c>
      <c r="M31" s="22">
        <f>((('Salon Model'!$R$31-'Salon Model'!$J$31)*'Salon Schedule'!L$44)+'Salon Model'!$J$31)*'Salon Schedule'!L$43</f>
        <v>64.723989239191766</v>
      </c>
      <c r="N31" s="22">
        <f>((('Salon Model'!$R$31-'Salon Model'!$J$31)*'Salon Schedule'!M$44)+'Salon Model'!$J$31)*'Salon Schedule'!M$43</f>
        <v>68.391061228074278</v>
      </c>
      <c r="O31" s="22">
        <f>((('Salon Model'!$R$31-'Salon Model'!$J$31)*'Salon Schedule'!N$44)+'Salon Model'!$J$31)*'Salon Schedule'!N$43</f>
        <v>71.958904109589042</v>
      </c>
      <c r="P31" s="22">
        <f>((('Salon Model'!$R$31-'Salon Model'!$J$31)*'Salon Schedule'!O$44)+'Salon Model'!$J$31)*'Salon Schedule'!O$43</f>
        <v>78.445205479452056</v>
      </c>
      <c r="Q31" s="22">
        <f>((('Salon Model'!$R$31-'Salon Model'!$J$31)*'Salon Schedule'!P$44)+'Salon Model'!$J$31)*'Salon Schedule'!P$43</f>
        <v>79.93150684931507</v>
      </c>
      <c r="R31" s="22">
        <f>((('Salon Model'!$R$31-'Salon Model'!$J$31)*'Salon Schedule'!Q$44)+'Salon Model'!$J$31)*'Salon Schedule'!Q$43</f>
        <v>86.575342465753423</v>
      </c>
      <c r="S31" s="22">
        <f>((('Salon Model'!$R$31-'Salon Model'!$J$31)*'Salon Schedule'!R$44)+'Salon Model'!$J$31)*'Salon Schedule'!R$43</f>
        <v>88.273972602739732</v>
      </c>
      <c r="T31" s="22">
        <f>((('Salon Model'!$R$31-'Salon Model'!$J$31)*'Salon Schedule'!S$44)+'Salon Model'!$J$31)*'Salon Schedule'!S$43</f>
        <v>89.91780821917807</v>
      </c>
      <c r="U31" s="136">
        <f>((('Salon Model'!$R$31-'Salon Model'!$J$31)*'Salon Schedule'!T$44)+'Salon Model'!$J$31)*'Salon Schedule'!T$43</f>
        <v>101.91780821917808</v>
      </c>
      <c r="V31" s="22">
        <f>((('Salon Model'!$R$31-'Salon Model'!$J$31)*'Salon Schedule'!U$44)+'Salon Model'!$J$31)*'Salon Schedule'!U$43</f>
        <v>103.82876712328766</v>
      </c>
      <c r="W31" s="22">
        <f>((('Salon Model'!$R$31-'Salon Model'!$J$31)*'Salon Schedule'!V$44)+'Salon Model'!$J$31)*'Salon Schedule'!V$43</f>
        <v>105.55479452054793</v>
      </c>
      <c r="X31" s="22">
        <f>((('Salon Model'!$R$31-'Salon Model'!$J$31)*'Salon Schedule'!W$44)+'Salon Model'!$J$31)*'Salon Schedule'!W$43</f>
        <v>112.67808219178083</v>
      </c>
      <c r="Y31" s="22">
        <f>((('Salon Model'!$R$31-'Salon Model'!$J$31)*'Salon Schedule'!X$44)+'Salon Model'!$J$31)*'Salon Schedule'!X$43</f>
        <v>114.52739726027397</v>
      </c>
      <c r="Z31" s="22">
        <f>((('Salon Model'!$R$31-'Salon Model'!$J$31)*'Salon Schedule'!Y$44)+'Salon Model'!$J$31)*'Salon Schedule'!Y$43</f>
        <v>116.43835616438356</v>
      </c>
      <c r="AA31" s="22">
        <f>((('Salon Model'!$R$31-'Salon Model'!$J$31)*'Salon Schedule'!Z$44)+'Salon Model'!$J$31)*'Salon Schedule'!Z$43</f>
        <v>123.49315068493152</v>
      </c>
      <c r="AB31" s="22">
        <f>((('Salon Model'!$R$31-'Salon Model'!$J$31)*'Salon Schedule'!AA$44)+'Salon Model'!$J$31)*'Salon Schedule'!AA$43</f>
        <v>125.61643835616439</v>
      </c>
      <c r="AC31" s="22">
        <f>((('Salon Model'!$R$31-'Salon Model'!$J$31)*'Salon Schedule'!AB$44)+'Salon Model'!$J$31)*'Salon Schedule'!AB$43</f>
        <v>127.73972602739727</v>
      </c>
      <c r="AD31" s="22">
        <f>((('Salon Model'!$R$31-'Salon Model'!$J$31)*'Salon Schedule'!AC$44)+'Salon Model'!$J$31)*'Salon Schedule'!AC$43</f>
        <v>135</v>
      </c>
      <c r="AE31" s="22">
        <f>((('Salon Model'!$R$31-'Salon Model'!$J$31)*'Salon Schedule'!AD$44)+'Salon Model'!$J$31)*'Salon Schedule'!AD$43</f>
        <v>137.12328767123287</v>
      </c>
      <c r="AF31" s="22">
        <f>((('Salon Model'!$R$31-'Salon Model'!$J$31)*'Salon Schedule'!AE$44)+'Salon Model'!$J$31)*'Salon Schedule'!AE$43</f>
        <v>139.17808219178082</v>
      </c>
      <c r="AG31" s="22"/>
      <c r="AH31" s="162"/>
      <c r="AI31" s="22">
        <f>SUM(I31:T31)</f>
        <v>825.07613935904692</v>
      </c>
      <c r="AJ31" s="22">
        <f>SUM(U31:AF31)</f>
        <v>1443.0958904109589</v>
      </c>
      <c r="AK31" s="160">
        <f>(1+((AJ31-AI31)/AI31))*AJ31</f>
        <v>2524.04069100676</v>
      </c>
    </row>
    <row r="32" spans="2:37" s="1" customFormat="1">
      <c r="B32" s="1" t="s">
        <v>88</v>
      </c>
      <c r="E32" s="2"/>
      <c r="F32" s="34">
        <f t="shared" ref="F32:AF32" si="8">SUM(F28:F31)+F25</f>
        <v>413281.57500000007</v>
      </c>
      <c r="G32" s="34">
        <f t="shared" si="8"/>
        <v>619922.36250000005</v>
      </c>
      <c r="H32" s="413">
        <f t="shared" si="8"/>
        <v>51660.196875000009</v>
      </c>
      <c r="I32" s="34">
        <f t="shared" si="8"/>
        <v>53324.766342199837</v>
      </c>
      <c r="J32" s="34">
        <f t="shared" si="8"/>
        <v>58314.995698161147</v>
      </c>
      <c r="K32" s="34">
        <f t="shared" si="8"/>
        <v>68529.902519212919</v>
      </c>
      <c r="L32" s="34">
        <f t="shared" si="8"/>
        <v>72947.746753606843</v>
      </c>
      <c r="M32" s="34">
        <f t="shared" si="8"/>
        <v>83989.590012226428</v>
      </c>
      <c r="N32" s="34">
        <f t="shared" si="8"/>
        <v>88981.263409573119</v>
      </c>
      <c r="O32" s="34">
        <f t="shared" si="8"/>
        <v>93837.864657534257</v>
      </c>
      <c r="P32" s="34">
        <f t="shared" si="8"/>
        <v>102210.04037671234</v>
      </c>
      <c r="Q32" s="34">
        <f t="shared" si="8"/>
        <v>104233.21609589041</v>
      </c>
      <c r="R32" s="34">
        <f t="shared" si="8"/>
        <v>112819.82979452056</v>
      </c>
      <c r="S32" s="34">
        <f t="shared" si="8"/>
        <v>115132.03061643838</v>
      </c>
      <c r="T32" s="34">
        <f t="shared" si="8"/>
        <v>117369.64431506848</v>
      </c>
      <c r="U32" s="135">
        <f t="shared" si="8"/>
        <v>132790.07431506849</v>
      </c>
      <c r="V32" s="34">
        <f t="shared" si="8"/>
        <v>135391.30023972603</v>
      </c>
      <c r="W32" s="34">
        <f t="shared" si="8"/>
        <v>137740.79462328766</v>
      </c>
      <c r="X32" s="34">
        <f t="shared" si="8"/>
        <v>146980.04565068497</v>
      </c>
      <c r="Y32" s="34">
        <f t="shared" si="8"/>
        <v>149497.36106164384</v>
      </c>
      <c r="Z32" s="34">
        <f t="shared" si="8"/>
        <v>152098.58698630135</v>
      </c>
      <c r="AA32" s="34">
        <f t="shared" si="8"/>
        <v>161244.60410958901</v>
      </c>
      <c r="AB32" s="34">
        <f t="shared" si="8"/>
        <v>164134.85513698633</v>
      </c>
      <c r="AC32" s="34">
        <f t="shared" si="8"/>
        <v>167025.10616438356</v>
      </c>
      <c r="AD32" s="34">
        <f t="shared" si="8"/>
        <v>176450.82500000001</v>
      </c>
      <c r="AE32" s="34">
        <f t="shared" si="8"/>
        <v>179341.07602739727</v>
      </c>
      <c r="AF32" s="34">
        <f t="shared" si="8"/>
        <v>182138.09315068496</v>
      </c>
      <c r="AG32" s="34"/>
      <c r="AH32" s="125"/>
      <c r="AI32" s="34">
        <f>SUM(I32:T32)</f>
        <v>1071690.8905911446</v>
      </c>
      <c r="AJ32" s="34">
        <f>SUM(U32:AF32)</f>
        <v>1884832.7224657531</v>
      </c>
      <c r="AK32" s="35">
        <f>SUM(AK28:AK31)+AK25</f>
        <v>2697026.4567875979</v>
      </c>
    </row>
    <row r="33" spans="2:37">
      <c r="F33" s="21"/>
      <c r="G33" s="21"/>
      <c r="H33" s="151"/>
      <c r="I33" s="23"/>
      <c r="J33" s="21"/>
      <c r="K33" s="21"/>
      <c r="L33" s="21"/>
      <c r="M33" s="21"/>
      <c r="N33" s="21"/>
      <c r="O33" s="21"/>
      <c r="P33" s="21"/>
      <c r="Q33" s="21"/>
      <c r="R33" s="21"/>
      <c r="S33" s="21"/>
      <c r="T33" s="21"/>
      <c r="U33" s="132"/>
      <c r="V33" s="21"/>
      <c r="W33" s="21"/>
      <c r="X33" s="21"/>
      <c r="Y33" s="21"/>
      <c r="Z33" s="21"/>
      <c r="AA33" s="21"/>
      <c r="AB33" s="21"/>
      <c r="AC33" s="21"/>
      <c r="AD33" s="21"/>
      <c r="AE33" s="21"/>
      <c r="AF33" s="21"/>
      <c r="AG33" s="21"/>
      <c r="AH33" s="123"/>
      <c r="AI33" s="21"/>
      <c r="AJ33" s="21"/>
    </row>
    <row r="34" spans="2:37" s="1" customFormat="1">
      <c r="B34" s="1" t="s">
        <v>93</v>
      </c>
      <c r="E34" s="2"/>
      <c r="F34" s="34">
        <f t="shared" ref="F34:AF34" si="9">F19-F32</f>
        <v>-181151.86500000005</v>
      </c>
      <c r="G34" s="34">
        <f t="shared" si="9"/>
        <v>-235284.27010638313</v>
      </c>
      <c r="H34" s="153">
        <f t="shared" si="9"/>
        <v>-18223.689175531923</v>
      </c>
      <c r="I34" s="34">
        <f t="shared" si="9"/>
        <v>2807.5476755886993</v>
      </c>
      <c r="J34" s="34">
        <f t="shared" si="9"/>
        <v>12648.81776935856</v>
      </c>
      <c r="K34" s="34">
        <f t="shared" si="9"/>
        <v>18929.882891171845</v>
      </c>
      <c r="L34" s="34">
        <f t="shared" si="9"/>
        <v>31500.15111184484</v>
      </c>
      <c r="M34" s="34">
        <f t="shared" si="9"/>
        <v>40109.810672324922</v>
      </c>
      <c r="N34" s="34">
        <f t="shared" si="9"/>
        <v>54298.827389415237</v>
      </c>
      <c r="O34" s="34">
        <f t="shared" si="9"/>
        <v>68113.550455322111</v>
      </c>
      <c r="P34" s="34">
        <f t="shared" si="9"/>
        <v>69247.670011225709</v>
      </c>
      <c r="Q34" s="34">
        <f t="shared" si="9"/>
        <v>75123.160279485892</v>
      </c>
      <c r="R34" s="34">
        <f t="shared" si="9"/>
        <v>76868.724569007216</v>
      </c>
      <c r="S34" s="34">
        <f t="shared" si="9"/>
        <v>83565.151904122802</v>
      </c>
      <c r="T34" s="34">
        <f t="shared" si="9"/>
        <v>90057.578710287475</v>
      </c>
      <c r="U34" s="135">
        <f t="shared" si="9"/>
        <v>88442.479268798168</v>
      </c>
      <c r="V34" s="34">
        <f t="shared" si="9"/>
        <v>95965.866241956421</v>
      </c>
      <c r="W34" s="34">
        <f t="shared" si="9"/>
        <v>102788.69733036833</v>
      </c>
      <c r="X34" s="34">
        <f t="shared" si="9"/>
        <v>106397.84987749741</v>
      </c>
      <c r="Y34" s="34">
        <f t="shared" si="9"/>
        <v>113703.20814755137</v>
      </c>
      <c r="Z34" s="34">
        <f t="shared" si="9"/>
        <v>121250.05074250721</v>
      </c>
      <c r="AA34" s="34">
        <f t="shared" si="9"/>
        <v>124615.89836380963</v>
      </c>
      <c r="AB34" s="34">
        <f t="shared" si="9"/>
        <v>132986.19397358983</v>
      </c>
      <c r="AC34" s="34">
        <f t="shared" si="9"/>
        <v>141363.04014998433</v>
      </c>
      <c r="AD34" s="34">
        <f t="shared" si="9"/>
        <v>145533.21504072024</v>
      </c>
      <c r="AE34" s="34">
        <f t="shared" si="9"/>
        <v>153923.65773694371</v>
      </c>
      <c r="AF34" s="34">
        <f t="shared" si="9"/>
        <v>162059.59748516179</v>
      </c>
      <c r="AG34" s="34"/>
      <c r="AH34" s="125"/>
      <c r="AI34" s="34">
        <f>SUM(I34:T34)</f>
        <v>623270.8734391554</v>
      </c>
      <c r="AJ34" s="34">
        <f>SUM(U34:AF34)</f>
        <v>1489029.7543588886</v>
      </c>
      <c r="AK34" s="35">
        <f>AK19-AK32</f>
        <v>2218034.3611502689</v>
      </c>
    </row>
    <row r="35" spans="2:37">
      <c r="F35" s="21"/>
      <c r="G35" s="21"/>
      <c r="H35" s="151"/>
      <c r="I35" s="23"/>
      <c r="J35" s="21"/>
      <c r="K35" s="21"/>
      <c r="L35" s="21"/>
      <c r="M35" s="21"/>
      <c r="N35" s="21"/>
      <c r="O35" s="21"/>
      <c r="P35" s="21"/>
      <c r="Q35" s="21"/>
      <c r="R35" s="21"/>
      <c r="S35" s="21"/>
      <c r="T35" s="21"/>
      <c r="U35" s="132"/>
      <c r="V35" s="21"/>
      <c r="W35" s="21"/>
      <c r="X35" s="21"/>
      <c r="Y35" s="21"/>
      <c r="Z35" s="21"/>
      <c r="AA35" s="21"/>
      <c r="AB35" s="21"/>
      <c r="AC35" s="21"/>
      <c r="AD35" s="21"/>
      <c r="AE35" s="21"/>
      <c r="AF35" s="21"/>
      <c r="AG35" s="21"/>
      <c r="AH35" s="123"/>
      <c r="AI35" s="21"/>
      <c r="AJ35" s="21"/>
      <c r="AK35" s="24"/>
    </row>
    <row r="36" spans="2:37">
      <c r="B36" s="1" t="s">
        <v>94</v>
      </c>
      <c r="F36" s="21"/>
      <c r="G36" s="21"/>
      <c r="H36" s="151"/>
      <c r="I36" s="23"/>
      <c r="J36" s="21"/>
      <c r="K36" s="21"/>
      <c r="L36" s="21"/>
      <c r="M36" s="21"/>
      <c r="N36" s="21"/>
      <c r="O36" s="21"/>
      <c r="P36" s="21"/>
      <c r="Q36" s="21"/>
      <c r="R36" s="21"/>
      <c r="S36" s="21"/>
      <c r="T36" s="21"/>
      <c r="U36" s="132"/>
      <c r="V36" s="21"/>
      <c r="W36" s="21"/>
      <c r="X36" s="21"/>
      <c r="Y36" s="21"/>
      <c r="Z36" s="21"/>
      <c r="AA36" s="21"/>
      <c r="AB36" s="21"/>
      <c r="AC36" s="21"/>
      <c r="AD36" s="21"/>
      <c r="AE36" s="21"/>
      <c r="AF36" s="21"/>
      <c r="AG36" s="21"/>
      <c r="AH36" s="123"/>
      <c r="AI36" s="21"/>
      <c r="AJ36" s="21"/>
      <c r="AK36" s="24"/>
    </row>
    <row r="37" spans="2:37">
      <c r="C37" t="s">
        <v>269</v>
      </c>
      <c r="F37" s="21">
        <v>154157.65</v>
      </c>
      <c r="G37" s="21">
        <f>(F37/8)*12</f>
        <v>231236.47499999998</v>
      </c>
      <c r="H37" s="151">
        <f>G37/12</f>
        <v>19269.706249999999</v>
      </c>
      <c r="I37" s="23">
        <f>Salaries!I24</f>
        <v>32083.333333333336</v>
      </c>
      <c r="J37" s="21">
        <f>Salaries!J24</f>
        <v>41250</v>
      </c>
      <c r="K37" s="21">
        <f>Salaries!K24</f>
        <v>49583.333333333336</v>
      </c>
      <c r="L37" s="21">
        <f>Salaries!L24</f>
        <v>49583.333333333336</v>
      </c>
      <c r="M37" s="21">
        <f>Salaries!M24</f>
        <v>49583.333333333336</v>
      </c>
      <c r="N37" s="21">
        <f>Salaries!N24</f>
        <v>55833.333333333336</v>
      </c>
      <c r="O37" s="21">
        <f>Salaries!O24</f>
        <v>60416.666666666672</v>
      </c>
      <c r="P37" s="21">
        <f>Salaries!P24</f>
        <v>60416.666666666672</v>
      </c>
      <c r="Q37" s="21">
        <f>Salaries!Q24</f>
        <v>60416.666666666672</v>
      </c>
      <c r="R37" s="21">
        <f>Salaries!R24</f>
        <v>60416.666666666672</v>
      </c>
      <c r="S37" s="21">
        <f>Salaries!S24</f>
        <v>60416.666666666672</v>
      </c>
      <c r="T37" s="21">
        <f>Salaries!T24</f>
        <v>60416.666666666672</v>
      </c>
      <c r="U37" s="132">
        <f>Salaries!U24</f>
        <v>71043.75</v>
      </c>
      <c r="V37" s="21">
        <f>Salaries!V24</f>
        <v>71043.75</v>
      </c>
      <c r="W37" s="21">
        <f>Salaries!W24</f>
        <v>71043.75</v>
      </c>
      <c r="X37" s="21">
        <f>Salaries!X24</f>
        <v>71043.75</v>
      </c>
      <c r="Y37" s="21">
        <f>Salaries!Y24</f>
        <v>71043.75</v>
      </c>
      <c r="Z37" s="21">
        <f>Salaries!Z24</f>
        <v>71043.75</v>
      </c>
      <c r="AA37" s="21">
        <f>Salaries!AA24</f>
        <v>71043.75</v>
      </c>
      <c r="AB37" s="21">
        <f>Salaries!AB24</f>
        <v>71043.75</v>
      </c>
      <c r="AC37" s="21">
        <f>Salaries!AC24</f>
        <v>71043.75</v>
      </c>
      <c r="AD37" s="21">
        <f>Salaries!AD24</f>
        <v>71043.75</v>
      </c>
      <c r="AE37" s="21">
        <f>Salaries!AE24</f>
        <v>71043.75</v>
      </c>
      <c r="AF37" s="21">
        <f>Salaries!AF24</f>
        <v>71043.75</v>
      </c>
      <c r="AG37" s="21"/>
      <c r="AH37" s="123"/>
      <c r="AI37" s="21">
        <f>SUM(I37:T37)</f>
        <v>640416.66666666674</v>
      </c>
      <c r="AJ37" s="21">
        <f>SUM(U37:AF37)</f>
        <v>852525</v>
      </c>
      <c r="AK37" s="24">
        <f>(1+((AJ37-AI37)/AI37))*AJ37</f>
        <v>1134884.3861418348</v>
      </c>
    </row>
    <row r="38" spans="2:37">
      <c r="C38" t="s">
        <v>87</v>
      </c>
      <c r="F38" s="21">
        <v>0</v>
      </c>
      <c r="G38" s="21">
        <v>0</v>
      </c>
      <c r="H38" s="151">
        <v>0</v>
      </c>
      <c r="I38" s="23">
        <f>Salaries!I33</f>
        <v>3750</v>
      </c>
      <c r="J38" s="21">
        <f>Salaries!J33</f>
        <v>3750</v>
      </c>
      <c r="K38" s="21">
        <f>Salaries!K33</f>
        <v>6250</v>
      </c>
      <c r="L38" s="21">
        <f>Salaries!L33</f>
        <v>6250</v>
      </c>
      <c r="M38" s="21">
        <f>Salaries!M33</f>
        <v>6250</v>
      </c>
      <c r="N38" s="21">
        <f>Salaries!N33</f>
        <v>6250</v>
      </c>
      <c r="O38" s="21">
        <f>Salaries!O33</f>
        <v>6250</v>
      </c>
      <c r="P38" s="21">
        <f>Salaries!P33</f>
        <v>6250</v>
      </c>
      <c r="Q38" s="21">
        <f>Salaries!Q33</f>
        <v>6250</v>
      </c>
      <c r="R38" s="21">
        <f>Salaries!R33</f>
        <v>6250</v>
      </c>
      <c r="S38" s="21">
        <f>Salaries!S33</f>
        <v>6250</v>
      </c>
      <c r="T38" s="21">
        <f>Salaries!T33</f>
        <v>6250</v>
      </c>
      <c r="U38" s="132">
        <f>Salaries!U33</f>
        <v>14068.75</v>
      </c>
      <c r="V38" s="21">
        <f>Salaries!V33</f>
        <v>14068.75</v>
      </c>
      <c r="W38" s="21">
        <f>Salaries!W33</f>
        <v>14068.75</v>
      </c>
      <c r="X38" s="21">
        <f>Salaries!X33</f>
        <v>14068.75</v>
      </c>
      <c r="Y38" s="21">
        <f>Salaries!Y33</f>
        <v>14068.75</v>
      </c>
      <c r="Z38" s="21">
        <f>Salaries!Z33</f>
        <v>14068.75</v>
      </c>
      <c r="AA38" s="21">
        <f>Salaries!AA33</f>
        <v>14068.75</v>
      </c>
      <c r="AB38" s="21">
        <f>Salaries!AB33</f>
        <v>14068.75</v>
      </c>
      <c r="AC38" s="21">
        <f>Salaries!AC33</f>
        <v>14068.75</v>
      </c>
      <c r="AD38" s="21">
        <f>Salaries!AD33</f>
        <v>14068.75</v>
      </c>
      <c r="AE38" s="21">
        <f>Salaries!AE33</f>
        <v>14068.75</v>
      </c>
      <c r="AF38" s="21">
        <f>Salaries!AF33</f>
        <v>14068.75</v>
      </c>
      <c r="AG38" s="21"/>
      <c r="AH38" s="123"/>
      <c r="AI38" s="21">
        <f>SUM(I38:T38)</f>
        <v>70000</v>
      </c>
      <c r="AJ38" s="21">
        <f>SUM(U38:AF38)</f>
        <v>168825</v>
      </c>
      <c r="AK38" s="24">
        <f>AJ38*1.15</f>
        <v>194148.74999999997</v>
      </c>
    </row>
    <row r="39" spans="2:37">
      <c r="C39" t="s">
        <v>137</v>
      </c>
      <c r="E39" s="52">
        <v>0.05</v>
      </c>
      <c r="F39" s="21">
        <v>26085</v>
      </c>
      <c r="G39" s="21">
        <f>(F39/8)*12</f>
        <v>39127.5</v>
      </c>
      <c r="H39" s="151">
        <f>G39/12</f>
        <v>3260.625</v>
      </c>
      <c r="I39" s="23">
        <f>G39/12</f>
        <v>3260.625</v>
      </c>
      <c r="J39" s="23">
        <f t="shared" ref="J39:AF39" si="10">I39*(1+$E$39)</f>
        <v>3423.65625</v>
      </c>
      <c r="K39" s="23">
        <f t="shared" si="10"/>
        <v>3594.8390625000002</v>
      </c>
      <c r="L39" s="23">
        <f t="shared" si="10"/>
        <v>3774.5810156250004</v>
      </c>
      <c r="M39" s="23">
        <f t="shared" si="10"/>
        <v>3963.3100664062508</v>
      </c>
      <c r="N39" s="23">
        <f t="shared" si="10"/>
        <v>4161.4755697265637</v>
      </c>
      <c r="O39" s="23">
        <f t="shared" si="10"/>
        <v>4369.5493482128923</v>
      </c>
      <c r="P39" s="23">
        <f t="shared" si="10"/>
        <v>4588.026815623537</v>
      </c>
      <c r="Q39" s="23">
        <f t="shared" si="10"/>
        <v>4817.4281564047142</v>
      </c>
      <c r="R39" s="23">
        <f t="shared" si="10"/>
        <v>5058.2995642249498</v>
      </c>
      <c r="S39" s="23">
        <f t="shared" si="10"/>
        <v>5311.2145424361979</v>
      </c>
      <c r="T39" s="23">
        <f t="shared" si="10"/>
        <v>5576.7752695580084</v>
      </c>
      <c r="U39" s="132">
        <f t="shared" si="10"/>
        <v>5855.6140330359094</v>
      </c>
      <c r="V39" s="23">
        <f t="shared" si="10"/>
        <v>6148.3947346877048</v>
      </c>
      <c r="W39" s="23">
        <f t="shared" si="10"/>
        <v>6455.8144714220907</v>
      </c>
      <c r="X39" s="23">
        <f t="shared" si="10"/>
        <v>6778.6051949931953</v>
      </c>
      <c r="Y39" s="23">
        <f t="shared" si="10"/>
        <v>7117.5354547428551</v>
      </c>
      <c r="Z39" s="23">
        <f t="shared" si="10"/>
        <v>7473.4122274799984</v>
      </c>
      <c r="AA39" s="23">
        <f t="shared" si="10"/>
        <v>7847.0828388539985</v>
      </c>
      <c r="AB39" s="23">
        <f t="shared" si="10"/>
        <v>8239.4369807966996</v>
      </c>
      <c r="AC39" s="23">
        <f t="shared" si="10"/>
        <v>8651.408829836535</v>
      </c>
      <c r="AD39" s="23">
        <f t="shared" si="10"/>
        <v>9083.9792713283623</v>
      </c>
      <c r="AE39" s="23">
        <f t="shared" si="10"/>
        <v>9538.17823489478</v>
      </c>
      <c r="AF39" s="23">
        <f t="shared" si="10"/>
        <v>10015.08714663952</v>
      </c>
      <c r="AG39" s="23"/>
      <c r="AH39" s="123"/>
      <c r="AI39" s="23">
        <f>SUM(I39:T39)</f>
        <v>51899.780660718112</v>
      </c>
      <c r="AJ39" s="23">
        <f>SUM(U39:AF39)</f>
        <v>93204.549418711642</v>
      </c>
      <c r="AK39" s="24">
        <f>AJ39*1.15</f>
        <v>107185.23183151838</v>
      </c>
    </row>
    <row r="40" spans="2:37" ht="7" customHeight="1">
      <c r="E40" s="52"/>
      <c r="F40" s="21">
        <v>0</v>
      </c>
      <c r="G40" s="21"/>
      <c r="H40" s="151"/>
      <c r="I40" s="23"/>
      <c r="J40" s="23"/>
      <c r="K40" s="23"/>
      <c r="L40" s="23"/>
      <c r="M40" s="23"/>
      <c r="N40" s="23"/>
      <c r="O40" s="23"/>
      <c r="P40" s="23"/>
      <c r="Q40" s="23"/>
      <c r="R40" s="23"/>
      <c r="S40" s="23"/>
      <c r="T40" s="23"/>
      <c r="U40" s="132"/>
      <c r="V40" s="23"/>
      <c r="W40" s="23"/>
      <c r="X40" s="23"/>
      <c r="Y40" s="23"/>
      <c r="Z40" s="23"/>
      <c r="AA40" s="23"/>
      <c r="AB40" s="23"/>
      <c r="AC40" s="23"/>
      <c r="AD40" s="23"/>
      <c r="AE40" s="23"/>
      <c r="AF40" s="23"/>
      <c r="AG40" s="23"/>
      <c r="AH40" s="123"/>
      <c r="AI40" s="23"/>
      <c r="AJ40" s="23"/>
      <c r="AK40" s="24"/>
    </row>
    <row r="41" spans="2:37">
      <c r="C41" t="s">
        <v>96</v>
      </c>
      <c r="E41" s="52">
        <v>0.1</v>
      </c>
      <c r="F41" s="21">
        <v>18957.45</v>
      </c>
      <c r="G41" s="21">
        <f>(F41/8)*12</f>
        <v>28436.175000000003</v>
      </c>
      <c r="H41" s="151">
        <f>G41/12</f>
        <v>2369.6812500000001</v>
      </c>
      <c r="I41" s="459">
        <f>(I8-H8)*('CAC Estimate'!$D$9/'CAC Estimate'!$D$6)</f>
        <v>1532.7271041907702</v>
      </c>
      <c r="J41" s="459">
        <f>(J8-I8)*('CAC Estimate'!$D$9/'CAC Estimate'!$D$6)</f>
        <v>5028.253081899009</v>
      </c>
      <c r="K41" s="459">
        <f>(K8-J8)*('CAC Estimate'!$D$9/'CAC Estimate'!$D$6)</f>
        <v>5546.4013897048872</v>
      </c>
      <c r="L41" s="459">
        <f>(L8-K8)*('CAC Estimate'!$D$9/'CAC Estimate'!$D$6)</f>
        <v>5764.8596971963925</v>
      </c>
      <c r="M41" s="459">
        <f>(M8-L8)*('CAC Estimate'!$D$9/'CAC Estimate'!$D$6)</f>
        <v>6625.4735090802615</v>
      </c>
      <c r="N41" s="459">
        <f>(N8-M8)*('CAC Estimate'!$D$9/'CAC Estimate'!$D$6)</f>
        <v>6513.6512885405391</v>
      </c>
      <c r="O41" s="459">
        <f>(O8-N8)*('CAC Estimate'!$D$9/'CAC Estimate'!$D$6)</f>
        <v>6337.3951896621138</v>
      </c>
      <c r="P41" s="459">
        <f>(P8-O8)*('CAC Estimate'!$D$9/'CAC Estimate'!$D$6)</f>
        <v>3141.81542009132</v>
      </c>
      <c r="Q41" s="459">
        <f>(Q8-P8)*('CAC Estimate'!$D$9/'CAC Estimate'!$D$6)</f>
        <v>2640.0487534246763</v>
      </c>
      <c r="R41" s="459">
        <f>(R8-Q8)*('CAC Estimate'!$D$9/'CAC Estimate'!$D$6)</f>
        <v>3421.6362557077482</v>
      </c>
      <c r="S41" s="459">
        <f>(S8-R8)*('CAC Estimate'!$D$9/'CAC Estimate'!$D$6)</f>
        <v>3017.1985753424724</v>
      </c>
      <c r="T41" s="460">
        <f>(T8-S8)*('CAC Estimate'!$D$9/'CAC Estimate'!$D$6)</f>
        <v>2919.8695890410813</v>
      </c>
      <c r="U41" s="459">
        <f>(U8-T8)*('CAC Estimate'!$D$9/'CAC Estimate'!$D$6)</f>
        <v>4556.0413333333427</v>
      </c>
      <c r="V41" s="459">
        <f>(V8-U8)*('CAC Estimate'!$D$9/'CAC Estimate'!$D$6)</f>
        <v>3394.3483972602689</v>
      </c>
      <c r="W41" s="459">
        <f>(W8-V8)*('CAC Estimate'!$D$9/'CAC Estimate'!$D$6)</f>
        <v>3065.8630684931341</v>
      </c>
      <c r="X41" s="459">
        <f>(X8-W8)*('CAC Estimate'!$D$9/'CAC Estimate'!$D$6)</f>
        <v>4273.2648858447892</v>
      </c>
      <c r="Y41" s="459">
        <f>(Y8-X8)*('CAC Estimate'!$D$9/'CAC Estimate'!$D$6)</f>
        <v>3284.8532876712352</v>
      </c>
      <c r="Z41" s="459">
        <f>(Z8-Y8)*('CAC Estimate'!$D$9/'CAC Estimate'!$D$6)</f>
        <v>3394.3483972602462</v>
      </c>
      <c r="AA41" s="459">
        <f>(AA8-Z8)*('CAC Estimate'!$D$9/'CAC Estimate'!$D$6)</f>
        <v>4151.6036529680559</v>
      </c>
      <c r="AB41" s="459">
        <f>(AB8-AA8)*('CAC Estimate'!$D$9/'CAC Estimate'!$D$6)</f>
        <v>3771.4982191780991</v>
      </c>
      <c r="AC41" s="459">
        <f>(AC8-AB8)*('CAC Estimate'!$D$9/'CAC Estimate'!$D$6)</f>
        <v>3771.498219178065</v>
      </c>
      <c r="AD41" s="459">
        <f>(AD8-AC8)*('CAC Estimate'!$D$9/'CAC Estimate'!$D$6)</f>
        <v>4516.5873515981639</v>
      </c>
      <c r="AE41" s="459">
        <f>(AE8-AD8)*('CAC Estimate'!$D$9/'CAC Estimate'!$D$6)</f>
        <v>3771.4982191780537</v>
      </c>
      <c r="AF41" s="459">
        <f>(AF8-AE8)*('CAC Estimate'!$D$9/'CAC Estimate'!$D$6)</f>
        <v>3649.8369863014004</v>
      </c>
      <c r="AG41" s="23"/>
      <c r="AH41" s="123"/>
      <c r="AI41" s="23">
        <f>SUM(I41:T41)</f>
        <v>52489.329853881267</v>
      </c>
      <c r="AJ41" s="23">
        <f>SUM(U41:AF41)</f>
        <v>45601.242018264849</v>
      </c>
      <c r="AK41" s="24">
        <f>(1+((AJ41-AI41)/AI41))*AJ41</f>
        <v>39617.066542803259</v>
      </c>
    </row>
    <row r="42" spans="2:37">
      <c r="C42" t="s">
        <v>97</v>
      </c>
      <c r="F42" s="21">
        <v>46387.825000000004</v>
      </c>
      <c r="G42" s="21">
        <f>(F42/8)*12</f>
        <v>69581.737500000003</v>
      </c>
      <c r="H42" s="151">
        <f>G42/12</f>
        <v>5798.4781250000005</v>
      </c>
      <c r="I42" s="459">
        <f>(I8-H8)*('CAC Estimate'!$D$12/'CAC Estimate'!$D$6)</f>
        <v>2958.2356047335711</v>
      </c>
      <c r="J42" s="459">
        <f>(J8-I8)*('CAC Estimate'!$D$12/'CAC Estimate'!$D$6)</f>
        <v>9704.7656140577892</v>
      </c>
      <c r="K42" s="459">
        <f>(K8-J8)*('CAC Estimate'!$D$12/'CAC Estimate'!$D$6)</f>
        <v>10704.81628745739</v>
      </c>
      <c r="L42" s="459">
        <f>(L8-K8)*('CAC Estimate'!$D$12/'CAC Estimate'!$D$6)</f>
        <v>11126.451124868583</v>
      </c>
      <c r="M42" s="459">
        <f>(M8-L8)*('CAC Estimate'!$D$12/'CAC Estimate'!$D$6)</f>
        <v>12787.476374098773</v>
      </c>
      <c r="N42" s="459">
        <f>(N8-M8)*('CAC Estimate'!$D$12/'CAC Estimate'!$D$6)</f>
        <v>12571.654214174469</v>
      </c>
      <c r="O42" s="459">
        <f>(O8-N8)*('CAC Estimate'!$D$12/'CAC Estimate'!$D$6)</f>
        <v>12231.471629924492</v>
      </c>
      <c r="P42" s="459">
        <f>(P8-O8)*('CAC Estimate'!$D$12/'CAC Estimate'!$D$6)</f>
        <v>6063.8519497716816</v>
      </c>
      <c r="Q42" s="459">
        <f>(Q8-P8)*('CAC Estimate'!$D$12/'CAC Estimate'!$D$6)</f>
        <v>5095.4186164383918</v>
      </c>
      <c r="R42" s="459">
        <f>(R8-Q8)*('CAC Estimate'!$D$12/'CAC Estimate'!$D$6)</f>
        <v>6603.9193607305651</v>
      </c>
      <c r="S42" s="459">
        <f>(S8-R8)*('CAC Estimate'!$D$12/'CAC Estimate'!$D$6)</f>
        <v>5823.3355616438485</v>
      </c>
      <c r="T42" s="460">
        <f>(T8-S8)*('CAC Estimate'!$D$12/'CAC Estimate'!$D$6)</f>
        <v>5635.4860273972326</v>
      </c>
      <c r="U42" s="459">
        <f>(U8-T8)*('CAC Estimate'!$D$12/'CAC Estimate'!$D$6)</f>
        <v>8793.3746666666848</v>
      </c>
      <c r="V42" s="459">
        <f>(V8-U8)*('CAC Estimate'!$D$12/'CAC Estimate'!$D$6)</f>
        <v>6551.2525068493051</v>
      </c>
      <c r="W42" s="459">
        <f>(W8-V8)*('CAC Estimate'!$D$12/'CAC Estimate'!$D$6)</f>
        <v>5917.2603287670909</v>
      </c>
      <c r="X42" s="459">
        <f>(X8-W8)*('CAC Estimate'!$D$12/'CAC Estimate'!$D$6)</f>
        <v>8247.6027853882042</v>
      </c>
      <c r="Y42" s="459">
        <f>(Y8-X8)*('CAC Estimate'!$D$12/'CAC Estimate'!$D$6)</f>
        <v>6339.9217808219219</v>
      </c>
      <c r="Z42" s="459">
        <f>(Z8-Y8)*('CAC Estimate'!$D$12/'CAC Estimate'!$D$6)</f>
        <v>6551.2525068492605</v>
      </c>
      <c r="AA42" s="459">
        <f>(AA8-Z8)*('CAC Estimate'!$D$12/'CAC Estimate'!$D$6)</f>
        <v>8012.7908675799454</v>
      </c>
      <c r="AB42" s="459">
        <f>(AB8-AA8)*('CAC Estimate'!$D$12/'CAC Estimate'!$D$6)</f>
        <v>7279.1694520548272</v>
      </c>
      <c r="AC42" s="459">
        <f>(AC8-AB8)*('CAC Estimate'!$D$12/'CAC Estimate'!$D$6)</f>
        <v>7279.1694520547608</v>
      </c>
      <c r="AD42" s="459">
        <f>(AD8-AC8)*('CAC Estimate'!$D$12/'CAC Estimate'!$D$6)</f>
        <v>8717.2266210045473</v>
      </c>
      <c r="AE42" s="459">
        <f>(AE8-AD8)*('CAC Estimate'!$D$12/'CAC Estimate'!$D$6)</f>
        <v>7279.1694520547389</v>
      </c>
      <c r="AF42" s="459">
        <f>(AF8-AE8)*('CAC Estimate'!$D$12/'CAC Estimate'!$D$6)</f>
        <v>7044.3575342466338</v>
      </c>
      <c r="AG42" s="23"/>
      <c r="AH42" s="123"/>
      <c r="AI42" s="23">
        <f>SUM(I42:T42)</f>
        <v>101306.88236529677</v>
      </c>
      <c r="AJ42" s="23">
        <f>SUM(U42:AF42)</f>
        <v>88012.547954337933</v>
      </c>
      <c r="AK42" s="24">
        <f>(1+((AJ42-AI42)/AI42))*AJ42</f>
        <v>76462.807033020887</v>
      </c>
    </row>
    <row r="43" spans="2:37" ht="6" customHeight="1">
      <c r="F43" s="21">
        <v>0</v>
      </c>
      <c r="G43" s="21"/>
      <c r="H43" s="151"/>
      <c r="I43" s="23"/>
      <c r="J43" s="23"/>
      <c r="K43" s="23"/>
      <c r="L43" s="23"/>
      <c r="M43" s="23"/>
      <c r="N43" s="23"/>
      <c r="O43" s="23"/>
      <c r="P43" s="23"/>
      <c r="Q43" s="23"/>
      <c r="R43" s="23"/>
      <c r="S43" s="23"/>
      <c r="T43" s="23"/>
      <c r="U43" s="132"/>
      <c r="V43" s="23"/>
      <c r="W43" s="23"/>
      <c r="X43" s="23"/>
      <c r="Y43" s="23"/>
      <c r="Z43" s="23"/>
      <c r="AA43" s="23"/>
      <c r="AB43" s="23"/>
      <c r="AC43" s="23"/>
      <c r="AD43" s="23"/>
      <c r="AE43" s="23"/>
      <c r="AF43" s="23"/>
      <c r="AG43" s="23"/>
      <c r="AH43" s="123"/>
      <c r="AI43" s="23"/>
      <c r="AJ43" s="23"/>
      <c r="AK43" s="24"/>
    </row>
    <row r="44" spans="2:37">
      <c r="C44" t="s">
        <v>99</v>
      </c>
      <c r="E44" s="52">
        <v>0.05</v>
      </c>
      <c r="F44" s="21">
        <v>11424.525</v>
      </c>
      <c r="G44" s="21">
        <f>(F44/8)*12</f>
        <v>17136.787499999999</v>
      </c>
      <c r="H44" s="151">
        <f>G44/12</f>
        <v>1428.065625</v>
      </c>
      <c r="I44" s="23">
        <f>G44/12</f>
        <v>1428.065625</v>
      </c>
      <c r="J44" s="23">
        <f t="shared" ref="J44:AF44" si="11">I44*(1+$E$44)</f>
        <v>1499.4689062499999</v>
      </c>
      <c r="K44" s="23">
        <f t="shared" si="11"/>
        <v>1574.4423515624999</v>
      </c>
      <c r="L44" s="23">
        <f t="shared" si="11"/>
        <v>1653.164469140625</v>
      </c>
      <c r="M44" s="23">
        <f t="shared" si="11"/>
        <v>1735.8226925976562</v>
      </c>
      <c r="N44" s="23">
        <f t="shared" si="11"/>
        <v>1822.6138272275391</v>
      </c>
      <c r="O44" s="23">
        <f t="shared" si="11"/>
        <v>1913.7445185889162</v>
      </c>
      <c r="P44" s="23">
        <f t="shared" si="11"/>
        <v>2009.4317445183622</v>
      </c>
      <c r="Q44" s="23">
        <f t="shared" si="11"/>
        <v>2109.9033317442804</v>
      </c>
      <c r="R44" s="23">
        <f t="shared" si="11"/>
        <v>2215.3984983314945</v>
      </c>
      <c r="S44" s="23">
        <f t="shared" si="11"/>
        <v>2326.1684232480693</v>
      </c>
      <c r="T44" s="23">
        <f t="shared" si="11"/>
        <v>2442.4768444104729</v>
      </c>
      <c r="U44" s="132">
        <f t="shared" si="11"/>
        <v>2564.6006866309967</v>
      </c>
      <c r="V44" s="23">
        <f t="shared" si="11"/>
        <v>2692.8307209625468</v>
      </c>
      <c r="W44" s="23">
        <f t="shared" si="11"/>
        <v>2827.4722570106742</v>
      </c>
      <c r="X44" s="23">
        <f t="shared" si="11"/>
        <v>2968.845869861208</v>
      </c>
      <c r="Y44" s="23">
        <f t="shared" si="11"/>
        <v>3117.2881633542684</v>
      </c>
      <c r="Z44" s="23">
        <f t="shared" si="11"/>
        <v>3273.1525715219818</v>
      </c>
      <c r="AA44" s="23">
        <f t="shared" si="11"/>
        <v>3436.8102000980812</v>
      </c>
      <c r="AB44" s="23">
        <f t="shared" si="11"/>
        <v>3608.6507101029852</v>
      </c>
      <c r="AC44" s="23">
        <f t="shared" si="11"/>
        <v>3789.0832456081348</v>
      </c>
      <c r="AD44" s="23">
        <f t="shared" si="11"/>
        <v>3978.5374078885416</v>
      </c>
      <c r="AE44" s="23">
        <f t="shared" si="11"/>
        <v>4177.4642782829687</v>
      </c>
      <c r="AF44" s="23">
        <f t="shared" si="11"/>
        <v>4386.3374921971172</v>
      </c>
      <c r="AG44" s="23"/>
      <c r="AH44" s="123"/>
      <c r="AI44" s="23">
        <f>SUM(I44:T44)</f>
        <v>22730.701232619915</v>
      </c>
      <c r="AJ44" s="23">
        <f>SUM(U44:AF44)</f>
        <v>40821.073603519508</v>
      </c>
      <c r="AK44" s="24">
        <f>AJ44*1.15</f>
        <v>46944.234644047428</v>
      </c>
    </row>
    <row r="45" spans="2:37">
      <c r="C45" t="s">
        <v>100</v>
      </c>
      <c r="E45" s="52">
        <v>0.05</v>
      </c>
      <c r="F45" s="21">
        <v>6826.75</v>
      </c>
      <c r="G45" s="21">
        <f>(F45/8)*12</f>
        <v>10240.125</v>
      </c>
      <c r="H45" s="151">
        <f>G45/12</f>
        <v>853.34375</v>
      </c>
      <c r="I45" s="23">
        <f>G45/12</f>
        <v>853.34375</v>
      </c>
      <c r="J45" s="23">
        <f t="shared" ref="J45:AF45" si="12">I45*(1+$E45)</f>
        <v>896.01093750000007</v>
      </c>
      <c r="K45" s="23">
        <f t="shared" si="12"/>
        <v>940.81148437500008</v>
      </c>
      <c r="L45" s="23">
        <f t="shared" si="12"/>
        <v>987.85205859375014</v>
      </c>
      <c r="M45" s="23">
        <f t="shared" si="12"/>
        <v>1037.2446615234378</v>
      </c>
      <c r="N45" s="23">
        <f t="shared" si="12"/>
        <v>1089.1068945996096</v>
      </c>
      <c r="O45" s="23">
        <f t="shared" si="12"/>
        <v>1143.5622393295901</v>
      </c>
      <c r="P45" s="23">
        <f t="shared" si="12"/>
        <v>1200.7403512960695</v>
      </c>
      <c r="Q45" s="23">
        <f t="shared" si="12"/>
        <v>1260.7773688608731</v>
      </c>
      <c r="R45" s="23">
        <f t="shared" si="12"/>
        <v>1323.8162373039168</v>
      </c>
      <c r="S45" s="23">
        <f t="shared" si="12"/>
        <v>1390.0070491691126</v>
      </c>
      <c r="T45" s="23">
        <f t="shared" si="12"/>
        <v>1459.5074016275682</v>
      </c>
      <c r="U45" s="132">
        <f t="shared" si="12"/>
        <v>1532.4827717089468</v>
      </c>
      <c r="V45" s="23">
        <f t="shared" si="12"/>
        <v>1609.1069102943941</v>
      </c>
      <c r="W45" s="23">
        <f t="shared" si="12"/>
        <v>1689.5622558091138</v>
      </c>
      <c r="X45" s="23">
        <f t="shared" si="12"/>
        <v>1774.0403685995695</v>
      </c>
      <c r="Y45" s="23">
        <f t="shared" si="12"/>
        <v>1862.7423870295481</v>
      </c>
      <c r="Z45" s="23">
        <f t="shared" si="12"/>
        <v>1955.8795063810255</v>
      </c>
      <c r="AA45" s="23">
        <f t="shared" si="12"/>
        <v>2053.673481700077</v>
      </c>
      <c r="AB45" s="23">
        <f t="shared" si="12"/>
        <v>2156.357155785081</v>
      </c>
      <c r="AC45" s="23">
        <f t="shared" si="12"/>
        <v>2264.175013574335</v>
      </c>
      <c r="AD45" s="23">
        <f t="shared" si="12"/>
        <v>2377.383764253052</v>
      </c>
      <c r="AE45" s="23">
        <f t="shared" si="12"/>
        <v>2496.2529524657048</v>
      </c>
      <c r="AF45" s="23">
        <f t="shared" si="12"/>
        <v>2621.0656000889903</v>
      </c>
      <c r="AG45" s="23"/>
      <c r="AH45" s="123"/>
      <c r="AI45" s="23">
        <f>SUM(I45:T45)</f>
        <v>13582.780434178929</v>
      </c>
      <c r="AJ45" s="23">
        <f>SUM(U45:AF45)</f>
        <v>24392.722167689837</v>
      </c>
      <c r="AK45" s="24">
        <f>AJ45*1.15</f>
        <v>28051.630492843309</v>
      </c>
    </row>
    <row r="46" spans="2:37">
      <c r="C46" t="s">
        <v>103</v>
      </c>
      <c r="E46" s="52">
        <v>0.05</v>
      </c>
      <c r="F46" s="21">
        <v>1536.9</v>
      </c>
      <c r="G46" s="21">
        <f>(F46/8)*12</f>
        <v>2305.3500000000004</v>
      </c>
      <c r="H46" s="151">
        <f>G46/12</f>
        <v>192.11250000000004</v>
      </c>
      <c r="I46" s="23">
        <f>G46/12</f>
        <v>192.11250000000004</v>
      </c>
      <c r="J46" s="23">
        <f t="shared" ref="J46:AF46" si="13">I46*(1+$E46)</f>
        <v>201.71812500000004</v>
      </c>
      <c r="K46" s="23">
        <f t="shared" si="13"/>
        <v>211.80403125000007</v>
      </c>
      <c r="L46" s="23">
        <f t="shared" si="13"/>
        <v>222.39423281250006</v>
      </c>
      <c r="M46" s="23">
        <f t="shared" si="13"/>
        <v>233.51394445312508</v>
      </c>
      <c r="N46" s="23">
        <f t="shared" si="13"/>
        <v>245.18964167578133</v>
      </c>
      <c r="O46" s="23">
        <f t="shared" si="13"/>
        <v>257.4491237595704</v>
      </c>
      <c r="P46" s="23">
        <f t="shared" si="13"/>
        <v>270.32157994754891</v>
      </c>
      <c r="Q46" s="23">
        <f t="shared" si="13"/>
        <v>283.83765894492637</v>
      </c>
      <c r="R46" s="23">
        <f t="shared" si="13"/>
        <v>298.02954189217269</v>
      </c>
      <c r="S46" s="23">
        <f t="shared" si="13"/>
        <v>312.93101898678134</v>
      </c>
      <c r="T46" s="23">
        <f t="shared" si="13"/>
        <v>328.57756993612043</v>
      </c>
      <c r="U46" s="132">
        <f t="shared" si="13"/>
        <v>345.00644843292645</v>
      </c>
      <c r="V46" s="23">
        <f t="shared" si="13"/>
        <v>362.25677085457278</v>
      </c>
      <c r="W46" s="23">
        <f t="shared" si="13"/>
        <v>380.36960939730142</v>
      </c>
      <c r="X46" s="23">
        <f t="shared" si="13"/>
        <v>399.38808986716651</v>
      </c>
      <c r="Y46" s="23">
        <f t="shared" si="13"/>
        <v>419.35749436052487</v>
      </c>
      <c r="Z46" s="23">
        <f t="shared" si="13"/>
        <v>440.32536907855115</v>
      </c>
      <c r="AA46" s="23">
        <f t="shared" si="13"/>
        <v>462.34163753247873</v>
      </c>
      <c r="AB46" s="23">
        <f t="shared" si="13"/>
        <v>485.45871940910268</v>
      </c>
      <c r="AC46" s="23">
        <f t="shared" si="13"/>
        <v>509.73165537955782</v>
      </c>
      <c r="AD46" s="23">
        <f t="shared" si="13"/>
        <v>535.21823814853576</v>
      </c>
      <c r="AE46" s="23">
        <f t="shared" si="13"/>
        <v>561.97915005596258</v>
      </c>
      <c r="AF46" s="23">
        <f t="shared" si="13"/>
        <v>590.07810755876073</v>
      </c>
      <c r="AG46" s="23"/>
      <c r="AH46" s="123"/>
      <c r="AI46" s="23">
        <f>SUM(I46:T46)</f>
        <v>3057.8789686585269</v>
      </c>
      <c r="AJ46" s="23">
        <f>SUM(U46:AF46)</f>
        <v>5491.5112900754411</v>
      </c>
      <c r="AK46" s="24">
        <f>AJ46*1.15</f>
        <v>6315.2379835867569</v>
      </c>
    </row>
    <row r="47" spans="2:37">
      <c r="B47" s="16"/>
      <c r="C47" s="16" t="s">
        <v>106</v>
      </c>
      <c r="D47" s="16"/>
      <c r="E47" s="402">
        <v>0.05</v>
      </c>
      <c r="F47" s="23">
        <v>433.57499999999999</v>
      </c>
      <c r="G47" s="23">
        <f>(F47/8)*12</f>
        <v>650.36249999999995</v>
      </c>
      <c r="H47" s="151">
        <f>G47/12</f>
        <v>54.196874999999999</v>
      </c>
      <c r="I47" s="23">
        <f>G47/12</f>
        <v>54.196874999999999</v>
      </c>
      <c r="J47" s="23">
        <f t="shared" ref="J47:AF47" si="14">I47*(1+$E47)</f>
        <v>56.906718750000003</v>
      </c>
      <c r="K47" s="23">
        <f t="shared" si="14"/>
        <v>59.752054687500006</v>
      </c>
      <c r="L47" s="23">
        <f t="shared" si="14"/>
        <v>62.739657421875009</v>
      </c>
      <c r="M47" s="23">
        <f t="shared" si="14"/>
        <v>65.876640292968759</v>
      </c>
      <c r="N47" s="23">
        <f t="shared" si="14"/>
        <v>69.170472307617203</v>
      </c>
      <c r="O47" s="23">
        <f t="shared" si="14"/>
        <v>72.628995922998072</v>
      </c>
      <c r="P47" s="23">
        <f t="shared" si="14"/>
        <v>76.260445719147981</v>
      </c>
      <c r="Q47" s="23">
        <f t="shared" si="14"/>
        <v>80.073468005105383</v>
      </c>
      <c r="R47" s="23">
        <f t="shared" si="14"/>
        <v>84.077141405360649</v>
      </c>
      <c r="S47" s="23">
        <f t="shared" si="14"/>
        <v>88.280998475628692</v>
      </c>
      <c r="T47" s="23">
        <f t="shared" si="14"/>
        <v>92.695048399410126</v>
      </c>
      <c r="U47" s="132">
        <f t="shared" si="14"/>
        <v>97.329800819380637</v>
      </c>
      <c r="V47" s="23">
        <f t="shared" si="14"/>
        <v>102.19629086034968</v>
      </c>
      <c r="W47" s="23">
        <f t="shared" si="14"/>
        <v>107.30610540336717</v>
      </c>
      <c r="X47" s="23">
        <f t="shared" si="14"/>
        <v>112.67141067353553</v>
      </c>
      <c r="Y47" s="23">
        <f t="shared" si="14"/>
        <v>118.30498120721232</v>
      </c>
      <c r="Z47" s="23">
        <f t="shared" si="14"/>
        <v>124.22023026757294</v>
      </c>
      <c r="AA47" s="23">
        <f t="shared" si="14"/>
        <v>130.43124178095161</v>
      </c>
      <c r="AB47" s="23">
        <f t="shared" si="14"/>
        <v>136.9528038699992</v>
      </c>
      <c r="AC47" s="23">
        <f t="shared" si="14"/>
        <v>143.80044406349916</v>
      </c>
      <c r="AD47" s="23">
        <f t="shared" si="14"/>
        <v>150.99046626667413</v>
      </c>
      <c r="AE47" s="23">
        <f t="shared" si="14"/>
        <v>158.53998958000784</v>
      </c>
      <c r="AF47" s="23">
        <f t="shared" si="14"/>
        <v>166.46698905900823</v>
      </c>
      <c r="AG47" s="23"/>
      <c r="AH47" s="403"/>
      <c r="AI47" s="23">
        <f>SUM(I47:T47)</f>
        <v>862.65851638761183</v>
      </c>
      <c r="AJ47" s="23">
        <f>SUM(U47:AF47)</f>
        <v>1549.2107538515584</v>
      </c>
      <c r="AK47" s="145">
        <f>AJ47*1.15</f>
        <v>1781.592366929292</v>
      </c>
    </row>
    <row r="48" spans="2:37" ht="8" customHeight="1">
      <c r="B48" s="16"/>
      <c r="C48" s="16"/>
      <c r="D48" s="16"/>
      <c r="E48" s="402"/>
      <c r="F48" s="23">
        <v>0</v>
      </c>
      <c r="G48" s="23"/>
      <c r="H48" s="151"/>
      <c r="I48" s="23"/>
      <c r="J48" s="23"/>
      <c r="K48" s="23"/>
      <c r="L48" s="23"/>
      <c r="M48" s="23"/>
      <c r="N48" s="23"/>
      <c r="O48" s="23"/>
      <c r="P48" s="23"/>
      <c r="Q48" s="23"/>
      <c r="R48" s="23"/>
      <c r="S48" s="23"/>
      <c r="T48" s="23"/>
      <c r="U48" s="132"/>
      <c r="V48" s="23"/>
      <c r="W48" s="23"/>
      <c r="X48" s="23"/>
      <c r="Y48" s="23"/>
      <c r="Z48" s="23"/>
      <c r="AA48" s="23"/>
      <c r="AB48" s="23"/>
      <c r="AC48" s="23"/>
      <c r="AD48" s="23"/>
      <c r="AE48" s="23"/>
      <c r="AF48" s="23"/>
      <c r="AG48" s="23"/>
      <c r="AH48" s="403"/>
      <c r="AI48" s="23"/>
      <c r="AJ48" s="23"/>
      <c r="AK48" s="145"/>
    </row>
    <row r="49" spans="2:37">
      <c r="C49" t="s">
        <v>270</v>
      </c>
      <c r="E49" s="52">
        <v>1.4999999999999999E-2</v>
      </c>
      <c r="F49" s="21">
        <v>37037.410000000003</v>
      </c>
      <c r="G49" s="21">
        <f>(F49/8)*12</f>
        <v>55556.115000000005</v>
      </c>
      <c r="H49" s="151">
        <f t="shared" ref="H49:H56" si="15">G49/12</f>
        <v>4629.6762500000004</v>
      </c>
      <c r="I49" s="23">
        <v>5000</v>
      </c>
      <c r="J49" s="21">
        <f t="shared" ref="J49:AF49" si="16">I49*(1+$E$49)</f>
        <v>5074.9999999999991</v>
      </c>
      <c r="K49" s="21">
        <f t="shared" si="16"/>
        <v>5151.1249999999982</v>
      </c>
      <c r="L49" s="21">
        <f t="shared" si="16"/>
        <v>5228.3918749999975</v>
      </c>
      <c r="M49" s="21">
        <f t="shared" si="16"/>
        <v>5306.8177531249967</v>
      </c>
      <c r="N49" s="21">
        <f t="shared" si="16"/>
        <v>5386.4200194218711</v>
      </c>
      <c r="O49" s="21">
        <f t="shared" si="16"/>
        <v>5467.2163197131986</v>
      </c>
      <c r="P49" s="21">
        <f t="shared" si="16"/>
        <v>5549.224564508896</v>
      </c>
      <c r="Q49" s="21">
        <f t="shared" si="16"/>
        <v>5632.4629329765294</v>
      </c>
      <c r="R49" s="21">
        <f t="shared" si="16"/>
        <v>5716.9498769711763</v>
      </c>
      <c r="S49" s="21">
        <f t="shared" si="16"/>
        <v>5802.7041251257433</v>
      </c>
      <c r="T49" s="21">
        <f t="shared" si="16"/>
        <v>5889.7446870026288</v>
      </c>
      <c r="U49" s="132">
        <f t="shared" si="16"/>
        <v>5978.0908573076676</v>
      </c>
      <c r="V49" s="21">
        <f t="shared" si="16"/>
        <v>6067.7622201672821</v>
      </c>
      <c r="W49" s="21">
        <f t="shared" si="16"/>
        <v>6158.7786534697907</v>
      </c>
      <c r="X49" s="21">
        <f t="shared" si="16"/>
        <v>6251.1603332718369</v>
      </c>
      <c r="Y49" s="21">
        <f t="shared" si="16"/>
        <v>6344.9277382709142</v>
      </c>
      <c r="Z49" s="21">
        <f t="shared" si="16"/>
        <v>6440.1016543449778</v>
      </c>
      <c r="AA49" s="21">
        <f t="shared" si="16"/>
        <v>6536.7031791601521</v>
      </c>
      <c r="AB49" s="21">
        <f t="shared" si="16"/>
        <v>6634.7537268475535</v>
      </c>
      <c r="AC49" s="21">
        <f t="shared" si="16"/>
        <v>6734.2750327502663</v>
      </c>
      <c r="AD49" s="21">
        <f t="shared" si="16"/>
        <v>6835.2891582415195</v>
      </c>
      <c r="AE49" s="21">
        <f t="shared" si="16"/>
        <v>6937.8184956151417</v>
      </c>
      <c r="AF49" s="21">
        <f t="shared" si="16"/>
        <v>7041.8857730493683</v>
      </c>
      <c r="AG49" s="21"/>
      <c r="AH49" s="123"/>
      <c r="AI49" s="21">
        <f t="shared" ref="AI49:AI57" si="17">SUM(I49:T49)</f>
        <v>65206.057153845046</v>
      </c>
      <c r="AJ49" s="21">
        <f t="shared" ref="AJ49:AJ57" si="18">SUM(U49:AF49)</f>
        <v>77961.546822496472</v>
      </c>
      <c r="AK49" s="24">
        <f>(1+((AJ49-AI49)/AI49))*AJ49</f>
        <v>93212.242056225979</v>
      </c>
    </row>
    <row r="50" spans="2:37">
      <c r="C50" t="s">
        <v>98</v>
      </c>
      <c r="E50" s="52">
        <v>0.05</v>
      </c>
      <c r="F50" s="21">
        <v>15166.900000000001</v>
      </c>
      <c r="G50" s="21">
        <f>(F50/8)*12</f>
        <v>22750.350000000002</v>
      </c>
      <c r="H50" s="151">
        <f t="shared" si="15"/>
        <v>1895.8625000000002</v>
      </c>
      <c r="I50" s="23">
        <f t="shared" ref="I50:I56" si="19">G50/12</f>
        <v>1895.8625000000002</v>
      </c>
      <c r="J50" s="23">
        <f>I50*(1+$E$50)</f>
        <v>1990.6556250000003</v>
      </c>
      <c r="K50" s="23">
        <f t="shared" ref="K50:AF50" si="20">J50*(1+$E$50)</f>
        <v>2090.1884062500003</v>
      </c>
      <c r="L50" s="23">
        <f t="shared" si="20"/>
        <v>2194.6978265625003</v>
      </c>
      <c r="M50" s="23">
        <f t="shared" si="20"/>
        <v>2304.4327178906256</v>
      </c>
      <c r="N50" s="23">
        <f t="shared" si="20"/>
        <v>2419.6543537851571</v>
      </c>
      <c r="O50" s="23">
        <f t="shared" si="20"/>
        <v>2540.6370714744153</v>
      </c>
      <c r="P50" s="23">
        <f t="shared" si="20"/>
        <v>2667.6689250481363</v>
      </c>
      <c r="Q50" s="23">
        <f t="shared" si="20"/>
        <v>2801.0523713005432</v>
      </c>
      <c r="R50" s="23">
        <f t="shared" si="20"/>
        <v>2941.1049898655706</v>
      </c>
      <c r="S50" s="23">
        <f t="shared" si="20"/>
        <v>3088.1602393588491</v>
      </c>
      <c r="T50" s="23">
        <f t="shared" si="20"/>
        <v>3242.5682513267916</v>
      </c>
      <c r="U50" s="132">
        <f t="shared" si="20"/>
        <v>3404.6966638931312</v>
      </c>
      <c r="V50" s="23">
        <f t="shared" si="20"/>
        <v>3574.9314970877881</v>
      </c>
      <c r="W50" s="23">
        <f t="shared" si="20"/>
        <v>3753.6780719421777</v>
      </c>
      <c r="X50" s="23">
        <f t="shared" si="20"/>
        <v>3941.3619755392865</v>
      </c>
      <c r="Y50" s="23">
        <f t="shared" si="20"/>
        <v>4138.4300743162512</v>
      </c>
      <c r="Z50" s="23">
        <f t="shared" si="20"/>
        <v>4345.351578032064</v>
      </c>
      <c r="AA50" s="23">
        <f t="shared" si="20"/>
        <v>4562.619156933667</v>
      </c>
      <c r="AB50" s="23">
        <f t="shared" si="20"/>
        <v>4790.7501147803505</v>
      </c>
      <c r="AC50" s="23">
        <f t="shared" si="20"/>
        <v>5030.2876205193679</v>
      </c>
      <c r="AD50" s="23">
        <f t="shared" si="20"/>
        <v>5281.8020015453367</v>
      </c>
      <c r="AE50" s="23">
        <f t="shared" si="20"/>
        <v>5545.8921016226041</v>
      </c>
      <c r="AF50" s="23">
        <f t="shared" si="20"/>
        <v>5823.1867067037347</v>
      </c>
      <c r="AG50" s="23"/>
      <c r="AH50" s="123"/>
      <c r="AI50" s="23">
        <f t="shared" si="17"/>
        <v>30176.683277862587</v>
      </c>
      <c r="AJ50" s="23">
        <f t="shared" si="18"/>
        <v>54192.987562915761</v>
      </c>
      <c r="AK50" s="24">
        <f>(1+((AJ50-AI50)/AI50))*AJ50</f>
        <v>97322.819540900906</v>
      </c>
    </row>
    <row r="51" spans="2:37">
      <c r="C51" t="s">
        <v>89</v>
      </c>
      <c r="E51" s="52">
        <v>0.05</v>
      </c>
      <c r="F51" s="21">
        <v>8643.3000000000011</v>
      </c>
      <c r="G51" s="21">
        <f>(F51/8)*12</f>
        <v>12964.95</v>
      </c>
      <c r="H51" s="151">
        <f t="shared" si="15"/>
        <v>1080.4125000000001</v>
      </c>
      <c r="I51" s="23">
        <f t="shared" si="19"/>
        <v>1080.4125000000001</v>
      </c>
      <c r="J51" s="21">
        <f t="shared" ref="J51:AF51" si="21">I51*(1+$E$49)</f>
        <v>1096.6186875000001</v>
      </c>
      <c r="K51" s="21">
        <f t="shared" si="21"/>
        <v>1113.0679678125</v>
      </c>
      <c r="L51" s="21">
        <f t="shared" si="21"/>
        <v>1129.7639873296873</v>
      </c>
      <c r="M51" s="21">
        <f t="shared" si="21"/>
        <v>1146.7104471396326</v>
      </c>
      <c r="N51" s="21">
        <f t="shared" si="21"/>
        <v>1163.911103846727</v>
      </c>
      <c r="O51" s="21">
        <f t="shared" si="21"/>
        <v>1181.3697704044278</v>
      </c>
      <c r="P51" s="21">
        <f t="shared" si="21"/>
        <v>1199.090316960494</v>
      </c>
      <c r="Q51" s="21">
        <f t="shared" si="21"/>
        <v>1217.0766717149013</v>
      </c>
      <c r="R51" s="21">
        <f t="shared" si="21"/>
        <v>1235.3328217906246</v>
      </c>
      <c r="S51" s="21">
        <f t="shared" si="21"/>
        <v>1253.8628141174838</v>
      </c>
      <c r="T51" s="21">
        <f t="shared" si="21"/>
        <v>1272.6707563292459</v>
      </c>
      <c r="U51" s="132">
        <f t="shared" si="21"/>
        <v>1291.7608176741844</v>
      </c>
      <c r="V51" s="21">
        <f t="shared" si="21"/>
        <v>1311.137229939297</v>
      </c>
      <c r="W51" s="21">
        <f t="shared" si="21"/>
        <v>1330.8042883883863</v>
      </c>
      <c r="X51" s="21">
        <f t="shared" si="21"/>
        <v>1350.766352714212</v>
      </c>
      <c r="Y51" s="21">
        <f t="shared" si="21"/>
        <v>1371.0278480049251</v>
      </c>
      <c r="Z51" s="21">
        <f t="shared" si="21"/>
        <v>1391.5932657249989</v>
      </c>
      <c r="AA51" s="21">
        <f t="shared" si="21"/>
        <v>1412.4671647108737</v>
      </c>
      <c r="AB51" s="21">
        <f t="shared" si="21"/>
        <v>1433.6541721815368</v>
      </c>
      <c r="AC51" s="21">
        <f t="shared" si="21"/>
        <v>1455.1589847642597</v>
      </c>
      <c r="AD51" s="21">
        <f t="shared" si="21"/>
        <v>1476.9863695357235</v>
      </c>
      <c r="AE51" s="21">
        <f t="shared" si="21"/>
        <v>1499.1411650787593</v>
      </c>
      <c r="AF51" s="21">
        <f t="shared" si="21"/>
        <v>1521.6282825549406</v>
      </c>
      <c r="AG51" s="21"/>
      <c r="AH51" s="123"/>
      <c r="AI51" s="21">
        <f t="shared" si="17"/>
        <v>14089.887844945726</v>
      </c>
      <c r="AJ51" s="21">
        <f t="shared" si="18"/>
        <v>16846.125941272097</v>
      </c>
      <c r="AK51" s="24">
        <f>(1+((AJ51-AI51)/AI51))*AJ51</f>
        <v>20141.534294114448</v>
      </c>
    </row>
    <row r="52" spans="2:37">
      <c r="C52" t="s">
        <v>95</v>
      </c>
      <c r="E52" s="52">
        <v>0.01</v>
      </c>
      <c r="F52" s="21">
        <v>23777.3</v>
      </c>
      <c r="G52" s="21">
        <f>(F52/8)*12</f>
        <v>35665.949999999997</v>
      </c>
      <c r="H52" s="151">
        <f>G52/12</f>
        <v>2972.1624999999999</v>
      </c>
      <c r="I52" s="23">
        <f>G52/12</f>
        <v>2972.1624999999999</v>
      </c>
      <c r="J52" s="23">
        <f t="shared" ref="J52:AF52" si="22">I52*(1+$E$52)</f>
        <v>3001.884125</v>
      </c>
      <c r="K52" s="23">
        <f t="shared" si="22"/>
        <v>3031.9029662500002</v>
      </c>
      <c r="L52" s="23">
        <f t="shared" si="22"/>
        <v>3062.2219959125</v>
      </c>
      <c r="M52" s="23">
        <f t="shared" si="22"/>
        <v>3092.8442158716252</v>
      </c>
      <c r="N52" s="23">
        <f t="shared" si="22"/>
        <v>3123.7726580303415</v>
      </c>
      <c r="O52" s="23">
        <f t="shared" si="22"/>
        <v>3155.0103846106449</v>
      </c>
      <c r="P52" s="23">
        <f t="shared" si="22"/>
        <v>3186.5604884567515</v>
      </c>
      <c r="Q52" s="23">
        <f t="shared" si="22"/>
        <v>3218.4260933413188</v>
      </c>
      <c r="R52" s="23">
        <f t="shared" si="22"/>
        <v>3250.6103542747319</v>
      </c>
      <c r="S52" s="23">
        <f t="shared" si="22"/>
        <v>3283.1164578174794</v>
      </c>
      <c r="T52" s="23">
        <f t="shared" si="22"/>
        <v>3315.9476223956544</v>
      </c>
      <c r="U52" s="132">
        <f t="shared" si="22"/>
        <v>3349.107098619611</v>
      </c>
      <c r="V52" s="23">
        <f t="shared" si="22"/>
        <v>3382.598169605807</v>
      </c>
      <c r="W52" s="23">
        <f t="shared" si="22"/>
        <v>3416.4241513018651</v>
      </c>
      <c r="X52" s="23">
        <f t="shared" si="22"/>
        <v>3450.5883928148837</v>
      </c>
      <c r="Y52" s="23">
        <f t="shared" si="22"/>
        <v>3485.0942767430324</v>
      </c>
      <c r="Z52" s="23">
        <f t="shared" si="22"/>
        <v>3519.9452195104627</v>
      </c>
      <c r="AA52" s="23">
        <f t="shared" si="22"/>
        <v>3555.1446717055674</v>
      </c>
      <c r="AB52" s="23">
        <f t="shared" si="22"/>
        <v>3590.6961184226229</v>
      </c>
      <c r="AC52" s="23">
        <f t="shared" si="22"/>
        <v>3626.6030796068494</v>
      </c>
      <c r="AD52" s="23">
        <f t="shared" si="22"/>
        <v>3662.8691104029181</v>
      </c>
      <c r="AE52" s="23">
        <f t="shared" si="22"/>
        <v>3699.4978015069473</v>
      </c>
      <c r="AF52" s="23">
        <f t="shared" si="22"/>
        <v>3736.4927795220169</v>
      </c>
      <c r="AG52" s="23"/>
      <c r="AH52" s="123"/>
      <c r="AI52" s="23">
        <f>SUM(I52:T52)</f>
        <v>37694.459861961041</v>
      </c>
      <c r="AJ52" s="23">
        <f>SUM(U52:AF52)</f>
        <v>42475.060869762579</v>
      </c>
      <c r="AK52" s="24">
        <f>(1+((AJ52-AI52)/AI52))*AJ52</f>
        <v>47861.961744427477</v>
      </c>
    </row>
    <row r="53" spans="2:37">
      <c r="C53" t="s">
        <v>105</v>
      </c>
      <c r="E53" s="52">
        <v>0.05</v>
      </c>
      <c r="F53" s="21">
        <v>442.97500000000002</v>
      </c>
      <c r="G53" s="21">
        <f>(F53/8)*12</f>
        <v>664.46250000000009</v>
      </c>
      <c r="H53" s="151">
        <f t="shared" si="15"/>
        <v>55.37187500000001</v>
      </c>
      <c r="I53" s="23">
        <f t="shared" si="19"/>
        <v>55.37187500000001</v>
      </c>
      <c r="J53" s="23">
        <f t="shared" ref="J53:AF53" si="23">I53*(1+$E53)</f>
        <v>58.140468750000011</v>
      </c>
      <c r="K53" s="23">
        <f t="shared" si="23"/>
        <v>61.047492187500012</v>
      </c>
      <c r="L53" s="23">
        <f t="shared" si="23"/>
        <v>64.09986679687502</v>
      </c>
      <c r="M53" s="23">
        <f t="shared" si="23"/>
        <v>67.304860136718773</v>
      </c>
      <c r="N53" s="23">
        <f t="shared" si="23"/>
        <v>70.670103143554712</v>
      </c>
      <c r="O53" s="23">
        <f t="shared" si="23"/>
        <v>74.203608300732455</v>
      </c>
      <c r="P53" s="23">
        <f t="shared" si="23"/>
        <v>77.913788715769087</v>
      </c>
      <c r="Q53" s="23">
        <f t="shared" si="23"/>
        <v>81.809478151557542</v>
      </c>
      <c r="R53" s="23">
        <f t="shared" si="23"/>
        <v>85.89995205913543</v>
      </c>
      <c r="S53" s="23">
        <f t="shared" si="23"/>
        <v>90.194949662092199</v>
      </c>
      <c r="T53" s="23">
        <f t="shared" si="23"/>
        <v>94.704697145196818</v>
      </c>
      <c r="U53" s="132">
        <f t="shared" si="23"/>
        <v>99.439932002456658</v>
      </c>
      <c r="V53" s="23">
        <f t="shared" si="23"/>
        <v>104.41192860257949</v>
      </c>
      <c r="W53" s="23">
        <f t="shared" si="23"/>
        <v>109.63252503270847</v>
      </c>
      <c r="X53" s="23">
        <f t="shared" si="23"/>
        <v>115.1141512843439</v>
      </c>
      <c r="Y53" s="23">
        <f t="shared" si="23"/>
        <v>120.86985884856111</v>
      </c>
      <c r="Z53" s="23">
        <f t="shared" si="23"/>
        <v>126.91335179098917</v>
      </c>
      <c r="AA53" s="23">
        <f t="shared" si="23"/>
        <v>133.25901938053863</v>
      </c>
      <c r="AB53" s="23">
        <f t="shared" si="23"/>
        <v>139.92197034956558</v>
      </c>
      <c r="AC53" s="23">
        <f t="shared" si="23"/>
        <v>146.91806886704387</v>
      </c>
      <c r="AD53" s="23">
        <f t="shared" si="23"/>
        <v>154.26397231039607</v>
      </c>
      <c r="AE53" s="23">
        <f t="shared" si="23"/>
        <v>161.97717092591589</v>
      </c>
      <c r="AF53" s="23">
        <f t="shared" si="23"/>
        <v>170.0760294722117</v>
      </c>
      <c r="AG53" s="23"/>
      <c r="AH53" s="123"/>
      <c r="AI53" s="23">
        <f t="shared" si="17"/>
        <v>881.36114004913213</v>
      </c>
      <c r="AJ53" s="23">
        <f t="shared" si="18"/>
        <v>1582.7979788673108</v>
      </c>
      <c r="AK53" s="24">
        <f>AJ53*1.15</f>
        <v>1820.2176756974072</v>
      </c>
    </row>
    <row r="54" spans="2:37">
      <c r="C54" t="s">
        <v>101</v>
      </c>
      <c r="E54" s="52">
        <v>0.05</v>
      </c>
      <c r="F54" s="21">
        <v>1837.7</v>
      </c>
      <c r="G54" s="21">
        <f>(F54/8)*12</f>
        <v>2756.55</v>
      </c>
      <c r="H54" s="151">
        <f t="shared" si="15"/>
        <v>229.71250000000001</v>
      </c>
      <c r="I54" s="23">
        <f t="shared" si="19"/>
        <v>229.71250000000001</v>
      </c>
      <c r="J54" s="23">
        <f t="shared" ref="J54:AF54" si="24">I54*(1+$E54)</f>
        <v>241.198125</v>
      </c>
      <c r="K54" s="23">
        <f t="shared" si="24"/>
        <v>253.25803125000002</v>
      </c>
      <c r="L54" s="23">
        <f t="shared" si="24"/>
        <v>265.92093281250004</v>
      </c>
      <c r="M54" s="23">
        <f t="shared" si="24"/>
        <v>279.21697945312508</v>
      </c>
      <c r="N54" s="23">
        <f t="shared" si="24"/>
        <v>293.17782842578134</v>
      </c>
      <c r="O54" s="23">
        <f t="shared" si="24"/>
        <v>307.83671984707041</v>
      </c>
      <c r="P54" s="23">
        <f t="shared" si="24"/>
        <v>323.22855583942396</v>
      </c>
      <c r="Q54" s="23">
        <f t="shared" si="24"/>
        <v>339.38998363139518</v>
      </c>
      <c r="R54" s="23">
        <f t="shared" si="24"/>
        <v>356.35948281296498</v>
      </c>
      <c r="S54" s="23">
        <f t="shared" si="24"/>
        <v>374.17745695361327</v>
      </c>
      <c r="T54" s="23">
        <f t="shared" si="24"/>
        <v>392.88632980129393</v>
      </c>
      <c r="U54" s="132">
        <f t="shared" si="24"/>
        <v>412.53064629135866</v>
      </c>
      <c r="V54" s="23">
        <f t="shared" si="24"/>
        <v>433.15717860592662</v>
      </c>
      <c r="W54" s="23">
        <f t="shared" si="24"/>
        <v>454.81503753622297</v>
      </c>
      <c r="X54" s="23">
        <f t="shared" si="24"/>
        <v>477.55578941303412</v>
      </c>
      <c r="Y54" s="23">
        <f t="shared" si="24"/>
        <v>501.43357888368587</v>
      </c>
      <c r="Z54" s="23">
        <f t="shared" si="24"/>
        <v>526.5052578278702</v>
      </c>
      <c r="AA54" s="23">
        <f t="shared" si="24"/>
        <v>552.83052071926375</v>
      </c>
      <c r="AB54" s="23">
        <f t="shared" si="24"/>
        <v>580.47204675522698</v>
      </c>
      <c r="AC54" s="23">
        <f t="shared" si="24"/>
        <v>609.4956490929884</v>
      </c>
      <c r="AD54" s="23">
        <f t="shared" si="24"/>
        <v>639.97043154763787</v>
      </c>
      <c r="AE54" s="23">
        <f t="shared" si="24"/>
        <v>671.96895312501977</v>
      </c>
      <c r="AF54" s="23">
        <f t="shared" si="24"/>
        <v>705.56740078127075</v>
      </c>
      <c r="AG54" s="23"/>
      <c r="AH54" s="123"/>
      <c r="AI54" s="23">
        <f t="shared" si="17"/>
        <v>3656.3629258271681</v>
      </c>
      <c r="AJ54" s="23">
        <f t="shared" si="18"/>
        <v>6566.3024905795055</v>
      </c>
      <c r="AK54" s="24">
        <f>AJ54*1.15</f>
        <v>7551.2478641664311</v>
      </c>
    </row>
    <row r="55" spans="2:37">
      <c r="C55" t="s">
        <v>102</v>
      </c>
      <c r="E55" s="52">
        <v>0.05</v>
      </c>
      <c r="F55" s="21">
        <v>853.05000000000007</v>
      </c>
      <c r="G55" s="21">
        <f>(F55/8)*12</f>
        <v>1279.575</v>
      </c>
      <c r="H55" s="151">
        <f t="shared" si="15"/>
        <v>106.63125000000001</v>
      </c>
      <c r="I55" s="23">
        <f t="shared" si="19"/>
        <v>106.63125000000001</v>
      </c>
      <c r="J55" s="23">
        <f t="shared" ref="J55:AF55" si="25">I55*(1+$E55)</f>
        <v>111.96281250000001</v>
      </c>
      <c r="K55" s="23">
        <f t="shared" si="25"/>
        <v>117.56095312500001</v>
      </c>
      <c r="L55" s="23">
        <f t="shared" si="25"/>
        <v>123.43900078125002</v>
      </c>
      <c r="M55" s="23">
        <f t="shared" si="25"/>
        <v>129.61095082031252</v>
      </c>
      <c r="N55" s="23">
        <f t="shared" si="25"/>
        <v>136.09149836132815</v>
      </c>
      <c r="O55" s="23">
        <f t="shared" si="25"/>
        <v>142.89607327939456</v>
      </c>
      <c r="P55" s="23">
        <f t="shared" si="25"/>
        <v>150.04087694336428</v>
      </c>
      <c r="Q55" s="23">
        <f t="shared" si="25"/>
        <v>157.54292079053249</v>
      </c>
      <c r="R55" s="23">
        <f t="shared" si="25"/>
        <v>165.42006683005911</v>
      </c>
      <c r="S55" s="23">
        <f t="shared" si="25"/>
        <v>173.69107017156207</v>
      </c>
      <c r="T55" s="23">
        <f t="shared" si="25"/>
        <v>182.37562368014019</v>
      </c>
      <c r="U55" s="132">
        <f t="shared" si="25"/>
        <v>191.49440486414721</v>
      </c>
      <c r="V55" s="23">
        <f t="shared" si="25"/>
        <v>201.06912510735458</v>
      </c>
      <c r="W55" s="23">
        <f t="shared" si="25"/>
        <v>211.12258136272231</v>
      </c>
      <c r="X55" s="23">
        <f t="shared" si="25"/>
        <v>221.67871043085844</v>
      </c>
      <c r="Y55" s="23">
        <f t="shared" si="25"/>
        <v>232.76264595240139</v>
      </c>
      <c r="Z55" s="23">
        <f t="shared" si="25"/>
        <v>244.40077825002146</v>
      </c>
      <c r="AA55" s="23">
        <f t="shared" si="25"/>
        <v>256.62081716252254</v>
      </c>
      <c r="AB55" s="23">
        <f t="shared" si="25"/>
        <v>269.45185802064867</v>
      </c>
      <c r="AC55" s="23">
        <f t="shared" si="25"/>
        <v>282.92445092168111</v>
      </c>
      <c r="AD55" s="23">
        <f t="shared" si="25"/>
        <v>297.07067346776518</v>
      </c>
      <c r="AE55" s="23">
        <f t="shared" si="25"/>
        <v>311.92420714115343</v>
      </c>
      <c r="AF55" s="23">
        <f t="shared" si="25"/>
        <v>327.52041749821109</v>
      </c>
      <c r="AG55" s="23"/>
      <c r="AH55" s="123"/>
      <c r="AI55" s="23">
        <f t="shared" si="17"/>
        <v>1697.2630972829436</v>
      </c>
      <c r="AJ55" s="23">
        <f t="shared" si="18"/>
        <v>3048.0406701794873</v>
      </c>
      <c r="AK55" s="24">
        <f>AJ55*1.15</f>
        <v>3505.2467707064102</v>
      </c>
    </row>
    <row r="56" spans="2:37">
      <c r="C56" t="s">
        <v>104</v>
      </c>
      <c r="E56" s="52">
        <v>0.05</v>
      </c>
      <c r="F56" s="21">
        <v>94</v>
      </c>
      <c r="G56" s="21">
        <f>(F56/8)*12</f>
        <v>141</v>
      </c>
      <c r="H56" s="151">
        <f t="shared" si="15"/>
        <v>11.75</v>
      </c>
      <c r="I56" s="23">
        <f t="shared" si="19"/>
        <v>11.75</v>
      </c>
      <c r="J56" s="23">
        <f t="shared" ref="J56:AF56" si="26">I56*(1+$E56)</f>
        <v>12.3375</v>
      </c>
      <c r="K56" s="23">
        <f t="shared" si="26"/>
        <v>12.954375000000001</v>
      </c>
      <c r="L56" s="23">
        <f t="shared" si="26"/>
        <v>13.602093750000002</v>
      </c>
      <c r="M56" s="23">
        <f t="shared" si="26"/>
        <v>14.282198437500002</v>
      </c>
      <c r="N56" s="23">
        <f t="shared" si="26"/>
        <v>14.996308359375002</v>
      </c>
      <c r="O56" s="23">
        <f t="shared" si="26"/>
        <v>15.746123777343753</v>
      </c>
      <c r="P56" s="23">
        <f t="shared" si="26"/>
        <v>16.533429966210942</v>
      </c>
      <c r="Q56" s="23">
        <f t="shared" si="26"/>
        <v>17.360101464521492</v>
      </c>
      <c r="R56" s="23">
        <f t="shared" si="26"/>
        <v>18.228106537747568</v>
      </c>
      <c r="S56" s="23">
        <f t="shared" si="26"/>
        <v>19.139511864634947</v>
      </c>
      <c r="T56" s="23">
        <f t="shared" si="26"/>
        <v>20.096487457866697</v>
      </c>
      <c r="U56" s="132">
        <f t="shared" si="26"/>
        <v>21.101311830760032</v>
      </c>
      <c r="V56" s="23">
        <f t="shared" si="26"/>
        <v>22.156377422298036</v>
      </c>
      <c r="W56" s="23">
        <f t="shared" si="26"/>
        <v>23.264196293412937</v>
      </c>
      <c r="X56" s="23">
        <f t="shared" si="26"/>
        <v>24.427406108083584</v>
      </c>
      <c r="Y56" s="23">
        <f t="shared" si="26"/>
        <v>25.648776413487763</v>
      </c>
      <c r="Z56" s="23">
        <f t="shared" si="26"/>
        <v>26.931215234162153</v>
      </c>
      <c r="AA56" s="23">
        <f t="shared" si="26"/>
        <v>28.277775995870261</v>
      </c>
      <c r="AB56" s="23">
        <f t="shared" si="26"/>
        <v>29.691664795663776</v>
      </c>
      <c r="AC56" s="23">
        <f t="shared" si="26"/>
        <v>31.176248035446967</v>
      </c>
      <c r="AD56" s="23">
        <f t="shared" si="26"/>
        <v>32.735060437219317</v>
      </c>
      <c r="AE56" s="23">
        <f t="shared" si="26"/>
        <v>34.371813459080286</v>
      </c>
      <c r="AF56" s="23">
        <f t="shared" si="26"/>
        <v>36.090404132034301</v>
      </c>
      <c r="AG56" s="23"/>
      <c r="AH56" s="123"/>
      <c r="AI56" s="23">
        <f t="shared" si="17"/>
        <v>187.02623661520042</v>
      </c>
      <c r="AJ56" s="23">
        <f t="shared" si="18"/>
        <v>335.87225015751937</v>
      </c>
      <c r="AK56" s="24">
        <f>AJ56*1.15</f>
        <v>386.25308768114724</v>
      </c>
    </row>
    <row r="57" spans="2:37" s="1" customFormat="1">
      <c r="B57" s="404" t="s">
        <v>107</v>
      </c>
      <c r="C57" s="404"/>
      <c r="D57" s="404"/>
      <c r="E57" s="405"/>
      <c r="F57" s="406">
        <f t="shared" ref="F57:AF57" si="27">SUM(F37:F56)</f>
        <v>353662.31000000006</v>
      </c>
      <c r="G57" s="406">
        <f t="shared" si="27"/>
        <v>530493.46499999985</v>
      </c>
      <c r="H57" s="407">
        <f t="shared" si="27"/>
        <v>44207.788750000007</v>
      </c>
      <c r="I57" s="406">
        <f t="shared" si="27"/>
        <v>57464.542917257684</v>
      </c>
      <c r="J57" s="406">
        <f t="shared" si="27"/>
        <v>77398.576977206787</v>
      </c>
      <c r="K57" s="406">
        <f t="shared" si="27"/>
        <v>90297.305186745609</v>
      </c>
      <c r="L57" s="406">
        <f t="shared" si="27"/>
        <v>91507.513167937388</v>
      </c>
      <c r="M57" s="406">
        <f t="shared" si="27"/>
        <v>94623.271344660345</v>
      </c>
      <c r="N57" s="406">
        <f t="shared" si="27"/>
        <v>101164.88911495957</v>
      </c>
      <c r="O57" s="406">
        <f t="shared" si="27"/>
        <v>105877.38378347448</v>
      </c>
      <c r="P57" s="406">
        <f t="shared" si="27"/>
        <v>97187.375920073406</v>
      </c>
      <c r="Q57" s="406">
        <f t="shared" si="27"/>
        <v>96419.274573860923</v>
      </c>
      <c r="R57" s="406">
        <f t="shared" si="27"/>
        <v>99441.748917404897</v>
      </c>
      <c r="S57" s="406">
        <f t="shared" si="27"/>
        <v>99020.849461040241</v>
      </c>
      <c r="T57" s="406">
        <f t="shared" si="27"/>
        <v>99533.048872175379</v>
      </c>
      <c r="U57" s="408">
        <f t="shared" si="27"/>
        <v>123605.17147311149</v>
      </c>
      <c r="V57" s="406">
        <f t="shared" si="27"/>
        <v>121070.11005830747</v>
      </c>
      <c r="W57" s="406">
        <f t="shared" si="27"/>
        <v>121014.66760163005</v>
      </c>
      <c r="X57" s="406">
        <f t="shared" si="27"/>
        <v>125499.5717168042</v>
      </c>
      <c r="Y57" s="406">
        <f t="shared" si="27"/>
        <v>123592.69834662085</v>
      </c>
      <c r="Z57" s="406">
        <f t="shared" si="27"/>
        <v>124946.83312955417</v>
      </c>
      <c r="AA57" s="406">
        <f t="shared" si="27"/>
        <v>128245.15622628204</v>
      </c>
      <c r="AB57" s="406">
        <f t="shared" si="27"/>
        <v>128259.41571334997</v>
      </c>
      <c r="AC57" s="406">
        <f t="shared" si="27"/>
        <v>129438.20599425281</v>
      </c>
      <c r="AD57" s="406">
        <f t="shared" si="27"/>
        <v>132853.40989797644</v>
      </c>
      <c r="AE57" s="406">
        <f t="shared" si="27"/>
        <v>131958.17398498688</v>
      </c>
      <c r="AF57" s="406">
        <f t="shared" si="27"/>
        <v>132948.17764980518</v>
      </c>
      <c r="AG57" s="406"/>
      <c r="AH57" s="409"/>
      <c r="AI57" s="406">
        <f t="shared" si="17"/>
        <v>1109935.7802367967</v>
      </c>
      <c r="AJ57" s="406">
        <f t="shared" si="18"/>
        <v>1523431.5917926817</v>
      </c>
      <c r="AK57" s="410">
        <f>SUM(AK37:AK56)</f>
        <v>1907192.4600705046</v>
      </c>
    </row>
    <row r="58" spans="2:37">
      <c r="F58" s="21"/>
      <c r="G58" s="21"/>
      <c r="H58" s="151"/>
      <c r="I58" s="23"/>
      <c r="J58" s="21"/>
      <c r="K58" s="21"/>
      <c r="L58" s="21"/>
      <c r="M58" s="21"/>
      <c r="N58" s="21"/>
      <c r="O58" s="21"/>
      <c r="P58" s="21"/>
      <c r="Q58" s="21"/>
      <c r="R58" s="21"/>
      <c r="S58" s="21"/>
      <c r="T58" s="21"/>
      <c r="U58" s="132"/>
      <c r="V58" s="21"/>
      <c r="W58" s="21"/>
      <c r="X58" s="21"/>
      <c r="Y58" s="21"/>
      <c r="Z58" s="21"/>
      <c r="AA58" s="21"/>
      <c r="AB58" s="21"/>
      <c r="AC58" s="21"/>
      <c r="AD58" s="21"/>
      <c r="AE58" s="21"/>
      <c r="AF58" s="21"/>
      <c r="AG58" s="21"/>
      <c r="AH58" s="123"/>
      <c r="AI58" s="21"/>
      <c r="AJ58" s="21"/>
      <c r="AK58" s="24"/>
    </row>
    <row r="59" spans="2:37" s="1" customFormat="1" ht="16" thickBot="1">
      <c r="B59" s="38" t="s">
        <v>108</v>
      </c>
      <c r="C59" s="38"/>
      <c r="D59" s="38"/>
      <c r="E59" s="159"/>
      <c r="F59" s="39">
        <f t="shared" ref="F59:AF59" si="28">F34-F57</f>
        <v>-534814.17500000005</v>
      </c>
      <c r="G59" s="39">
        <f t="shared" si="28"/>
        <v>-765777.73510638298</v>
      </c>
      <c r="H59" s="155">
        <f t="shared" si="28"/>
        <v>-62431.47792553193</v>
      </c>
      <c r="I59" s="39">
        <f t="shared" si="28"/>
        <v>-54656.995241668985</v>
      </c>
      <c r="J59" s="39">
        <f t="shared" si="28"/>
        <v>-64749.759207848227</v>
      </c>
      <c r="K59" s="39">
        <f t="shared" si="28"/>
        <v>-71367.422295573764</v>
      </c>
      <c r="L59" s="39">
        <f t="shared" si="28"/>
        <v>-60007.362056092548</v>
      </c>
      <c r="M59" s="39">
        <f t="shared" si="28"/>
        <v>-54513.460672335423</v>
      </c>
      <c r="N59" s="39">
        <f t="shared" si="28"/>
        <v>-46866.061725544336</v>
      </c>
      <c r="O59" s="39">
        <f t="shared" si="28"/>
        <v>-37763.833328152366</v>
      </c>
      <c r="P59" s="39">
        <f t="shared" si="28"/>
        <v>-27939.705908847696</v>
      </c>
      <c r="Q59" s="39">
        <f t="shared" si="28"/>
        <v>-21296.114294375031</v>
      </c>
      <c r="R59" s="39">
        <f t="shared" si="28"/>
        <v>-22573.024348397681</v>
      </c>
      <c r="S59" s="39">
        <f t="shared" si="28"/>
        <v>-15455.697556917439</v>
      </c>
      <c r="T59" s="39">
        <f t="shared" si="28"/>
        <v>-9475.4701618879044</v>
      </c>
      <c r="U59" s="137">
        <f t="shared" si="28"/>
        <v>-35162.692204313324</v>
      </c>
      <c r="V59" s="39">
        <f t="shared" si="28"/>
        <v>-25104.243816351052</v>
      </c>
      <c r="W59" s="39">
        <f t="shared" si="28"/>
        <v>-18225.970271261715</v>
      </c>
      <c r="X59" s="39">
        <f t="shared" si="28"/>
        <v>-19101.721839306789</v>
      </c>
      <c r="Y59" s="39">
        <f t="shared" si="28"/>
        <v>-9889.490199069478</v>
      </c>
      <c r="Z59" s="39">
        <f t="shared" si="28"/>
        <v>-3696.7823870469583</v>
      </c>
      <c r="AA59" s="39">
        <f t="shared" si="28"/>
        <v>-3629.2578624724119</v>
      </c>
      <c r="AB59" s="39">
        <f t="shared" si="28"/>
        <v>4726.7782602398656</v>
      </c>
      <c r="AC59" s="39">
        <f t="shared" si="28"/>
        <v>11924.834155731514</v>
      </c>
      <c r="AD59" s="39">
        <f t="shared" si="28"/>
        <v>12679.805142743804</v>
      </c>
      <c r="AE59" s="39">
        <f t="shared" si="28"/>
        <v>21965.483751956839</v>
      </c>
      <c r="AF59" s="39">
        <f t="shared" si="28"/>
        <v>29111.419835356617</v>
      </c>
      <c r="AG59" s="39"/>
      <c r="AH59" s="126"/>
      <c r="AI59" s="39">
        <f>SUM(I59:T59)</f>
        <v>-486664.90679764131</v>
      </c>
      <c r="AJ59" s="39">
        <f>SUM(U59:AF59)</f>
        <v>-34401.837433793087</v>
      </c>
      <c r="AK59" s="40">
        <f>AK34-AK57</f>
        <v>310841.90107976436</v>
      </c>
    </row>
    <row r="60" spans="2:37" ht="16" thickTop="1">
      <c r="F60" s="21"/>
      <c r="G60" s="21"/>
      <c r="H60" s="151"/>
      <c r="I60" s="23"/>
      <c r="J60" s="21"/>
      <c r="K60" s="21"/>
      <c r="L60" s="21"/>
      <c r="M60" s="21"/>
      <c r="N60" s="21"/>
      <c r="O60" s="21"/>
      <c r="P60" s="21"/>
      <c r="Q60" s="21"/>
      <c r="R60" s="21"/>
      <c r="S60" s="21"/>
      <c r="T60" s="21"/>
      <c r="U60" s="132"/>
      <c r="V60" s="21"/>
      <c r="W60" s="21"/>
      <c r="X60" s="21"/>
      <c r="Y60" s="21"/>
      <c r="Z60" s="21"/>
      <c r="AA60" s="21"/>
      <c r="AB60" s="21"/>
      <c r="AC60" s="21"/>
      <c r="AD60" s="21"/>
      <c r="AE60" s="21"/>
      <c r="AF60" s="21"/>
      <c r="AG60" s="21"/>
      <c r="AH60" s="123"/>
      <c r="AK60" s="24"/>
    </row>
    <row r="61" spans="2:37">
      <c r="B61" t="s">
        <v>157</v>
      </c>
      <c r="F61" s="21"/>
      <c r="G61" s="21"/>
      <c r="H61" s="151"/>
      <c r="I61" s="23"/>
      <c r="J61" s="21"/>
      <c r="K61" s="21"/>
      <c r="L61" s="21"/>
      <c r="M61" s="21"/>
      <c r="N61" s="21"/>
      <c r="O61" s="21"/>
      <c r="P61" s="21"/>
      <c r="Q61" s="21"/>
      <c r="R61" s="21"/>
      <c r="S61" s="21"/>
      <c r="T61" s="21"/>
      <c r="U61" s="132"/>
      <c r="V61" s="21"/>
      <c r="W61" s="21"/>
      <c r="X61" s="21"/>
      <c r="Y61" s="21"/>
      <c r="Z61" s="21"/>
      <c r="AA61" s="21"/>
      <c r="AB61" s="21"/>
      <c r="AC61" s="21"/>
      <c r="AD61" s="21"/>
      <c r="AE61" s="21"/>
      <c r="AF61" s="21"/>
      <c r="AG61" s="21"/>
      <c r="AH61" s="123"/>
      <c r="AK61" s="24"/>
    </row>
    <row r="62" spans="2:37">
      <c r="C62" t="s">
        <v>158</v>
      </c>
      <c r="F62" s="21"/>
      <c r="G62" s="21"/>
      <c r="H62" s="151"/>
      <c r="I62" s="23">
        <v>0</v>
      </c>
      <c r="J62" s="21">
        <f>('Salon Schedule'!I43-'Salon Schedule'!H43)*'Salon Model'!$F$10</f>
        <v>0</v>
      </c>
      <c r="K62" s="21">
        <f>('Salon Schedule'!J43-'Salon Schedule'!I43)*'Salon Model'!$F$10</f>
        <v>50000</v>
      </c>
      <c r="L62" s="21">
        <f>('Salon Schedule'!K43-'Salon Schedule'!J43)*'Salon Model'!$F$10</f>
        <v>0</v>
      </c>
      <c r="M62" s="21">
        <f>('Salon Schedule'!L43-'Salon Schedule'!K43)*'Salon Model'!$F$10</f>
        <v>50000</v>
      </c>
      <c r="N62" s="21">
        <f>('Salon Schedule'!M43-'Salon Schedule'!L43)*'Salon Model'!$F$10</f>
        <v>0</v>
      </c>
      <c r="O62" s="21">
        <f>('Salon Schedule'!N43-'Salon Schedule'!M43)*'Salon Model'!$F$10</f>
        <v>0</v>
      </c>
      <c r="P62" s="21">
        <f>('Salon Schedule'!O43-'Salon Schedule'!N43)*'Salon Model'!$F$10</f>
        <v>50000</v>
      </c>
      <c r="Q62" s="21">
        <f>('Salon Schedule'!P43-'Salon Schedule'!O43)*'Salon Model'!$F$10</f>
        <v>0</v>
      </c>
      <c r="R62" s="21">
        <f>('Salon Schedule'!Q43-'Salon Schedule'!P43)*'Salon Model'!$F$10</f>
        <v>50000</v>
      </c>
      <c r="S62" s="21">
        <f>('Salon Schedule'!R43-'Salon Schedule'!Q43)*'Salon Model'!$F$10</f>
        <v>0</v>
      </c>
      <c r="T62" s="21">
        <f>('Salon Schedule'!S43-'Salon Schedule'!R43)*'Salon Model'!$F$10</f>
        <v>0</v>
      </c>
      <c r="U62" s="132">
        <f>('Salon Schedule'!T43-'Salon Schedule'!S43)*'Salon Model'!$F$10</f>
        <v>100000</v>
      </c>
      <c r="V62" s="21">
        <f>('Salon Schedule'!U43-'Salon Schedule'!T43)*'Salon Model'!$F$10</f>
        <v>0</v>
      </c>
      <c r="W62" s="21">
        <f>('Salon Schedule'!V43-'Salon Schedule'!U43)*'Salon Model'!$F$10</f>
        <v>0</v>
      </c>
      <c r="X62" s="21">
        <f>('Salon Schedule'!W43-'Salon Schedule'!V43)*'Salon Model'!$F$10</f>
        <v>50000</v>
      </c>
      <c r="Y62" s="21">
        <f>('Salon Schedule'!X43-'Salon Schedule'!W43)*'Salon Model'!$F$10</f>
        <v>0</v>
      </c>
      <c r="Z62" s="21">
        <f>('Salon Schedule'!Y43-'Salon Schedule'!X43)*'Salon Model'!$F$10</f>
        <v>0</v>
      </c>
      <c r="AA62" s="21">
        <f>('Salon Schedule'!Z43-'Salon Schedule'!Y43)*'Salon Model'!$F$10</f>
        <v>50000</v>
      </c>
      <c r="AB62" s="21">
        <f>('Salon Schedule'!AA43-'Salon Schedule'!Z43)*'Salon Model'!$F$10</f>
        <v>0</v>
      </c>
      <c r="AC62" s="21">
        <f>('Salon Schedule'!AB43-'Salon Schedule'!AA43)*'Salon Model'!$F$10</f>
        <v>0</v>
      </c>
      <c r="AD62" s="21">
        <f>('Salon Schedule'!AC43-'Salon Schedule'!AB43)*'Salon Model'!$F$10</f>
        <v>50000</v>
      </c>
      <c r="AE62" s="21">
        <f>('Salon Schedule'!AD43-'Salon Schedule'!AC43)*'Salon Model'!$F$10</f>
        <v>0</v>
      </c>
      <c r="AF62" s="21">
        <f>('Salon Schedule'!AE43-'Salon Schedule'!AD43)*'Salon Model'!$F$10</f>
        <v>0</v>
      </c>
      <c r="AG62" s="21"/>
      <c r="AH62" s="123"/>
      <c r="AI62" s="23">
        <f>SUM(I62:T62)</f>
        <v>200000</v>
      </c>
      <c r="AJ62" s="23">
        <f>SUM(U62:AF62)</f>
        <v>250000</v>
      </c>
      <c r="AK62" s="21">
        <f>('Salon Schedule'!AF43-'Salon Schedule'!AE43)*'Salon Model'!F10</f>
        <v>200000</v>
      </c>
    </row>
    <row r="63" spans="2:37">
      <c r="H63" s="146"/>
      <c r="I63" s="16"/>
      <c r="U63" s="129"/>
      <c r="AH63" s="123"/>
      <c r="AI63" s="23"/>
      <c r="AK63" s="24"/>
    </row>
    <row r="64" spans="2:37">
      <c r="B64" t="s">
        <v>159</v>
      </c>
      <c r="H64" s="146"/>
      <c r="I64" s="145">
        <f t="shared" ref="I64:AF64" si="29">I59-I62</f>
        <v>-54656.995241668985</v>
      </c>
      <c r="J64" s="24">
        <f t="shared" si="29"/>
        <v>-64749.759207848227</v>
      </c>
      <c r="K64" s="24">
        <f t="shared" si="29"/>
        <v>-121367.42229557376</v>
      </c>
      <c r="L64" s="24">
        <f t="shared" si="29"/>
        <v>-60007.362056092548</v>
      </c>
      <c r="M64" s="24">
        <f t="shared" si="29"/>
        <v>-104513.46067233542</v>
      </c>
      <c r="N64" s="24">
        <f t="shared" si="29"/>
        <v>-46866.061725544336</v>
      </c>
      <c r="O64" s="24">
        <f t="shared" si="29"/>
        <v>-37763.833328152366</v>
      </c>
      <c r="P64" s="24">
        <f t="shared" si="29"/>
        <v>-77939.705908847696</v>
      </c>
      <c r="Q64" s="24">
        <f t="shared" si="29"/>
        <v>-21296.114294375031</v>
      </c>
      <c r="R64" s="24">
        <f t="shared" si="29"/>
        <v>-72573.024348397681</v>
      </c>
      <c r="S64" s="24">
        <f t="shared" si="29"/>
        <v>-15455.697556917439</v>
      </c>
      <c r="T64" s="24">
        <f t="shared" si="29"/>
        <v>-9475.4701618879044</v>
      </c>
      <c r="U64" s="138">
        <f t="shared" si="29"/>
        <v>-135162.69220431332</v>
      </c>
      <c r="V64" s="24">
        <f t="shared" si="29"/>
        <v>-25104.243816351052</v>
      </c>
      <c r="W64" s="24">
        <f t="shared" si="29"/>
        <v>-18225.970271261715</v>
      </c>
      <c r="X64" s="24">
        <f t="shared" si="29"/>
        <v>-69101.721839306789</v>
      </c>
      <c r="Y64" s="24">
        <f t="shared" si="29"/>
        <v>-9889.490199069478</v>
      </c>
      <c r="Z64" s="24">
        <f t="shared" si="29"/>
        <v>-3696.7823870469583</v>
      </c>
      <c r="AA64" s="24">
        <f t="shared" si="29"/>
        <v>-53629.257862472412</v>
      </c>
      <c r="AB64" s="24">
        <f t="shared" si="29"/>
        <v>4726.7782602398656</v>
      </c>
      <c r="AC64" s="24">
        <f t="shared" si="29"/>
        <v>11924.834155731514</v>
      </c>
      <c r="AD64" s="24">
        <f t="shared" si="29"/>
        <v>-37320.194857256196</v>
      </c>
      <c r="AE64" s="24">
        <f t="shared" si="29"/>
        <v>21965.483751956839</v>
      </c>
      <c r="AF64" s="24">
        <f t="shared" si="29"/>
        <v>29111.419835356617</v>
      </c>
      <c r="AG64" s="24"/>
      <c r="AH64" s="123"/>
      <c r="AI64" s="23">
        <f>SUM(I64:T64)</f>
        <v>-686664.90679764142</v>
      </c>
      <c r="AJ64" s="23">
        <f>SUM(U64:AF64)</f>
        <v>-284401.83743379312</v>
      </c>
      <c r="AK64" s="24">
        <f>AK59-AK62</f>
        <v>110841.90107976436</v>
      </c>
    </row>
    <row r="65" spans="2:37" ht="5" customHeight="1">
      <c r="H65" s="146"/>
      <c r="I65" s="16"/>
      <c r="U65" s="129"/>
      <c r="AH65" s="123"/>
      <c r="AI65" s="23"/>
      <c r="AK65" s="24"/>
    </row>
    <row r="66" spans="2:37" s="1" customFormat="1">
      <c r="B66" s="1" t="s">
        <v>161</v>
      </c>
      <c r="E66" s="2"/>
      <c r="G66" s="199" t="s">
        <v>205</v>
      </c>
      <c r="H66" s="200">
        <f>ROUNDUP(-SUMIF(I64:AF64,"&lt;0")*1.1,-5)</f>
        <v>1200000</v>
      </c>
      <c r="I66" s="172">
        <f>H66+I64</f>
        <v>1145343.004758331</v>
      </c>
      <c r="J66" s="35">
        <f>I66+J64</f>
        <v>1080593.2455504828</v>
      </c>
      <c r="K66" s="35">
        <f>J66+K64</f>
        <v>959225.82325490902</v>
      </c>
      <c r="L66" s="35">
        <f>K66+L64</f>
        <v>899218.46119881643</v>
      </c>
      <c r="M66" s="35">
        <f>L66+M64</f>
        <v>794705.00052648096</v>
      </c>
      <c r="N66" s="35">
        <f t="shared" ref="N66:T66" si="30">M66+N64</f>
        <v>747838.93880093656</v>
      </c>
      <c r="O66" s="35">
        <f t="shared" si="30"/>
        <v>710075.10547278426</v>
      </c>
      <c r="P66" s="35">
        <f t="shared" si="30"/>
        <v>632135.39956393652</v>
      </c>
      <c r="Q66" s="35">
        <f t="shared" si="30"/>
        <v>610839.28526956146</v>
      </c>
      <c r="R66" s="35">
        <f t="shared" si="30"/>
        <v>538266.26092116372</v>
      </c>
      <c r="S66" s="35">
        <f t="shared" si="30"/>
        <v>522810.56336424628</v>
      </c>
      <c r="T66" s="35">
        <f t="shared" si="30"/>
        <v>513335.09320235834</v>
      </c>
      <c r="U66" s="372">
        <f>T66+U64</f>
        <v>378172.40099804499</v>
      </c>
      <c r="V66" s="198">
        <f t="shared" ref="V66:AF66" si="31">U66+V64</f>
        <v>353068.15718169394</v>
      </c>
      <c r="W66" s="198">
        <f t="shared" si="31"/>
        <v>334842.18691043224</v>
      </c>
      <c r="X66" s="198">
        <f t="shared" si="31"/>
        <v>265740.46507112542</v>
      </c>
      <c r="Y66" s="198">
        <f t="shared" si="31"/>
        <v>255850.97487205593</v>
      </c>
      <c r="Z66" s="198">
        <f t="shared" si="31"/>
        <v>252154.19248500897</v>
      </c>
      <c r="AA66" s="198">
        <f t="shared" si="31"/>
        <v>198524.93462253656</v>
      </c>
      <c r="AB66" s="198">
        <f t="shared" si="31"/>
        <v>203251.71288277642</v>
      </c>
      <c r="AC66" s="198">
        <f t="shared" si="31"/>
        <v>215176.54703850794</v>
      </c>
      <c r="AD66" s="198">
        <f t="shared" si="31"/>
        <v>177856.35218125174</v>
      </c>
      <c r="AE66" s="198">
        <f t="shared" si="31"/>
        <v>199821.83593320858</v>
      </c>
      <c r="AF66" s="198">
        <f t="shared" si="31"/>
        <v>228933.2557685652</v>
      </c>
      <c r="AG66" s="121"/>
      <c r="AH66" s="127"/>
      <c r="AI66" s="122">
        <f>T66</f>
        <v>513335.09320235834</v>
      </c>
      <c r="AJ66" s="121">
        <f>AF66</f>
        <v>228933.2557685652</v>
      </c>
      <c r="AK66" s="35">
        <f>AJ66+AK64</f>
        <v>339775.15684832959</v>
      </c>
    </row>
    <row r="67" spans="2:37">
      <c r="G67" s="197" t="s">
        <v>204</v>
      </c>
      <c r="H67" s="49"/>
    </row>
  </sheetData>
  <pageMargins left="0.75" right="0.75" top="1" bottom="1" header="0.5" footer="0.5"/>
  <pageSetup orientation="portrait" horizontalDpi="4294967292" verticalDpi="4294967292"/>
  <ignoredErrors>
    <ignoredError sqref="H8 AI8:AK8 J50:AF50" formula="1"/>
    <ignoredError sqref="F57 G57:AF57 AK57" emptyCellReferenc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Notice</vt:lpstr>
      <vt:lpstr>Estimated Statements</vt:lpstr>
      <vt:lpstr>Consolidated CF</vt:lpstr>
      <vt:lpstr>Consolidated P&amp;L</vt:lpstr>
      <vt:lpstr>Salon Model</vt:lpstr>
      <vt:lpstr>Salon Schedule</vt:lpstr>
      <vt:lpstr>Salaries</vt:lpstr>
      <vt:lpstr>Event Model</vt:lpstr>
      <vt:lpstr>Pro Forma Income Statment</vt:lpstr>
      <vt:lpstr>Member Counts</vt:lpstr>
      <vt:lpstr>Paid Appointment Counts</vt:lpstr>
      <vt:lpstr>CAC Estimate</vt:lpstr>
    </vt:vector>
  </TitlesOfParts>
  <Company>Peter Pan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Paul</dc:creator>
  <cp:lastModifiedBy>Eric Phelan</cp:lastModifiedBy>
  <dcterms:created xsi:type="dcterms:W3CDTF">2016-11-08T16:55:54Z</dcterms:created>
  <dcterms:modified xsi:type="dcterms:W3CDTF">2017-11-14T10:46:01Z</dcterms:modified>
</cp:coreProperties>
</file>