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0" yWindow="0" windowWidth="34780" windowHeight="19340" tabRatio="767"/>
  </bookViews>
  <sheets>
    <sheet name="Notice" sheetId="21" r:id="rId1"/>
    <sheet name="Pro Forma" sheetId="13" r:id="rId2"/>
    <sheet name="Staffing" sheetId="15" r:id="rId3"/>
    <sheet name="Revenue Model" sheetId="12" r:id="rId4"/>
    <sheet name="Balance Sheet" sheetId="20" r:id="rId5"/>
    <sheet name="Cap Table" sheetId="19" r:id="rId6"/>
    <sheet name="The Deal" sheetId="17" r:id="rId7"/>
    <sheet name="Market Sizing" sheetId="1" r:id="rId8"/>
    <sheet name="College Costs" sheetId="2" r:id="rId9"/>
    <sheet name="CPC Rates" sheetId="18" r:id="rId10"/>
    <sheet name="Usage Stats" sheetId="14" r:id="rId11"/>
    <sheet name="Competitive Landscape" sheetId="8" r:id="rId12"/>
  </sheets>
  <definedNames>
    <definedName name="_xlnm.Print_Area" localSheetId="4">'Balance Sheet'!$B$2:$H$16</definedName>
    <definedName name="_xlnm.Print_Area" localSheetId="5">'Cap Table'!$B$2:$L$15</definedName>
    <definedName name="_xlnm.Print_Area" localSheetId="8">'College Costs'!$B$2:$J$19</definedName>
    <definedName name="_xlnm.Print_Area" localSheetId="11">'Competitive Landscape'!$B$2:$S$26</definedName>
    <definedName name="_xlnm.Print_Area" localSheetId="9">'CPC Rates'!$B$2:$F$14</definedName>
    <definedName name="_xlnm.Print_Area" localSheetId="7">'Market Sizing'!$B$2:$M$43</definedName>
    <definedName name="_xlnm.Print_Area" localSheetId="1">'Pro Forma'!$A$1:$AH$47</definedName>
    <definedName name="_xlnm.Print_Area" localSheetId="3">'Revenue Model'!$B$2:$G$35</definedName>
    <definedName name="_xlnm.Print_Area" localSheetId="2">Staffing!$A$1:$AL$85</definedName>
    <definedName name="_xlnm.Print_Area" localSheetId="6">'The Deal'!$B$1:$J$18</definedName>
    <definedName name="_xlnm.Print_Area" localSheetId="10">'Usage Stats'!$A$2:$I$15</definedName>
    <definedName name="_xlnm.Print_Area">#REF!</definedName>
    <definedName name="PRINT_AREA_MI">#REF!</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73" i="15" l="1"/>
  <c r="K73" i="15"/>
  <c r="L73" i="15"/>
  <c r="M73" i="15"/>
  <c r="N73" i="15"/>
  <c r="O73" i="15"/>
  <c r="P73" i="15"/>
  <c r="Q73" i="15"/>
  <c r="R73" i="15"/>
  <c r="S73" i="15"/>
  <c r="T73" i="15"/>
  <c r="U73" i="15"/>
  <c r="V73" i="15"/>
  <c r="W73" i="15"/>
  <c r="X73" i="15"/>
  <c r="Y73" i="15"/>
  <c r="Z73" i="15"/>
  <c r="AA73" i="15"/>
  <c r="AB73" i="15"/>
  <c r="AC73" i="15"/>
  <c r="AD73" i="15"/>
  <c r="AE73" i="15"/>
  <c r="I73" i="15"/>
  <c r="J74" i="15"/>
  <c r="J67" i="15"/>
  <c r="K74" i="15"/>
  <c r="K67" i="15"/>
  <c r="L74" i="15"/>
  <c r="L67" i="15"/>
  <c r="M74" i="15"/>
  <c r="M67" i="15"/>
  <c r="N74" i="15"/>
  <c r="N67" i="15"/>
  <c r="O74" i="15"/>
  <c r="O67" i="15"/>
  <c r="P74" i="15"/>
  <c r="P67" i="15"/>
  <c r="Q74" i="15"/>
  <c r="Q67" i="15"/>
  <c r="R74" i="15"/>
  <c r="R67" i="15"/>
  <c r="S74" i="15"/>
  <c r="S67" i="15"/>
  <c r="T74" i="15"/>
  <c r="T67" i="15"/>
  <c r="U74" i="15"/>
  <c r="U67" i="15"/>
  <c r="V74" i="15"/>
  <c r="V67" i="15"/>
  <c r="W74" i="15"/>
  <c r="W67" i="15"/>
  <c r="X74" i="15"/>
  <c r="X67" i="15"/>
  <c r="Y74" i="15"/>
  <c r="Y67" i="15"/>
  <c r="Z74" i="15"/>
  <c r="Z67" i="15"/>
  <c r="AA74" i="15"/>
  <c r="AA67" i="15"/>
  <c r="AB74" i="15"/>
  <c r="AB67" i="15"/>
  <c r="AC74" i="15"/>
  <c r="AC67" i="15"/>
  <c r="AD74" i="15"/>
  <c r="AD67" i="15"/>
  <c r="AE74" i="15"/>
  <c r="AE67" i="15"/>
  <c r="I74" i="15"/>
  <c r="I67" i="15"/>
  <c r="AJ49" i="15"/>
  <c r="AK49" i="15"/>
  <c r="AI49" i="15"/>
  <c r="I49" i="15"/>
  <c r="J49" i="15"/>
  <c r="K49" i="15"/>
  <c r="L49" i="15"/>
  <c r="M49" i="15"/>
  <c r="N49" i="15"/>
  <c r="O49" i="15"/>
  <c r="P49" i="15"/>
  <c r="Q49" i="15"/>
  <c r="R49" i="15"/>
  <c r="S49" i="15"/>
  <c r="T49" i="15"/>
  <c r="U49" i="15"/>
  <c r="V49" i="15"/>
  <c r="W49" i="15"/>
  <c r="X49" i="15"/>
  <c r="Y49" i="15"/>
  <c r="Z49" i="15"/>
  <c r="AA49" i="15"/>
  <c r="AB49" i="15"/>
  <c r="AC49" i="15"/>
  <c r="AD49" i="15"/>
  <c r="AE49" i="15"/>
  <c r="H49" i="15"/>
  <c r="AJ23" i="15"/>
  <c r="AK23" i="15"/>
  <c r="AI23" i="15"/>
  <c r="AJ31" i="15"/>
  <c r="AK31" i="15"/>
  <c r="AI31" i="15"/>
  <c r="I31" i="15"/>
  <c r="J31" i="15"/>
  <c r="K31" i="15"/>
  <c r="L31" i="15"/>
  <c r="M31" i="15"/>
  <c r="N31" i="15"/>
  <c r="O31" i="15"/>
  <c r="P31" i="15"/>
  <c r="Q31" i="15"/>
  <c r="R31" i="15"/>
  <c r="S31" i="15"/>
  <c r="T31" i="15"/>
  <c r="U31" i="15"/>
  <c r="V31" i="15"/>
  <c r="W31" i="15"/>
  <c r="X31" i="15"/>
  <c r="Y31" i="15"/>
  <c r="Z31" i="15"/>
  <c r="AA31" i="15"/>
  <c r="AB31" i="15"/>
  <c r="AC31" i="15"/>
  <c r="AD31" i="15"/>
  <c r="AE31" i="15"/>
  <c r="H31" i="15"/>
  <c r="I23" i="15"/>
  <c r="J23" i="15"/>
  <c r="K23" i="15"/>
  <c r="L23" i="15"/>
  <c r="M23" i="15"/>
  <c r="N23" i="15"/>
  <c r="O23" i="15"/>
  <c r="P23" i="15"/>
  <c r="Q23" i="15"/>
  <c r="R23" i="15"/>
  <c r="S23" i="15"/>
  <c r="T23" i="15"/>
  <c r="U23" i="15"/>
  <c r="V23" i="15"/>
  <c r="W23" i="15"/>
  <c r="X23" i="15"/>
  <c r="Y23" i="15"/>
  <c r="Z23" i="15"/>
  <c r="AA23" i="15"/>
  <c r="AB23" i="15"/>
  <c r="AC23" i="15"/>
  <c r="AD23" i="15"/>
  <c r="AE23" i="15"/>
  <c r="H23" i="15"/>
  <c r="AH31" i="15"/>
  <c r="P2" i="13"/>
  <c r="P5" i="13"/>
  <c r="Q5" i="13"/>
  <c r="R5" i="13"/>
  <c r="S5" i="13"/>
  <c r="T5" i="13"/>
  <c r="U5" i="13"/>
  <c r="V5" i="13"/>
  <c r="W5" i="13"/>
  <c r="X5" i="13"/>
  <c r="Y5" i="13"/>
  <c r="Z5" i="13"/>
  <c r="Z10" i="13"/>
  <c r="Z11" i="13"/>
  <c r="Z12" i="13"/>
  <c r="Z9" i="13"/>
  <c r="AD4" i="15"/>
  <c r="AE79" i="15"/>
  <c r="AE80" i="15"/>
  <c r="AD3" i="15"/>
  <c r="AE10" i="15"/>
  <c r="AE12" i="15"/>
  <c r="AE14" i="15"/>
  <c r="AE16" i="15"/>
  <c r="AC3" i="15"/>
  <c r="AD21" i="15"/>
  <c r="AD25" i="15"/>
  <c r="AD27" i="15"/>
  <c r="AD29" i="15"/>
  <c r="AE33" i="15"/>
  <c r="AE29" i="15"/>
  <c r="AE27" i="15"/>
  <c r="AE25" i="15"/>
  <c r="AE21" i="15"/>
  <c r="AE34" i="15"/>
  <c r="AE41" i="15"/>
  <c r="AE43" i="15"/>
  <c r="AD41" i="15"/>
  <c r="AE39" i="15"/>
  <c r="AE44" i="15"/>
  <c r="AE51" i="15"/>
  <c r="AE52" i="15"/>
  <c r="AE59" i="15"/>
  <c r="AD59" i="15"/>
  <c r="AE57" i="15"/>
  <c r="AE60" i="15"/>
  <c r="AE65" i="15"/>
  <c r="AE68" i="15"/>
  <c r="AE83" i="15"/>
  <c r="AA33" i="13"/>
  <c r="Y10" i="13"/>
  <c r="Y11" i="13"/>
  <c r="Y12" i="13"/>
  <c r="Y9" i="13"/>
  <c r="AC4" i="15"/>
  <c r="AD79" i="15"/>
  <c r="AD80" i="15"/>
  <c r="AD10" i="15"/>
  <c r="AD12" i="15"/>
  <c r="AD14" i="15"/>
  <c r="AD16" i="15"/>
  <c r="AB3" i="15"/>
  <c r="AC21" i="15"/>
  <c r="AC25" i="15"/>
  <c r="AC27" i="15"/>
  <c r="AC29" i="15"/>
  <c r="AD33" i="15"/>
  <c r="AD34" i="15"/>
  <c r="AD43" i="15"/>
  <c r="AC41" i="15"/>
  <c r="AD39" i="15"/>
  <c r="AD44" i="15"/>
  <c r="AD51" i="15"/>
  <c r="AD52" i="15"/>
  <c r="AC59" i="15"/>
  <c r="AD57" i="15"/>
  <c r="AD60" i="15"/>
  <c r="AD65" i="15"/>
  <c r="AD68" i="15"/>
  <c r="AD83" i="15"/>
  <c r="Z33" i="13"/>
  <c r="X10" i="13"/>
  <c r="X11" i="13"/>
  <c r="X12" i="13"/>
  <c r="X9" i="13"/>
  <c r="AB4" i="15"/>
  <c r="AC79" i="15"/>
  <c r="AC80" i="15"/>
  <c r="AC10" i="15"/>
  <c r="AC12" i="15"/>
  <c r="AC14" i="15"/>
  <c r="AC16" i="15"/>
  <c r="AA3" i="15"/>
  <c r="AB21" i="15"/>
  <c r="AB25" i="15"/>
  <c r="AB27" i="15"/>
  <c r="AB29" i="15"/>
  <c r="AC33" i="15"/>
  <c r="AC34" i="15"/>
  <c r="AC43" i="15"/>
  <c r="AB41" i="15"/>
  <c r="AC39" i="15"/>
  <c r="AC44" i="15"/>
  <c r="AC51" i="15"/>
  <c r="AC52" i="15"/>
  <c r="AB59" i="15"/>
  <c r="AC57" i="15"/>
  <c r="AC60" i="15"/>
  <c r="AC65" i="15"/>
  <c r="AC68" i="15"/>
  <c r="AC83" i="15"/>
  <c r="Y33" i="13"/>
  <c r="W10" i="13"/>
  <c r="W11" i="13"/>
  <c r="W12" i="13"/>
  <c r="W9" i="13"/>
  <c r="AA4" i="15"/>
  <c r="AB79" i="15"/>
  <c r="AB80" i="15"/>
  <c r="AB10" i="15"/>
  <c r="AB12" i="15"/>
  <c r="AB14" i="15"/>
  <c r="AB16" i="15"/>
  <c r="Z3" i="15"/>
  <c r="AA21" i="15"/>
  <c r="AA25" i="15"/>
  <c r="AA27" i="15"/>
  <c r="AA29" i="15"/>
  <c r="AB33" i="15"/>
  <c r="AB34" i="15"/>
  <c r="AB43" i="15"/>
  <c r="AA41" i="15"/>
  <c r="AB39" i="15"/>
  <c r="AB44" i="15"/>
  <c r="AB51" i="15"/>
  <c r="AB52" i="15"/>
  <c r="AA59" i="15"/>
  <c r="AB57" i="15"/>
  <c r="AB60" i="15"/>
  <c r="AB65" i="15"/>
  <c r="AB68" i="15"/>
  <c r="AB83" i="15"/>
  <c r="X33" i="13"/>
  <c r="V10" i="13"/>
  <c r="V11" i="13"/>
  <c r="V12" i="13"/>
  <c r="V9" i="13"/>
  <c r="Z4" i="15"/>
  <c r="AA79" i="15"/>
  <c r="AA80" i="15"/>
  <c r="AA10" i="15"/>
  <c r="AA12" i="15"/>
  <c r="AA14" i="15"/>
  <c r="AA16" i="15"/>
  <c r="Y3" i="15"/>
  <c r="Z21" i="15"/>
  <c r="Z25" i="15"/>
  <c r="Z27" i="15"/>
  <c r="Z29" i="15"/>
  <c r="AA33" i="15"/>
  <c r="AA34" i="15"/>
  <c r="AA43" i="15"/>
  <c r="Z41" i="15"/>
  <c r="AA39" i="15"/>
  <c r="AA44" i="15"/>
  <c r="AA51" i="15"/>
  <c r="AA52" i="15"/>
  <c r="Z59" i="15"/>
  <c r="AA57" i="15"/>
  <c r="AA60" i="15"/>
  <c r="AA65" i="15"/>
  <c r="AA68" i="15"/>
  <c r="AA83" i="15"/>
  <c r="W33" i="13"/>
  <c r="U10" i="13"/>
  <c r="U11" i="13"/>
  <c r="U12" i="13"/>
  <c r="U9" i="13"/>
  <c r="Y4" i="15"/>
  <c r="Z79" i="15"/>
  <c r="Z80" i="15"/>
  <c r="Z10" i="15"/>
  <c r="Z12" i="15"/>
  <c r="Z14" i="15"/>
  <c r="Z16" i="15"/>
  <c r="X3" i="15"/>
  <c r="Y21" i="15"/>
  <c r="Y25" i="15"/>
  <c r="Y27" i="15"/>
  <c r="Y29" i="15"/>
  <c r="Z33" i="15"/>
  <c r="Z34" i="15"/>
  <c r="Z43" i="15"/>
  <c r="Y41" i="15"/>
  <c r="Z39" i="15"/>
  <c r="Z44" i="15"/>
  <c r="Z51" i="15"/>
  <c r="Z52" i="15"/>
  <c r="Y59" i="15"/>
  <c r="Z57" i="15"/>
  <c r="Z60" i="15"/>
  <c r="Z65" i="15"/>
  <c r="Z68" i="15"/>
  <c r="Z83" i="15"/>
  <c r="V33" i="13"/>
  <c r="T10" i="13"/>
  <c r="T11" i="13"/>
  <c r="T12" i="13"/>
  <c r="T9" i="13"/>
  <c r="X4" i="15"/>
  <c r="Y79" i="15"/>
  <c r="Y80" i="15"/>
  <c r="Y10" i="15"/>
  <c r="Y12" i="15"/>
  <c r="Y14" i="15"/>
  <c r="Y16" i="15"/>
  <c r="W3" i="15"/>
  <c r="X21" i="15"/>
  <c r="X25" i="15"/>
  <c r="X27" i="15"/>
  <c r="X29" i="15"/>
  <c r="Y33" i="15"/>
  <c r="Y34" i="15"/>
  <c r="Y43" i="15"/>
  <c r="X41" i="15"/>
  <c r="Y39" i="15"/>
  <c r="Y44" i="15"/>
  <c r="Y51" i="15"/>
  <c r="Y52" i="15"/>
  <c r="X59" i="15"/>
  <c r="Y57" i="15"/>
  <c r="Y60" i="15"/>
  <c r="Y65" i="15"/>
  <c r="Y68" i="15"/>
  <c r="Y83" i="15"/>
  <c r="U33" i="13"/>
  <c r="S10" i="13"/>
  <c r="S11" i="13"/>
  <c r="S12" i="13"/>
  <c r="S9" i="13"/>
  <c r="W4" i="15"/>
  <c r="X79" i="15"/>
  <c r="X80" i="15"/>
  <c r="X10" i="15"/>
  <c r="X12" i="15"/>
  <c r="X14" i="15"/>
  <c r="X16" i="15"/>
  <c r="V3" i="15"/>
  <c r="W21" i="15"/>
  <c r="W25" i="15"/>
  <c r="W27" i="15"/>
  <c r="W29" i="15"/>
  <c r="X33" i="15"/>
  <c r="X34" i="15"/>
  <c r="X43" i="15"/>
  <c r="W41" i="15"/>
  <c r="X39" i="15"/>
  <c r="X44" i="15"/>
  <c r="X51" i="15"/>
  <c r="X52" i="15"/>
  <c r="W59" i="15"/>
  <c r="X57" i="15"/>
  <c r="X60" i="15"/>
  <c r="X65" i="15"/>
  <c r="X68" i="15"/>
  <c r="X83" i="15"/>
  <c r="T33" i="13"/>
  <c r="R10" i="13"/>
  <c r="R11" i="13"/>
  <c r="R12" i="13"/>
  <c r="R9" i="13"/>
  <c r="V4" i="15"/>
  <c r="W79" i="15"/>
  <c r="W80" i="15"/>
  <c r="W10" i="15"/>
  <c r="W12" i="15"/>
  <c r="W14" i="15"/>
  <c r="W16" i="15"/>
  <c r="U3" i="15"/>
  <c r="V21" i="15"/>
  <c r="V25" i="15"/>
  <c r="V27" i="15"/>
  <c r="V29" i="15"/>
  <c r="W33" i="15"/>
  <c r="W34" i="15"/>
  <c r="W43" i="15"/>
  <c r="V41" i="15"/>
  <c r="W39" i="15"/>
  <c r="W44" i="15"/>
  <c r="W51" i="15"/>
  <c r="W52" i="15"/>
  <c r="V59" i="15"/>
  <c r="W57" i="15"/>
  <c r="W60" i="15"/>
  <c r="W65" i="15"/>
  <c r="W68" i="15"/>
  <c r="W83" i="15"/>
  <c r="S33" i="13"/>
  <c r="Q10" i="13"/>
  <c r="Q11" i="13"/>
  <c r="Q9" i="13"/>
  <c r="U4" i="15"/>
  <c r="V79" i="15"/>
  <c r="V80" i="15"/>
  <c r="V10" i="15"/>
  <c r="V12" i="15"/>
  <c r="V14" i="15"/>
  <c r="V16" i="15"/>
  <c r="T3" i="15"/>
  <c r="U21" i="15"/>
  <c r="U25" i="15"/>
  <c r="U27" i="15"/>
  <c r="U29" i="15"/>
  <c r="V33" i="15"/>
  <c r="V34" i="15"/>
  <c r="V43" i="15"/>
  <c r="U41" i="15"/>
  <c r="V39" i="15"/>
  <c r="V44" i="15"/>
  <c r="V51" i="15"/>
  <c r="V52" i="15"/>
  <c r="U59" i="15"/>
  <c r="V57" i="15"/>
  <c r="V60" i="15"/>
  <c r="V65" i="15"/>
  <c r="V68" i="15"/>
  <c r="V83" i="15"/>
  <c r="R33" i="13"/>
  <c r="P10" i="13"/>
  <c r="P11" i="13"/>
  <c r="P9" i="13"/>
  <c r="T4" i="15"/>
  <c r="U79" i="15"/>
  <c r="U80" i="15"/>
  <c r="U10" i="15"/>
  <c r="U12" i="15"/>
  <c r="U14" i="15"/>
  <c r="U16" i="15"/>
  <c r="S3" i="15"/>
  <c r="T21" i="15"/>
  <c r="T25" i="15"/>
  <c r="T27" i="15"/>
  <c r="T29" i="15"/>
  <c r="U33" i="15"/>
  <c r="U34" i="15"/>
  <c r="U43" i="15"/>
  <c r="T41" i="15"/>
  <c r="U39" i="15"/>
  <c r="U44" i="15"/>
  <c r="U51" i="15"/>
  <c r="U52" i="15"/>
  <c r="T59" i="15"/>
  <c r="U57" i="15"/>
  <c r="U60" i="15"/>
  <c r="U65" i="15"/>
  <c r="U68" i="15"/>
  <c r="U83" i="15"/>
  <c r="Q33" i="13"/>
  <c r="O10" i="13"/>
  <c r="O11" i="13"/>
  <c r="O9" i="13"/>
  <c r="S4" i="15"/>
  <c r="T79" i="15"/>
  <c r="T80" i="15"/>
  <c r="T10" i="15"/>
  <c r="T12" i="15"/>
  <c r="T14" i="15"/>
  <c r="T16" i="15"/>
  <c r="R3" i="15"/>
  <c r="S21" i="15"/>
  <c r="S25" i="15"/>
  <c r="S27" i="15"/>
  <c r="S29" i="15"/>
  <c r="T33" i="15"/>
  <c r="T34" i="15"/>
  <c r="T43" i="15"/>
  <c r="S41" i="15"/>
  <c r="T39" i="15"/>
  <c r="T44" i="15"/>
  <c r="T51" i="15"/>
  <c r="T52" i="15"/>
  <c r="S59" i="15"/>
  <c r="T57" i="15"/>
  <c r="T60" i="15"/>
  <c r="T65" i="15"/>
  <c r="T68" i="15"/>
  <c r="T83" i="15"/>
  <c r="P33" i="13"/>
  <c r="N10" i="13"/>
  <c r="N9" i="13"/>
  <c r="R4" i="15"/>
  <c r="S79" i="15"/>
  <c r="S80" i="15"/>
  <c r="S10" i="15"/>
  <c r="S12" i="15"/>
  <c r="S14" i="15"/>
  <c r="S16" i="15"/>
  <c r="Q3" i="15"/>
  <c r="R21" i="15"/>
  <c r="R25" i="15"/>
  <c r="R27" i="15"/>
  <c r="R29" i="15"/>
  <c r="S33" i="15"/>
  <c r="S34" i="15"/>
  <c r="S43" i="15"/>
  <c r="R41" i="15"/>
  <c r="S39" i="15"/>
  <c r="S44" i="15"/>
  <c r="S51" i="15"/>
  <c r="S52" i="15"/>
  <c r="R59" i="15"/>
  <c r="S57" i="15"/>
  <c r="S60" i="15"/>
  <c r="S65" i="15"/>
  <c r="S68" i="15"/>
  <c r="S83" i="15"/>
  <c r="O33" i="13"/>
  <c r="M10" i="13"/>
  <c r="M9" i="13"/>
  <c r="Q4" i="15"/>
  <c r="R79" i="15"/>
  <c r="R80" i="15"/>
  <c r="R10" i="15"/>
  <c r="R12" i="15"/>
  <c r="R14" i="15"/>
  <c r="R16" i="15"/>
  <c r="P3" i="15"/>
  <c r="Q21" i="15"/>
  <c r="Q25" i="15"/>
  <c r="Q27" i="15"/>
  <c r="Q29" i="15"/>
  <c r="R33" i="15"/>
  <c r="R34" i="15"/>
  <c r="R43" i="15"/>
  <c r="Q41" i="15"/>
  <c r="R39" i="15"/>
  <c r="R44" i="15"/>
  <c r="R51" i="15"/>
  <c r="R52" i="15"/>
  <c r="Q59" i="15"/>
  <c r="R57" i="15"/>
  <c r="R60" i="15"/>
  <c r="R65" i="15"/>
  <c r="R68" i="15"/>
  <c r="R83" i="15"/>
  <c r="N33" i="13"/>
  <c r="L10" i="13"/>
  <c r="L9" i="13"/>
  <c r="P4" i="15"/>
  <c r="Q79" i="15"/>
  <c r="Q80" i="15"/>
  <c r="Q10" i="15"/>
  <c r="Q12" i="15"/>
  <c r="Q14" i="15"/>
  <c r="Q16" i="15"/>
  <c r="O3" i="15"/>
  <c r="P21" i="15"/>
  <c r="P25" i="15"/>
  <c r="P27" i="15"/>
  <c r="P29" i="15"/>
  <c r="Q33" i="15"/>
  <c r="Q34" i="15"/>
  <c r="Q43" i="15"/>
  <c r="P41" i="15"/>
  <c r="Q39" i="15"/>
  <c r="Q44" i="15"/>
  <c r="Q51" i="15"/>
  <c r="Q52" i="15"/>
  <c r="P59" i="15"/>
  <c r="Q57" i="15"/>
  <c r="Q60" i="15"/>
  <c r="Q65" i="15"/>
  <c r="Q68" i="15"/>
  <c r="Q83" i="15"/>
  <c r="M33" i="13"/>
  <c r="K10" i="13"/>
  <c r="K9" i="13"/>
  <c r="O4" i="15"/>
  <c r="P79" i="15"/>
  <c r="P80" i="15"/>
  <c r="P10" i="15"/>
  <c r="P12" i="15"/>
  <c r="P14" i="15"/>
  <c r="P16" i="15"/>
  <c r="N3" i="15"/>
  <c r="O21" i="15"/>
  <c r="O25" i="15"/>
  <c r="O27" i="15"/>
  <c r="O29" i="15"/>
  <c r="P33" i="15"/>
  <c r="P34" i="15"/>
  <c r="P43" i="15"/>
  <c r="O41" i="15"/>
  <c r="P39" i="15"/>
  <c r="P44" i="15"/>
  <c r="P51" i="15"/>
  <c r="P52" i="15"/>
  <c r="O59" i="15"/>
  <c r="P57" i="15"/>
  <c r="P60" i="15"/>
  <c r="P65" i="15"/>
  <c r="P68" i="15"/>
  <c r="P83" i="15"/>
  <c r="L33" i="13"/>
  <c r="J10" i="13"/>
  <c r="J9" i="13"/>
  <c r="N4" i="15"/>
  <c r="O79" i="15"/>
  <c r="O80" i="15"/>
  <c r="O10" i="15"/>
  <c r="O12" i="15"/>
  <c r="O14" i="15"/>
  <c r="O16" i="15"/>
  <c r="O33" i="15"/>
  <c r="O34" i="15"/>
  <c r="O43" i="15"/>
  <c r="O44" i="15"/>
  <c r="O51" i="15"/>
  <c r="O52" i="15"/>
  <c r="O60" i="15"/>
  <c r="O65" i="15"/>
  <c r="O68" i="15"/>
  <c r="O83" i="15"/>
  <c r="K33" i="13"/>
  <c r="H34" i="15"/>
  <c r="H52" i="15"/>
  <c r="H73" i="15"/>
  <c r="H74" i="15"/>
  <c r="H67" i="15"/>
  <c r="H65" i="15"/>
  <c r="H68" i="15"/>
  <c r="H83" i="15"/>
  <c r="D33" i="13"/>
  <c r="D40" i="13"/>
  <c r="E41" i="13"/>
  <c r="I33" i="15"/>
  <c r="I34" i="15"/>
  <c r="I52" i="15"/>
  <c r="I65" i="15"/>
  <c r="I68" i="15"/>
  <c r="I83" i="15"/>
  <c r="E33" i="13"/>
  <c r="E40" i="13"/>
  <c r="F41" i="13"/>
  <c r="J33" i="15"/>
  <c r="J34" i="15"/>
  <c r="J52" i="15"/>
  <c r="J65" i="15"/>
  <c r="J68" i="15"/>
  <c r="J83" i="15"/>
  <c r="F33" i="13"/>
  <c r="F40" i="13"/>
  <c r="G41" i="13"/>
  <c r="K33" i="15"/>
  <c r="K34" i="15"/>
  <c r="K52" i="15"/>
  <c r="K65" i="15"/>
  <c r="K68" i="15"/>
  <c r="K83" i="15"/>
  <c r="G33" i="13"/>
  <c r="G40" i="13"/>
  <c r="H41" i="13"/>
  <c r="L33" i="15"/>
  <c r="L34" i="15"/>
  <c r="L52" i="15"/>
  <c r="L65" i="15"/>
  <c r="L68" i="15"/>
  <c r="L83" i="15"/>
  <c r="H33" i="13"/>
  <c r="H40" i="13"/>
  <c r="I41" i="13"/>
  <c r="M33" i="15"/>
  <c r="M34" i="15"/>
  <c r="M52" i="15"/>
  <c r="M65" i="15"/>
  <c r="M68" i="15"/>
  <c r="M83" i="15"/>
  <c r="I33" i="13"/>
  <c r="I40" i="13"/>
  <c r="J41" i="13"/>
  <c r="N33" i="15"/>
  <c r="N34" i="15"/>
  <c r="N52" i="15"/>
  <c r="N65" i="15"/>
  <c r="N68" i="15"/>
  <c r="N83" i="15"/>
  <c r="J33" i="13"/>
  <c r="J40" i="13"/>
  <c r="K41" i="13"/>
  <c r="K40" i="13"/>
  <c r="L41" i="13"/>
  <c r="L40" i="13"/>
  <c r="M41" i="13"/>
  <c r="M40" i="13"/>
  <c r="N41" i="13"/>
  <c r="N40" i="13"/>
  <c r="O41" i="13"/>
  <c r="O40" i="13"/>
  <c r="P41" i="13"/>
  <c r="P40" i="13"/>
  <c r="Q41" i="13"/>
  <c r="Q40" i="13"/>
  <c r="R41" i="13"/>
  <c r="R40" i="13"/>
  <c r="S41" i="13"/>
  <c r="S40" i="13"/>
  <c r="T41" i="13"/>
  <c r="T40" i="13"/>
  <c r="U41" i="13"/>
  <c r="U40" i="13"/>
  <c r="V41" i="13"/>
  <c r="V40" i="13"/>
  <c r="W41" i="13"/>
  <c r="W40" i="13"/>
  <c r="X41" i="13"/>
  <c r="X40" i="13"/>
  <c r="Y41" i="13"/>
  <c r="Y40" i="13"/>
  <c r="Z41" i="13"/>
  <c r="Z40" i="13"/>
  <c r="AA41" i="13"/>
  <c r="AA40" i="13"/>
  <c r="AD40" i="13"/>
  <c r="AC40" i="13"/>
  <c r="G9" i="1"/>
  <c r="G13" i="1"/>
  <c r="G29" i="1"/>
  <c r="F7" i="12"/>
  <c r="F14" i="12"/>
  <c r="F6" i="12"/>
  <c r="D10" i="13"/>
  <c r="D9" i="13"/>
  <c r="H4" i="15"/>
  <c r="I79" i="15"/>
  <c r="I80" i="15"/>
  <c r="I12" i="15"/>
  <c r="I16" i="15"/>
  <c r="E26" i="13"/>
  <c r="E10" i="13"/>
  <c r="E9" i="13"/>
  <c r="I4" i="15"/>
  <c r="J79" i="15"/>
  <c r="J80" i="15"/>
  <c r="J12" i="15"/>
  <c r="J16" i="15"/>
  <c r="F26" i="13"/>
  <c r="F10" i="13"/>
  <c r="F9" i="13"/>
  <c r="J4" i="15"/>
  <c r="K79" i="15"/>
  <c r="K80" i="15"/>
  <c r="K12" i="15"/>
  <c r="K16" i="15"/>
  <c r="G26" i="13"/>
  <c r="G10" i="13"/>
  <c r="G9" i="13"/>
  <c r="K4" i="15"/>
  <c r="L79" i="15"/>
  <c r="L80" i="15"/>
  <c r="L12" i="15"/>
  <c r="L16" i="15"/>
  <c r="H26" i="13"/>
  <c r="H10" i="13"/>
  <c r="H9" i="13"/>
  <c r="L4" i="15"/>
  <c r="M79" i="15"/>
  <c r="M80" i="15"/>
  <c r="M12" i="15"/>
  <c r="M16" i="15"/>
  <c r="I26" i="13"/>
  <c r="I10" i="13"/>
  <c r="I9" i="13"/>
  <c r="M4" i="15"/>
  <c r="N79" i="15"/>
  <c r="N80" i="15"/>
  <c r="N12" i="15"/>
  <c r="N16" i="15"/>
  <c r="J26" i="13"/>
  <c r="K26" i="13"/>
  <c r="L26" i="13"/>
  <c r="M26" i="13"/>
  <c r="N26" i="13"/>
  <c r="O26" i="13"/>
  <c r="D26" i="13"/>
  <c r="AC26" i="13"/>
  <c r="D27" i="13"/>
  <c r="D34" i="13"/>
  <c r="H22" i="15"/>
  <c r="H30" i="15"/>
  <c r="H35" i="15"/>
  <c r="D19" i="13"/>
  <c r="H66" i="15"/>
  <c r="H64" i="15"/>
  <c r="H69" i="15"/>
  <c r="D22" i="13"/>
  <c r="H72" i="15"/>
  <c r="H75" i="15"/>
  <c r="D25" i="13"/>
  <c r="H48" i="15"/>
  <c r="H53" i="15"/>
  <c r="D21" i="13"/>
  <c r="D17" i="13"/>
  <c r="D28" i="13"/>
  <c r="D36" i="13"/>
  <c r="E34" i="13"/>
  <c r="E27" i="13"/>
  <c r="I11" i="15"/>
  <c r="I17" i="15"/>
  <c r="E18" i="13"/>
  <c r="I66" i="15"/>
  <c r="I64" i="15"/>
  <c r="I69" i="15"/>
  <c r="E22" i="13"/>
  <c r="I78" i="15"/>
  <c r="I81" i="15"/>
  <c r="E23" i="13"/>
  <c r="I72" i="15"/>
  <c r="I75" i="15"/>
  <c r="E25" i="13"/>
  <c r="I22" i="15"/>
  <c r="I32" i="15"/>
  <c r="I30" i="15"/>
  <c r="I35" i="15"/>
  <c r="E19" i="13"/>
  <c r="I48" i="15"/>
  <c r="I53" i="15"/>
  <c r="E21" i="13"/>
  <c r="E17" i="13"/>
  <c r="E28" i="13"/>
  <c r="E36" i="13"/>
  <c r="F34" i="13"/>
  <c r="F27" i="13"/>
  <c r="J11" i="15"/>
  <c r="J17" i="15"/>
  <c r="F18" i="13"/>
  <c r="J66" i="15"/>
  <c r="J64" i="15"/>
  <c r="J69" i="15"/>
  <c r="F22" i="13"/>
  <c r="J78" i="15"/>
  <c r="J81" i="15"/>
  <c r="F23" i="13"/>
  <c r="J72" i="15"/>
  <c r="J75" i="15"/>
  <c r="F25" i="13"/>
  <c r="J22" i="15"/>
  <c r="J32" i="15"/>
  <c r="J30" i="15"/>
  <c r="J35" i="15"/>
  <c r="F19" i="13"/>
  <c r="J48" i="15"/>
  <c r="J53" i="15"/>
  <c r="F21" i="13"/>
  <c r="F17" i="13"/>
  <c r="F28" i="13"/>
  <c r="F36" i="13"/>
  <c r="G34" i="13"/>
  <c r="G27" i="13"/>
  <c r="K11" i="15"/>
  <c r="K17" i="15"/>
  <c r="G18" i="13"/>
  <c r="K66" i="15"/>
  <c r="K64" i="15"/>
  <c r="K69" i="15"/>
  <c r="G22" i="13"/>
  <c r="K78" i="15"/>
  <c r="K81" i="15"/>
  <c r="G23" i="13"/>
  <c r="K72" i="15"/>
  <c r="K75" i="15"/>
  <c r="G25" i="13"/>
  <c r="K22" i="15"/>
  <c r="K32" i="15"/>
  <c r="K30" i="15"/>
  <c r="K35" i="15"/>
  <c r="G19" i="13"/>
  <c r="K48" i="15"/>
  <c r="K53" i="15"/>
  <c r="G21" i="13"/>
  <c r="G17" i="13"/>
  <c r="G28" i="13"/>
  <c r="G36" i="13"/>
  <c r="H34" i="13"/>
  <c r="H27" i="13"/>
  <c r="L11" i="15"/>
  <c r="L17" i="15"/>
  <c r="H18" i="13"/>
  <c r="L66" i="15"/>
  <c r="L64" i="15"/>
  <c r="L69" i="15"/>
  <c r="H22" i="13"/>
  <c r="L78" i="15"/>
  <c r="L81" i="15"/>
  <c r="H23" i="13"/>
  <c r="L72" i="15"/>
  <c r="L75" i="15"/>
  <c r="H25" i="13"/>
  <c r="L22" i="15"/>
  <c r="L32" i="15"/>
  <c r="L30" i="15"/>
  <c r="L35" i="15"/>
  <c r="H19" i="13"/>
  <c r="L48" i="15"/>
  <c r="L53" i="15"/>
  <c r="H21" i="13"/>
  <c r="H17" i="13"/>
  <c r="H28" i="13"/>
  <c r="H36" i="13"/>
  <c r="I34" i="13"/>
  <c r="I27" i="13"/>
  <c r="M11" i="15"/>
  <c r="M17" i="15"/>
  <c r="I18" i="13"/>
  <c r="M66" i="15"/>
  <c r="M64" i="15"/>
  <c r="M69" i="15"/>
  <c r="I22" i="13"/>
  <c r="M78" i="15"/>
  <c r="M81" i="15"/>
  <c r="I23" i="13"/>
  <c r="M72" i="15"/>
  <c r="M75" i="15"/>
  <c r="I25" i="13"/>
  <c r="M22" i="15"/>
  <c r="M32" i="15"/>
  <c r="M30" i="15"/>
  <c r="M35" i="15"/>
  <c r="I19" i="13"/>
  <c r="M48" i="15"/>
  <c r="M53" i="15"/>
  <c r="I21" i="13"/>
  <c r="I17" i="13"/>
  <c r="I28" i="13"/>
  <c r="I36" i="13"/>
  <c r="J34" i="13"/>
  <c r="J27" i="13"/>
  <c r="N11" i="15"/>
  <c r="N17" i="15"/>
  <c r="J18" i="13"/>
  <c r="N66" i="15"/>
  <c r="N64" i="15"/>
  <c r="N69" i="15"/>
  <c r="J22" i="13"/>
  <c r="N78" i="15"/>
  <c r="N81" i="15"/>
  <c r="J23" i="13"/>
  <c r="N72" i="15"/>
  <c r="N75" i="15"/>
  <c r="J25" i="13"/>
  <c r="N22" i="15"/>
  <c r="N32" i="15"/>
  <c r="N30" i="15"/>
  <c r="N35" i="15"/>
  <c r="J19" i="13"/>
  <c r="N48" i="15"/>
  <c r="N53" i="15"/>
  <c r="J21" i="13"/>
  <c r="J17" i="13"/>
  <c r="J28" i="13"/>
  <c r="J36" i="13"/>
  <c r="K34" i="13"/>
  <c r="K27" i="13"/>
  <c r="O11" i="15"/>
  <c r="O13" i="15"/>
  <c r="O9" i="15"/>
  <c r="O17" i="15"/>
  <c r="K18" i="13"/>
  <c r="O66" i="15"/>
  <c r="O64" i="15"/>
  <c r="O69" i="15"/>
  <c r="K22" i="13"/>
  <c r="O78" i="15"/>
  <c r="O81" i="15"/>
  <c r="K23" i="13"/>
  <c r="O72" i="15"/>
  <c r="O75" i="15"/>
  <c r="K25" i="13"/>
  <c r="O30" i="15"/>
  <c r="O28" i="15"/>
  <c r="O26" i="15"/>
  <c r="O24" i="15"/>
  <c r="O20" i="15"/>
  <c r="O22" i="15"/>
  <c r="O32" i="15"/>
  <c r="O35" i="15"/>
  <c r="K19" i="13"/>
  <c r="O42" i="15"/>
  <c r="O40" i="15"/>
  <c r="O45" i="15"/>
  <c r="K20" i="13"/>
  <c r="O50" i="15"/>
  <c r="O48" i="15"/>
  <c r="O53" i="15"/>
  <c r="K21" i="13"/>
  <c r="O58" i="15"/>
  <c r="O61" i="15"/>
  <c r="K24" i="13"/>
  <c r="K17" i="13"/>
  <c r="K28" i="13"/>
  <c r="K36" i="13"/>
  <c r="L34" i="13"/>
  <c r="L27" i="13"/>
  <c r="P11" i="15"/>
  <c r="P13" i="15"/>
  <c r="P9" i="15"/>
  <c r="P17" i="15"/>
  <c r="L18" i="13"/>
  <c r="P66" i="15"/>
  <c r="P64" i="15"/>
  <c r="P69" i="15"/>
  <c r="L22" i="13"/>
  <c r="P78" i="15"/>
  <c r="P81" i="15"/>
  <c r="L23" i="13"/>
  <c r="P72" i="15"/>
  <c r="P75" i="15"/>
  <c r="L25" i="13"/>
  <c r="P30" i="15"/>
  <c r="P28" i="15"/>
  <c r="P26" i="15"/>
  <c r="P24" i="15"/>
  <c r="P20" i="15"/>
  <c r="P32" i="15"/>
  <c r="P22" i="15"/>
  <c r="P35" i="15"/>
  <c r="L19" i="13"/>
  <c r="P42" i="15"/>
  <c r="P40" i="15"/>
  <c r="P38" i="15"/>
  <c r="P45" i="15"/>
  <c r="L20" i="13"/>
  <c r="P50" i="15"/>
  <c r="P48" i="15"/>
  <c r="P53" i="15"/>
  <c r="L21" i="13"/>
  <c r="P58" i="15"/>
  <c r="P56" i="15"/>
  <c r="P61" i="15"/>
  <c r="L24" i="13"/>
  <c r="L17" i="13"/>
  <c r="L28" i="13"/>
  <c r="L36" i="13"/>
  <c r="M34" i="13"/>
  <c r="M27" i="13"/>
  <c r="Q11" i="15"/>
  <c r="Q13" i="15"/>
  <c r="Q9" i="15"/>
  <c r="Q17" i="15"/>
  <c r="M18" i="13"/>
  <c r="Q66" i="15"/>
  <c r="Q64" i="15"/>
  <c r="Q69" i="15"/>
  <c r="M22" i="13"/>
  <c r="Q78" i="15"/>
  <c r="Q81" i="15"/>
  <c r="M23" i="13"/>
  <c r="Q72" i="15"/>
  <c r="Q75" i="15"/>
  <c r="M25" i="13"/>
  <c r="Q30" i="15"/>
  <c r="Q28" i="15"/>
  <c r="Q26" i="15"/>
  <c r="Q24" i="15"/>
  <c r="Q20" i="15"/>
  <c r="Q32" i="15"/>
  <c r="Q22" i="15"/>
  <c r="Q35" i="15"/>
  <c r="M19" i="13"/>
  <c r="Q42" i="15"/>
  <c r="Q40" i="15"/>
  <c r="Q38" i="15"/>
  <c r="Q45" i="15"/>
  <c r="M20" i="13"/>
  <c r="Q50" i="15"/>
  <c r="Q48" i="15"/>
  <c r="Q53" i="15"/>
  <c r="M21" i="13"/>
  <c r="Q58" i="15"/>
  <c r="Q56" i="15"/>
  <c r="Q61" i="15"/>
  <c r="M24" i="13"/>
  <c r="M17" i="13"/>
  <c r="M28" i="13"/>
  <c r="M36" i="13"/>
  <c r="N34" i="13"/>
  <c r="N27" i="13"/>
  <c r="R11" i="15"/>
  <c r="R13" i="15"/>
  <c r="R9" i="15"/>
  <c r="R17" i="15"/>
  <c r="N18" i="13"/>
  <c r="R66" i="15"/>
  <c r="R64" i="15"/>
  <c r="R69" i="15"/>
  <c r="N22" i="13"/>
  <c r="R78" i="15"/>
  <c r="R81" i="15"/>
  <c r="N23" i="13"/>
  <c r="R72" i="15"/>
  <c r="R75" i="15"/>
  <c r="N25" i="13"/>
  <c r="R30" i="15"/>
  <c r="R28" i="15"/>
  <c r="R26" i="15"/>
  <c r="R24" i="15"/>
  <c r="R20" i="15"/>
  <c r="R32" i="15"/>
  <c r="R22" i="15"/>
  <c r="R35" i="15"/>
  <c r="N19" i="13"/>
  <c r="R42" i="15"/>
  <c r="R40" i="15"/>
  <c r="R38" i="15"/>
  <c r="R45" i="15"/>
  <c r="N20" i="13"/>
  <c r="R50" i="15"/>
  <c r="R48" i="15"/>
  <c r="R53" i="15"/>
  <c r="N21" i="13"/>
  <c r="R58" i="15"/>
  <c r="R56" i="15"/>
  <c r="R61" i="15"/>
  <c r="N24" i="13"/>
  <c r="N17" i="13"/>
  <c r="N28" i="13"/>
  <c r="N36" i="13"/>
  <c r="O34" i="13"/>
  <c r="O27" i="13"/>
  <c r="S11" i="15"/>
  <c r="S13" i="15"/>
  <c r="S9" i="15"/>
  <c r="S17" i="15"/>
  <c r="O18" i="13"/>
  <c r="S66" i="15"/>
  <c r="S64" i="15"/>
  <c r="S69" i="15"/>
  <c r="O22" i="13"/>
  <c r="S78" i="15"/>
  <c r="S81" i="15"/>
  <c r="O23" i="13"/>
  <c r="S72" i="15"/>
  <c r="S75" i="15"/>
  <c r="O25" i="13"/>
  <c r="S30" i="15"/>
  <c r="S28" i="15"/>
  <c r="S26" i="15"/>
  <c r="S24" i="15"/>
  <c r="S20" i="15"/>
  <c r="S32" i="15"/>
  <c r="S22" i="15"/>
  <c r="S35" i="15"/>
  <c r="O19" i="13"/>
  <c r="S42" i="15"/>
  <c r="S40" i="15"/>
  <c r="S38" i="15"/>
  <c r="S45" i="15"/>
  <c r="O20" i="13"/>
  <c r="S50" i="15"/>
  <c r="S48" i="15"/>
  <c r="S53" i="15"/>
  <c r="O21" i="13"/>
  <c r="S58" i="15"/>
  <c r="S56" i="15"/>
  <c r="S61" i="15"/>
  <c r="O24" i="13"/>
  <c r="O17" i="13"/>
  <c r="O28" i="13"/>
  <c r="O36" i="13"/>
  <c r="AC36" i="13"/>
  <c r="G12" i="17"/>
  <c r="D15" i="13"/>
  <c r="D38" i="13"/>
  <c r="E15" i="13"/>
  <c r="E38" i="13"/>
  <c r="F15" i="13"/>
  <c r="F38" i="13"/>
  <c r="G15" i="13"/>
  <c r="G38" i="13"/>
  <c r="H15" i="13"/>
  <c r="H38" i="13"/>
  <c r="I15" i="13"/>
  <c r="I38" i="13"/>
  <c r="J14" i="13"/>
  <c r="J15" i="13"/>
  <c r="J38" i="13"/>
  <c r="K14" i="13"/>
  <c r="K15" i="13"/>
  <c r="K38" i="13"/>
  <c r="L14" i="13"/>
  <c r="L15" i="13"/>
  <c r="L38" i="13"/>
  <c r="M14" i="13"/>
  <c r="M15" i="13"/>
  <c r="M38" i="13"/>
  <c r="N14" i="13"/>
  <c r="N15" i="13"/>
  <c r="N38" i="13"/>
  <c r="F20" i="12"/>
  <c r="F17" i="12"/>
  <c r="O14" i="13"/>
  <c r="O15" i="13"/>
  <c r="O38" i="13"/>
  <c r="P14" i="13"/>
  <c r="P15" i="13"/>
  <c r="P34" i="13"/>
  <c r="P27" i="13"/>
  <c r="P26" i="13"/>
  <c r="T11" i="15"/>
  <c r="T13" i="15"/>
  <c r="T9" i="15"/>
  <c r="T17" i="15"/>
  <c r="P18" i="13"/>
  <c r="T66" i="15"/>
  <c r="T64" i="15"/>
  <c r="T69" i="15"/>
  <c r="P22" i="13"/>
  <c r="T78" i="15"/>
  <c r="T81" i="15"/>
  <c r="P23" i="13"/>
  <c r="T72" i="15"/>
  <c r="T75" i="15"/>
  <c r="P25" i="13"/>
  <c r="T30" i="15"/>
  <c r="T28" i="15"/>
  <c r="T26" i="15"/>
  <c r="T24" i="15"/>
  <c r="T20" i="15"/>
  <c r="T32" i="15"/>
  <c r="T22" i="15"/>
  <c r="T35" i="15"/>
  <c r="P19" i="13"/>
  <c r="T42" i="15"/>
  <c r="T40" i="15"/>
  <c r="T38" i="15"/>
  <c r="T45" i="15"/>
  <c r="P20" i="13"/>
  <c r="T50" i="15"/>
  <c r="T48" i="15"/>
  <c r="T53" i="15"/>
  <c r="P21" i="13"/>
  <c r="T58" i="15"/>
  <c r="T56" i="15"/>
  <c r="T61" i="15"/>
  <c r="P24" i="13"/>
  <c r="P17" i="13"/>
  <c r="P28" i="13"/>
  <c r="P36" i="13"/>
  <c r="P38" i="13"/>
  <c r="Q14" i="13"/>
  <c r="Q15" i="13"/>
  <c r="Q34" i="13"/>
  <c r="Q27" i="13"/>
  <c r="Q26" i="13"/>
  <c r="U11" i="15"/>
  <c r="U13" i="15"/>
  <c r="U9" i="15"/>
  <c r="U17" i="15"/>
  <c r="Q18" i="13"/>
  <c r="U66" i="15"/>
  <c r="U64" i="15"/>
  <c r="U69" i="15"/>
  <c r="Q22" i="13"/>
  <c r="U78" i="15"/>
  <c r="U81" i="15"/>
  <c r="Q23" i="13"/>
  <c r="U72" i="15"/>
  <c r="U75" i="15"/>
  <c r="Q25" i="13"/>
  <c r="U32" i="15"/>
  <c r="U30" i="15"/>
  <c r="U28" i="15"/>
  <c r="U26" i="15"/>
  <c r="U24" i="15"/>
  <c r="U22" i="15"/>
  <c r="U20" i="15"/>
  <c r="U35" i="15"/>
  <c r="Q19" i="13"/>
  <c r="U42" i="15"/>
  <c r="U40" i="15"/>
  <c r="U38" i="15"/>
  <c r="U45" i="15"/>
  <c r="Q20" i="13"/>
  <c r="U50" i="15"/>
  <c r="U48" i="15"/>
  <c r="U53" i="15"/>
  <c r="Q21" i="13"/>
  <c r="U58" i="15"/>
  <c r="U56" i="15"/>
  <c r="U61" i="15"/>
  <c r="Q24" i="13"/>
  <c r="Q17" i="13"/>
  <c r="Q28" i="13"/>
  <c r="Q36" i="13"/>
  <c r="Q38" i="13"/>
  <c r="F24" i="12"/>
  <c r="R14" i="13"/>
  <c r="R15" i="13"/>
  <c r="R34" i="13"/>
  <c r="R27" i="13"/>
  <c r="R26" i="13"/>
  <c r="V11" i="15"/>
  <c r="V13" i="15"/>
  <c r="V9" i="15"/>
  <c r="V17" i="15"/>
  <c r="R18" i="13"/>
  <c r="V66" i="15"/>
  <c r="V64" i="15"/>
  <c r="V69" i="15"/>
  <c r="R22" i="13"/>
  <c r="V78" i="15"/>
  <c r="V81" i="15"/>
  <c r="R23" i="13"/>
  <c r="V72" i="15"/>
  <c r="V75" i="15"/>
  <c r="R25" i="13"/>
  <c r="V32" i="15"/>
  <c r="V30" i="15"/>
  <c r="V28" i="15"/>
  <c r="V26" i="15"/>
  <c r="V24" i="15"/>
  <c r="V22" i="15"/>
  <c r="V20" i="15"/>
  <c r="V35" i="15"/>
  <c r="R19" i="13"/>
  <c r="V42" i="15"/>
  <c r="V40" i="15"/>
  <c r="V38" i="15"/>
  <c r="V45" i="15"/>
  <c r="R20" i="13"/>
  <c r="V50" i="15"/>
  <c r="V48" i="15"/>
  <c r="V53" i="15"/>
  <c r="R21" i="13"/>
  <c r="V58" i="15"/>
  <c r="V56" i="15"/>
  <c r="V61" i="15"/>
  <c r="R24" i="13"/>
  <c r="R17" i="13"/>
  <c r="R28" i="13"/>
  <c r="R36" i="13"/>
  <c r="R38" i="13"/>
  <c r="S14" i="13"/>
  <c r="S15" i="13"/>
  <c r="S34" i="13"/>
  <c r="S27" i="13"/>
  <c r="S26" i="13"/>
  <c r="W11" i="15"/>
  <c r="W13" i="15"/>
  <c r="W9" i="15"/>
  <c r="W17" i="15"/>
  <c r="S18" i="13"/>
  <c r="W66" i="15"/>
  <c r="W64" i="15"/>
  <c r="W69" i="15"/>
  <c r="S22" i="13"/>
  <c r="W78" i="15"/>
  <c r="W81" i="15"/>
  <c r="S23" i="13"/>
  <c r="W72" i="15"/>
  <c r="W75" i="15"/>
  <c r="S25" i="13"/>
  <c r="W32" i="15"/>
  <c r="W30" i="15"/>
  <c r="W28" i="15"/>
  <c r="W26" i="15"/>
  <c r="W24" i="15"/>
  <c r="W22" i="15"/>
  <c r="W20" i="15"/>
  <c r="W35" i="15"/>
  <c r="S19" i="13"/>
  <c r="W42" i="15"/>
  <c r="W40" i="15"/>
  <c r="W38" i="15"/>
  <c r="W45" i="15"/>
  <c r="S20" i="13"/>
  <c r="W50" i="15"/>
  <c r="W48" i="15"/>
  <c r="W53" i="15"/>
  <c r="S21" i="13"/>
  <c r="W58" i="15"/>
  <c r="W56" i="15"/>
  <c r="W61" i="15"/>
  <c r="S24" i="13"/>
  <c r="S17" i="13"/>
  <c r="S28" i="13"/>
  <c r="S36" i="13"/>
  <c r="S38" i="13"/>
  <c r="T14" i="13"/>
  <c r="T15" i="13"/>
  <c r="T34" i="13"/>
  <c r="T27" i="13"/>
  <c r="T26" i="13"/>
  <c r="X11" i="15"/>
  <c r="X13" i="15"/>
  <c r="X9" i="15"/>
  <c r="X17" i="15"/>
  <c r="T18" i="13"/>
  <c r="X66" i="15"/>
  <c r="X64" i="15"/>
  <c r="X69" i="15"/>
  <c r="T22" i="13"/>
  <c r="X78" i="15"/>
  <c r="X81" i="15"/>
  <c r="T23" i="13"/>
  <c r="X72" i="15"/>
  <c r="X75" i="15"/>
  <c r="T25" i="13"/>
  <c r="X32" i="15"/>
  <c r="X30" i="15"/>
  <c r="X28" i="15"/>
  <c r="X26" i="15"/>
  <c r="X24" i="15"/>
  <c r="X22" i="15"/>
  <c r="X20" i="15"/>
  <c r="X35" i="15"/>
  <c r="T19" i="13"/>
  <c r="X42" i="15"/>
  <c r="X40" i="15"/>
  <c r="X38" i="15"/>
  <c r="X45" i="15"/>
  <c r="T20" i="13"/>
  <c r="X50" i="15"/>
  <c r="X48" i="15"/>
  <c r="X53" i="15"/>
  <c r="T21" i="13"/>
  <c r="X58" i="15"/>
  <c r="X56" i="15"/>
  <c r="X61" i="15"/>
  <c r="T24" i="13"/>
  <c r="T17" i="13"/>
  <c r="T28" i="13"/>
  <c r="T36" i="13"/>
  <c r="T38" i="13"/>
  <c r="U14" i="13"/>
  <c r="U15" i="13"/>
  <c r="U34" i="13"/>
  <c r="U27" i="13"/>
  <c r="U26" i="13"/>
  <c r="Y11" i="15"/>
  <c r="Y13" i="15"/>
  <c r="Y9" i="15"/>
  <c r="Y17" i="15"/>
  <c r="U18" i="13"/>
  <c r="Y66" i="15"/>
  <c r="Y64" i="15"/>
  <c r="Y69" i="15"/>
  <c r="U22" i="13"/>
  <c r="Y78" i="15"/>
  <c r="Y81" i="15"/>
  <c r="U23" i="13"/>
  <c r="Y72" i="15"/>
  <c r="Y75" i="15"/>
  <c r="U25" i="13"/>
  <c r="Y32" i="15"/>
  <c r="Y30" i="15"/>
  <c r="Y28" i="15"/>
  <c r="Y26" i="15"/>
  <c r="Y24" i="15"/>
  <c r="Y22" i="15"/>
  <c r="Y20" i="15"/>
  <c r="Y35" i="15"/>
  <c r="U19" i="13"/>
  <c r="Y42" i="15"/>
  <c r="Y40" i="15"/>
  <c r="Y38" i="15"/>
  <c r="Y45" i="15"/>
  <c r="U20" i="13"/>
  <c r="Y50" i="15"/>
  <c r="Y48" i="15"/>
  <c r="Y53" i="15"/>
  <c r="U21" i="13"/>
  <c r="Y58" i="15"/>
  <c r="Y56" i="15"/>
  <c r="Y61" i="15"/>
  <c r="U24" i="13"/>
  <c r="U17" i="13"/>
  <c r="U28" i="13"/>
  <c r="U36" i="13"/>
  <c r="U38" i="13"/>
  <c r="V14" i="13"/>
  <c r="V15" i="13"/>
  <c r="V34" i="13"/>
  <c r="V27" i="13"/>
  <c r="V26" i="13"/>
  <c r="Z11" i="15"/>
  <c r="Z13" i="15"/>
  <c r="Z9" i="15"/>
  <c r="Z17" i="15"/>
  <c r="V18" i="13"/>
  <c r="Z66" i="15"/>
  <c r="Z64" i="15"/>
  <c r="Z69" i="15"/>
  <c r="V22" i="13"/>
  <c r="Z78" i="15"/>
  <c r="Z81" i="15"/>
  <c r="V23" i="13"/>
  <c r="Z72" i="15"/>
  <c r="Z75" i="15"/>
  <c r="V25" i="13"/>
  <c r="Z32" i="15"/>
  <c r="Z30" i="15"/>
  <c r="Z28" i="15"/>
  <c r="Z26" i="15"/>
  <c r="Z24" i="15"/>
  <c r="Z22" i="15"/>
  <c r="Z20" i="15"/>
  <c r="Z35" i="15"/>
  <c r="V19" i="13"/>
  <c r="Z42" i="15"/>
  <c r="Z40" i="15"/>
  <c r="Z38" i="15"/>
  <c r="Z45" i="15"/>
  <c r="V20" i="13"/>
  <c r="Z50" i="15"/>
  <c r="Z48" i="15"/>
  <c r="Z53" i="15"/>
  <c r="V21" i="13"/>
  <c r="Z58" i="15"/>
  <c r="Z56" i="15"/>
  <c r="Z61" i="15"/>
  <c r="V24" i="13"/>
  <c r="V17" i="13"/>
  <c r="V28" i="13"/>
  <c r="V36" i="13"/>
  <c r="V38" i="13"/>
  <c r="W14" i="13"/>
  <c r="W15" i="13"/>
  <c r="W34" i="13"/>
  <c r="W27" i="13"/>
  <c r="W26" i="13"/>
  <c r="AA11" i="15"/>
  <c r="AA13" i="15"/>
  <c r="AA9" i="15"/>
  <c r="AA17" i="15"/>
  <c r="W18" i="13"/>
  <c r="AA66" i="15"/>
  <c r="AA64" i="15"/>
  <c r="AA69" i="15"/>
  <c r="W22" i="13"/>
  <c r="AA78" i="15"/>
  <c r="AA81" i="15"/>
  <c r="W23" i="13"/>
  <c r="AA72" i="15"/>
  <c r="AA75" i="15"/>
  <c r="W25" i="13"/>
  <c r="AA32" i="15"/>
  <c r="AA30" i="15"/>
  <c r="AA28" i="15"/>
  <c r="AA26" i="15"/>
  <c r="AA24" i="15"/>
  <c r="AA22" i="15"/>
  <c r="AA20" i="15"/>
  <c r="AA35" i="15"/>
  <c r="W19" i="13"/>
  <c r="AA42" i="15"/>
  <c r="AA40" i="15"/>
  <c r="AA38" i="15"/>
  <c r="AA45" i="15"/>
  <c r="W20" i="13"/>
  <c r="AA50" i="15"/>
  <c r="AA48" i="15"/>
  <c r="AA53" i="15"/>
  <c r="W21" i="13"/>
  <c r="AA58" i="15"/>
  <c r="AA56" i="15"/>
  <c r="AA61" i="15"/>
  <c r="W24" i="13"/>
  <c r="W17" i="13"/>
  <c r="W28" i="13"/>
  <c r="W36" i="13"/>
  <c r="W38" i="13"/>
  <c r="X14" i="13"/>
  <c r="X15" i="13"/>
  <c r="X34" i="13"/>
  <c r="X27" i="13"/>
  <c r="X26" i="13"/>
  <c r="AB11" i="15"/>
  <c r="AB13" i="15"/>
  <c r="AB9" i="15"/>
  <c r="AB17" i="15"/>
  <c r="X18" i="13"/>
  <c r="AB66" i="15"/>
  <c r="AB64" i="15"/>
  <c r="AB69" i="15"/>
  <c r="X22" i="13"/>
  <c r="AB78" i="15"/>
  <c r="AB81" i="15"/>
  <c r="X23" i="13"/>
  <c r="AB72" i="15"/>
  <c r="AB75" i="15"/>
  <c r="X25" i="13"/>
  <c r="AB32" i="15"/>
  <c r="AB30" i="15"/>
  <c r="AB28" i="15"/>
  <c r="AB26" i="15"/>
  <c r="AB24" i="15"/>
  <c r="AB22" i="15"/>
  <c r="AB20" i="15"/>
  <c r="AB35" i="15"/>
  <c r="X19" i="13"/>
  <c r="AB42" i="15"/>
  <c r="AB40" i="15"/>
  <c r="AB38" i="15"/>
  <c r="AB45" i="15"/>
  <c r="X20" i="13"/>
  <c r="AB50" i="15"/>
  <c r="AB48" i="15"/>
  <c r="AB53" i="15"/>
  <c r="X21" i="13"/>
  <c r="AB58" i="15"/>
  <c r="AB56" i="15"/>
  <c r="AB61" i="15"/>
  <c r="X24" i="13"/>
  <c r="X17" i="13"/>
  <c r="X28" i="13"/>
  <c r="X36" i="13"/>
  <c r="X38" i="13"/>
  <c r="Y14" i="13"/>
  <c r="Y15" i="13"/>
  <c r="Y34" i="13"/>
  <c r="Y27" i="13"/>
  <c r="Y26" i="13"/>
  <c r="AC11" i="15"/>
  <c r="AC13" i="15"/>
  <c r="AC9" i="15"/>
  <c r="AC17" i="15"/>
  <c r="Y18" i="13"/>
  <c r="AC66" i="15"/>
  <c r="AC64" i="15"/>
  <c r="AC69" i="15"/>
  <c r="Y22" i="13"/>
  <c r="AC78" i="15"/>
  <c r="AC81" i="15"/>
  <c r="Y23" i="13"/>
  <c r="AC72" i="15"/>
  <c r="AC75" i="15"/>
  <c r="Y25" i="13"/>
  <c r="AC32" i="15"/>
  <c r="AC30" i="15"/>
  <c r="AC28" i="15"/>
  <c r="AC26" i="15"/>
  <c r="AC24" i="15"/>
  <c r="AC22" i="15"/>
  <c r="AC20" i="15"/>
  <c r="AC35" i="15"/>
  <c r="Y19" i="13"/>
  <c r="AC42" i="15"/>
  <c r="AC40" i="15"/>
  <c r="AC38" i="15"/>
  <c r="AC45" i="15"/>
  <c r="Y20" i="13"/>
  <c r="AC50" i="15"/>
  <c r="AC48" i="15"/>
  <c r="AC53" i="15"/>
  <c r="Y21" i="13"/>
  <c r="AC58" i="15"/>
  <c r="AC56" i="15"/>
  <c r="AC61" i="15"/>
  <c r="Y24" i="13"/>
  <c r="Y17" i="13"/>
  <c r="Y28" i="13"/>
  <c r="Y36" i="13"/>
  <c r="Y38" i="13"/>
  <c r="Z14" i="13"/>
  <c r="Z15" i="13"/>
  <c r="Z34" i="13"/>
  <c r="Z27" i="13"/>
  <c r="Z26" i="13"/>
  <c r="AD11" i="15"/>
  <c r="AD13" i="15"/>
  <c r="AD9" i="15"/>
  <c r="AD17" i="15"/>
  <c r="Z18" i="13"/>
  <c r="AD66" i="15"/>
  <c r="AD64" i="15"/>
  <c r="AD69" i="15"/>
  <c r="Z22" i="13"/>
  <c r="AD78" i="15"/>
  <c r="AD81" i="15"/>
  <c r="Z23" i="13"/>
  <c r="AD72" i="15"/>
  <c r="AD75" i="15"/>
  <c r="Z25" i="13"/>
  <c r="AD32" i="15"/>
  <c r="AD30" i="15"/>
  <c r="AD28" i="15"/>
  <c r="AD26" i="15"/>
  <c r="AD24" i="15"/>
  <c r="AD22" i="15"/>
  <c r="AD20" i="15"/>
  <c r="AD35" i="15"/>
  <c r="Z19" i="13"/>
  <c r="AD42" i="15"/>
  <c r="AD40" i="15"/>
  <c r="AD38" i="15"/>
  <c r="AD45" i="15"/>
  <c r="Z20" i="13"/>
  <c r="AD50" i="15"/>
  <c r="AD48" i="15"/>
  <c r="AD53" i="15"/>
  <c r="Z21" i="13"/>
  <c r="AD58" i="15"/>
  <c r="AD56" i="15"/>
  <c r="AD61" i="15"/>
  <c r="Z24" i="13"/>
  <c r="Z17" i="13"/>
  <c r="Z28" i="13"/>
  <c r="Z36" i="13"/>
  <c r="Z38" i="13"/>
  <c r="AA10" i="13"/>
  <c r="AA11" i="13"/>
  <c r="AA12" i="13"/>
  <c r="AA9" i="13"/>
  <c r="AA14" i="13"/>
  <c r="AA15" i="13"/>
  <c r="AA34" i="13"/>
  <c r="AA27" i="13"/>
  <c r="AA26" i="13"/>
  <c r="AE11" i="15"/>
  <c r="AE13" i="15"/>
  <c r="AE9" i="15"/>
  <c r="AE17" i="15"/>
  <c r="AA18" i="13"/>
  <c r="AE66" i="15"/>
  <c r="AE64" i="15"/>
  <c r="AE69" i="15"/>
  <c r="AA22" i="13"/>
  <c r="AE78" i="15"/>
  <c r="AE81" i="15"/>
  <c r="AA23" i="13"/>
  <c r="AE72" i="15"/>
  <c r="AE75" i="15"/>
  <c r="AA25" i="13"/>
  <c r="AE32" i="15"/>
  <c r="AE30" i="15"/>
  <c r="AE28" i="15"/>
  <c r="AE26" i="15"/>
  <c r="AE24" i="15"/>
  <c r="AE22" i="15"/>
  <c r="AE20" i="15"/>
  <c r="AE35" i="15"/>
  <c r="AA19" i="13"/>
  <c r="AE42" i="15"/>
  <c r="AE40" i="15"/>
  <c r="AE38" i="15"/>
  <c r="AE45" i="15"/>
  <c r="AA20" i="13"/>
  <c r="AE50" i="15"/>
  <c r="AE48" i="15"/>
  <c r="AE53" i="15"/>
  <c r="AA21" i="13"/>
  <c r="AE58" i="15"/>
  <c r="AE56" i="15"/>
  <c r="AE61" i="15"/>
  <c r="AA24" i="13"/>
  <c r="AA17" i="13"/>
  <c r="AA28" i="13"/>
  <c r="AA36" i="13"/>
  <c r="AA38" i="13"/>
  <c r="F5" i="17"/>
  <c r="F12" i="17"/>
  <c r="I12" i="17"/>
  <c r="AC27" i="13"/>
  <c r="G13" i="17"/>
  <c r="F13" i="17"/>
  <c r="I13" i="17"/>
  <c r="AC28" i="13"/>
  <c r="G14" i="17"/>
  <c r="F14" i="17"/>
  <c r="I14" i="17"/>
  <c r="G15" i="17"/>
  <c r="F15" i="17"/>
  <c r="I15" i="17"/>
  <c r="AC33" i="13"/>
  <c r="G16" i="17"/>
  <c r="F16" i="17"/>
  <c r="I16" i="17"/>
  <c r="AC34" i="13"/>
  <c r="G17" i="17"/>
  <c r="F17" i="17"/>
  <c r="I17" i="17"/>
  <c r="AC17" i="13"/>
  <c r="G11" i="17"/>
  <c r="F11" i="17"/>
  <c r="I11" i="17"/>
  <c r="F8" i="17"/>
  <c r="J12" i="19"/>
  <c r="J14" i="19"/>
  <c r="K13" i="19"/>
  <c r="K11" i="19"/>
  <c r="K10" i="19"/>
  <c r="K14" i="19"/>
  <c r="I11" i="19"/>
  <c r="I13" i="19"/>
  <c r="I10" i="19"/>
  <c r="E4" i="20"/>
  <c r="E6" i="20"/>
  <c r="D39" i="13"/>
  <c r="D43" i="13"/>
  <c r="E39" i="13"/>
  <c r="E43" i="13"/>
  <c r="F39" i="13"/>
  <c r="F43" i="13"/>
  <c r="G39" i="13"/>
  <c r="G43" i="13"/>
  <c r="H39" i="13"/>
  <c r="H43" i="13"/>
  <c r="I39" i="13"/>
  <c r="I43" i="13"/>
  <c r="J39" i="13"/>
  <c r="J43" i="13"/>
  <c r="K39" i="13"/>
  <c r="K43" i="13"/>
  <c r="L39" i="13"/>
  <c r="L43" i="13"/>
  <c r="M39" i="13"/>
  <c r="M43" i="13"/>
  <c r="N39" i="13"/>
  <c r="N43" i="13"/>
  <c r="O39" i="13"/>
  <c r="O43" i="13"/>
  <c r="AC43" i="13"/>
  <c r="F6" i="20"/>
  <c r="F7" i="20"/>
  <c r="F9" i="20"/>
  <c r="F14" i="20"/>
  <c r="F16" i="20"/>
  <c r="P39" i="13"/>
  <c r="P43" i="13"/>
  <c r="Q39" i="13"/>
  <c r="Q43" i="13"/>
  <c r="R39" i="13"/>
  <c r="R43" i="13"/>
  <c r="S39" i="13"/>
  <c r="S43" i="13"/>
  <c r="T39" i="13"/>
  <c r="T43" i="13"/>
  <c r="U39" i="13"/>
  <c r="U43" i="13"/>
  <c r="V39" i="13"/>
  <c r="V43" i="13"/>
  <c r="W39" i="13"/>
  <c r="W43" i="13"/>
  <c r="X39" i="13"/>
  <c r="X43" i="13"/>
  <c r="Y39" i="13"/>
  <c r="Y43" i="13"/>
  <c r="Z39" i="13"/>
  <c r="Z43" i="13"/>
  <c r="AA39" i="13"/>
  <c r="AA43" i="13"/>
  <c r="AD43" i="13"/>
  <c r="G6" i="20"/>
  <c r="G7" i="20"/>
  <c r="G9" i="20"/>
  <c r="G14" i="20"/>
  <c r="G16" i="20"/>
  <c r="AD5" i="13"/>
  <c r="AE10" i="13"/>
  <c r="AE11" i="13"/>
  <c r="AE12" i="13"/>
  <c r="AE9" i="13"/>
  <c r="AE15" i="13"/>
  <c r="AD9" i="13"/>
  <c r="AH4" i="15"/>
  <c r="AI79" i="15"/>
  <c r="AI80" i="15"/>
  <c r="AI12" i="15"/>
  <c r="AE3" i="15"/>
  <c r="AH3" i="15"/>
  <c r="AI10" i="15"/>
  <c r="AI14" i="15"/>
  <c r="AI16" i="15"/>
  <c r="AH21" i="15"/>
  <c r="AH25" i="15"/>
  <c r="AH27" i="15"/>
  <c r="AH29" i="15"/>
  <c r="AI33" i="15"/>
  <c r="AI29" i="15"/>
  <c r="AI27" i="15"/>
  <c r="AI25" i="15"/>
  <c r="AI21" i="15"/>
  <c r="AI34" i="15"/>
  <c r="AH41" i="15"/>
  <c r="AI39" i="15"/>
  <c r="AI41" i="15"/>
  <c r="AI44" i="15"/>
  <c r="AH59" i="15"/>
  <c r="AI57" i="15"/>
  <c r="AI59" i="15"/>
  <c r="AI60" i="15"/>
  <c r="AI51" i="15"/>
  <c r="AI52" i="15"/>
  <c r="AI73" i="15"/>
  <c r="AI74" i="15"/>
  <c r="AI67" i="15"/>
  <c r="AI65" i="15"/>
  <c r="AI68" i="15"/>
  <c r="AI83" i="15"/>
  <c r="AE34" i="13"/>
  <c r="AE33" i="13"/>
  <c r="AE27" i="13"/>
  <c r="AE26" i="13"/>
  <c r="AI11" i="15"/>
  <c r="AI13" i="15"/>
  <c r="AI9" i="15"/>
  <c r="AI17" i="15"/>
  <c r="AE18" i="13"/>
  <c r="AI66" i="15"/>
  <c r="AI64" i="15"/>
  <c r="AI69" i="15"/>
  <c r="AE22" i="13"/>
  <c r="AI78" i="15"/>
  <c r="AI81" i="15"/>
  <c r="AE23" i="13"/>
  <c r="AI72" i="15"/>
  <c r="AI75" i="15"/>
  <c r="AE25" i="13"/>
  <c r="AI32" i="15"/>
  <c r="AI22" i="15"/>
  <c r="AI30" i="15"/>
  <c r="AI28" i="15"/>
  <c r="AI26" i="15"/>
  <c r="AI24" i="15"/>
  <c r="AI20" i="15"/>
  <c r="AI35" i="15"/>
  <c r="AE19" i="13"/>
  <c r="AI38" i="15"/>
  <c r="AI40" i="15"/>
  <c r="AI45" i="15"/>
  <c r="AE20" i="13"/>
  <c r="AI56" i="15"/>
  <c r="AI58" i="15"/>
  <c r="AI61" i="15"/>
  <c r="AE24" i="13"/>
  <c r="AI50" i="15"/>
  <c r="AI48" i="15"/>
  <c r="AI53" i="15"/>
  <c r="AE21" i="13"/>
  <c r="AE17" i="13"/>
  <c r="AE28" i="13"/>
  <c r="AE36" i="13"/>
  <c r="AE38" i="13"/>
  <c r="AE39" i="13"/>
  <c r="AE41" i="13"/>
  <c r="AE43" i="13"/>
  <c r="H6" i="20"/>
  <c r="AE40" i="13"/>
  <c r="H7" i="20"/>
  <c r="H9" i="20"/>
  <c r="H14" i="20"/>
  <c r="H16" i="20"/>
  <c r="E9" i="20"/>
  <c r="E14" i="20"/>
  <c r="E16" i="20"/>
  <c r="AF10" i="13"/>
  <c r="AF11" i="13"/>
  <c r="AF12" i="13"/>
  <c r="AF9" i="13"/>
  <c r="AJ4" i="15"/>
  <c r="AK79" i="15"/>
  <c r="AK80" i="15"/>
  <c r="AK12" i="15"/>
  <c r="AK16" i="15"/>
  <c r="AK33" i="15"/>
  <c r="AK34" i="15"/>
  <c r="AK52" i="15"/>
  <c r="AK73" i="15"/>
  <c r="AK74" i="15"/>
  <c r="AK67" i="15"/>
  <c r="AK65" i="15"/>
  <c r="AK68" i="15"/>
  <c r="AK83" i="15"/>
  <c r="AG33" i="13"/>
  <c r="AI4" i="15"/>
  <c r="AJ79" i="15"/>
  <c r="AJ80" i="15"/>
  <c r="AJ12" i="15"/>
  <c r="AJ16" i="15"/>
  <c r="AJ33" i="15"/>
  <c r="AJ34" i="15"/>
  <c r="AJ39" i="15"/>
  <c r="AJ44" i="15"/>
  <c r="AJ57" i="15"/>
  <c r="AJ60" i="15"/>
  <c r="AJ52" i="15"/>
  <c r="AJ73" i="15"/>
  <c r="AJ74" i="15"/>
  <c r="AJ67" i="15"/>
  <c r="AJ65" i="15"/>
  <c r="AJ68" i="15"/>
  <c r="AJ83" i="15"/>
  <c r="AF33" i="13"/>
  <c r="AF41" i="13"/>
  <c r="AF40" i="13"/>
  <c r="AG41" i="13"/>
  <c r="AF34" i="13"/>
  <c r="AF27" i="13"/>
  <c r="AF26" i="13"/>
  <c r="AJ11" i="15"/>
  <c r="AJ17" i="15"/>
  <c r="AF18" i="13"/>
  <c r="AJ66" i="15"/>
  <c r="AJ64" i="15"/>
  <c r="AJ69" i="15"/>
  <c r="AF22" i="13"/>
  <c r="AJ78" i="15"/>
  <c r="AJ81" i="15"/>
  <c r="AF23" i="13"/>
  <c r="AJ72" i="15"/>
  <c r="AJ75" i="15"/>
  <c r="AF25" i="13"/>
  <c r="AJ32" i="15"/>
  <c r="AJ22" i="15"/>
  <c r="AJ30" i="15"/>
  <c r="AJ35" i="15"/>
  <c r="AF19" i="13"/>
  <c r="AJ38" i="15"/>
  <c r="AJ45" i="15"/>
  <c r="AF20" i="13"/>
  <c r="AJ56" i="15"/>
  <c r="AJ61" i="15"/>
  <c r="AF24" i="13"/>
  <c r="AJ48" i="15"/>
  <c r="AJ53" i="15"/>
  <c r="AF21" i="13"/>
  <c r="AF17" i="13"/>
  <c r="AF28" i="13"/>
  <c r="AF36" i="13"/>
  <c r="AF15" i="13"/>
  <c r="AF38" i="13"/>
  <c r="AF39" i="13"/>
  <c r="AF43" i="13"/>
  <c r="AG34" i="13"/>
  <c r="AG27" i="13"/>
  <c r="AG26" i="13"/>
  <c r="AK11" i="15"/>
  <c r="AK17" i="15"/>
  <c r="AG18" i="13"/>
  <c r="AK66" i="15"/>
  <c r="AK64" i="15"/>
  <c r="AK69" i="15"/>
  <c r="AG22" i="13"/>
  <c r="AK78" i="15"/>
  <c r="AK81" i="15"/>
  <c r="AG23" i="13"/>
  <c r="AK72" i="15"/>
  <c r="AK75" i="15"/>
  <c r="AG25" i="13"/>
  <c r="AK22" i="15"/>
  <c r="AK32" i="15"/>
  <c r="AK30" i="15"/>
  <c r="AK35" i="15"/>
  <c r="AG19" i="13"/>
  <c r="AK48" i="15"/>
  <c r="AK53" i="15"/>
  <c r="AG21" i="13"/>
  <c r="AG17" i="13"/>
  <c r="AG28" i="13"/>
  <c r="AG36" i="13"/>
  <c r="AG10" i="13"/>
  <c r="AG11" i="13"/>
  <c r="AG12" i="13"/>
  <c r="AG9" i="13"/>
  <c r="AG15" i="13"/>
  <c r="AG38" i="13"/>
  <c r="AG39" i="13"/>
  <c r="AG43" i="13"/>
  <c r="AG40" i="13"/>
  <c r="D18" i="13"/>
  <c r="D20" i="13"/>
  <c r="D23" i="13"/>
  <c r="D24" i="13"/>
  <c r="H3" i="15"/>
  <c r="I10" i="15"/>
  <c r="I14" i="15"/>
  <c r="I29" i="15"/>
  <c r="I27" i="15"/>
  <c r="I25" i="15"/>
  <c r="I21" i="15"/>
  <c r="I41" i="15"/>
  <c r="I43" i="15"/>
  <c r="I44" i="15"/>
  <c r="I51" i="15"/>
  <c r="I59" i="15"/>
  <c r="I60" i="15"/>
  <c r="I13" i="15"/>
  <c r="I9" i="15"/>
  <c r="I28" i="15"/>
  <c r="I26" i="15"/>
  <c r="I24" i="15"/>
  <c r="I20" i="15"/>
  <c r="I42" i="15"/>
  <c r="I40" i="15"/>
  <c r="I45" i="15"/>
  <c r="E20" i="13"/>
  <c r="I50" i="15"/>
  <c r="I58" i="15"/>
  <c r="I61" i="15"/>
  <c r="E24" i="13"/>
  <c r="I3" i="15"/>
  <c r="J10" i="15"/>
  <c r="J14" i="15"/>
  <c r="J29" i="15"/>
  <c r="J27" i="15"/>
  <c r="J25" i="15"/>
  <c r="J21" i="15"/>
  <c r="J41" i="15"/>
  <c r="J43" i="15"/>
  <c r="J39" i="15"/>
  <c r="J44" i="15"/>
  <c r="J51" i="15"/>
  <c r="J59" i="15"/>
  <c r="J57" i="15"/>
  <c r="J60" i="15"/>
  <c r="J13" i="15"/>
  <c r="J9" i="15"/>
  <c r="J28" i="15"/>
  <c r="J26" i="15"/>
  <c r="J24" i="15"/>
  <c r="J20" i="15"/>
  <c r="J42" i="15"/>
  <c r="J40" i="15"/>
  <c r="J38" i="15"/>
  <c r="J45" i="15"/>
  <c r="F20" i="13"/>
  <c r="J50" i="15"/>
  <c r="J58" i="15"/>
  <c r="J56" i="15"/>
  <c r="J61" i="15"/>
  <c r="F24" i="13"/>
  <c r="J3" i="15"/>
  <c r="K10" i="15"/>
  <c r="K14" i="15"/>
  <c r="K29" i="15"/>
  <c r="K27" i="15"/>
  <c r="K25" i="15"/>
  <c r="K21" i="15"/>
  <c r="K41" i="15"/>
  <c r="K43" i="15"/>
  <c r="K39" i="15"/>
  <c r="K44" i="15"/>
  <c r="K51" i="15"/>
  <c r="K59" i="15"/>
  <c r="K57" i="15"/>
  <c r="K60" i="15"/>
  <c r="K13" i="15"/>
  <c r="K9" i="15"/>
  <c r="K28" i="15"/>
  <c r="K26" i="15"/>
  <c r="K24" i="15"/>
  <c r="K20" i="15"/>
  <c r="K42" i="15"/>
  <c r="K40" i="15"/>
  <c r="K38" i="15"/>
  <c r="K45" i="15"/>
  <c r="G20" i="13"/>
  <c r="K50" i="15"/>
  <c r="K58" i="15"/>
  <c r="K56" i="15"/>
  <c r="K61" i="15"/>
  <c r="G24" i="13"/>
  <c r="K3" i="15"/>
  <c r="L10" i="15"/>
  <c r="L14" i="15"/>
  <c r="L29" i="15"/>
  <c r="L27" i="15"/>
  <c r="L25" i="15"/>
  <c r="L21" i="15"/>
  <c r="L41" i="15"/>
  <c r="L43" i="15"/>
  <c r="L39" i="15"/>
  <c r="L44" i="15"/>
  <c r="L51" i="15"/>
  <c r="L59" i="15"/>
  <c r="L57" i="15"/>
  <c r="L60" i="15"/>
  <c r="L13" i="15"/>
  <c r="L9" i="15"/>
  <c r="L28" i="15"/>
  <c r="L26" i="15"/>
  <c r="L24" i="15"/>
  <c r="L20" i="15"/>
  <c r="L42" i="15"/>
  <c r="L40" i="15"/>
  <c r="L38" i="15"/>
  <c r="L45" i="15"/>
  <c r="H20" i="13"/>
  <c r="L50" i="15"/>
  <c r="L58" i="15"/>
  <c r="L56" i="15"/>
  <c r="L61" i="15"/>
  <c r="H24" i="13"/>
  <c r="L3" i="15"/>
  <c r="M10" i="15"/>
  <c r="M14" i="15"/>
  <c r="M29" i="15"/>
  <c r="M27" i="15"/>
  <c r="M25" i="15"/>
  <c r="M21" i="15"/>
  <c r="M41" i="15"/>
  <c r="M43" i="15"/>
  <c r="M39" i="15"/>
  <c r="M44" i="15"/>
  <c r="M51" i="15"/>
  <c r="M59" i="15"/>
  <c r="M57" i="15"/>
  <c r="M60" i="15"/>
  <c r="M13" i="15"/>
  <c r="M9" i="15"/>
  <c r="M28" i="15"/>
  <c r="M26" i="15"/>
  <c r="M24" i="15"/>
  <c r="M20" i="15"/>
  <c r="M42" i="15"/>
  <c r="M40" i="15"/>
  <c r="M38" i="15"/>
  <c r="M45" i="15"/>
  <c r="I20" i="13"/>
  <c r="M50" i="15"/>
  <c r="M58" i="15"/>
  <c r="M56" i="15"/>
  <c r="M61" i="15"/>
  <c r="I24" i="13"/>
  <c r="M3" i="15"/>
  <c r="N10" i="15"/>
  <c r="N14" i="15"/>
  <c r="N29" i="15"/>
  <c r="N27" i="15"/>
  <c r="N25" i="15"/>
  <c r="N21" i="15"/>
  <c r="N41" i="15"/>
  <c r="N43" i="15"/>
  <c r="N39" i="15"/>
  <c r="N44" i="15"/>
  <c r="N51" i="15"/>
  <c r="N59" i="15"/>
  <c r="N57" i="15"/>
  <c r="N60" i="15"/>
  <c r="N13" i="15"/>
  <c r="N9" i="15"/>
  <c r="N28" i="15"/>
  <c r="N26" i="15"/>
  <c r="N24" i="15"/>
  <c r="N20" i="15"/>
  <c r="N42" i="15"/>
  <c r="N40" i="15"/>
  <c r="N38" i="15"/>
  <c r="N45" i="15"/>
  <c r="J20" i="13"/>
  <c r="N50" i="15"/>
  <c r="N58" i="15"/>
  <c r="N56" i="15"/>
  <c r="N61" i="15"/>
  <c r="J24" i="13"/>
  <c r="O39" i="15"/>
  <c r="O57" i="15"/>
  <c r="O38" i="15"/>
  <c r="O56" i="15"/>
  <c r="G17" i="1"/>
  <c r="G18" i="1"/>
  <c r="G6" i="2"/>
  <c r="D7" i="2"/>
  <c r="G7" i="2"/>
  <c r="F8" i="2"/>
  <c r="G8" i="2"/>
  <c r="F9" i="2"/>
  <c r="G9" i="2"/>
  <c r="G10" i="2"/>
  <c r="G11" i="2"/>
  <c r="G6" i="1"/>
  <c r="G28" i="1"/>
  <c r="G31" i="1"/>
  <c r="I31" i="1"/>
  <c r="G32" i="1"/>
  <c r="I32" i="1"/>
  <c r="AJ3" i="15"/>
  <c r="AK10" i="15"/>
  <c r="AK14" i="15"/>
  <c r="AI3" i="15"/>
  <c r="AJ21" i="15"/>
  <c r="AJ25" i="15"/>
  <c r="AJ27" i="15"/>
  <c r="AJ29" i="15"/>
  <c r="AK29" i="15"/>
  <c r="AK27" i="15"/>
  <c r="AK25" i="15"/>
  <c r="AK21" i="15"/>
  <c r="AK41" i="15"/>
  <c r="AJ41" i="15"/>
  <c r="AK39" i="15"/>
  <c r="AK44" i="15"/>
  <c r="AK51" i="15"/>
  <c r="AK59" i="15"/>
  <c r="AJ59" i="15"/>
  <c r="AK57" i="15"/>
  <c r="AK60" i="15"/>
  <c r="AK13" i="15"/>
  <c r="AK9" i="15"/>
  <c r="AK28" i="15"/>
  <c r="AK26" i="15"/>
  <c r="AK24" i="15"/>
  <c r="AK20" i="15"/>
  <c r="AK40" i="15"/>
  <c r="AK38" i="15"/>
  <c r="AK45" i="15"/>
  <c r="AG20" i="13"/>
  <c r="AK50" i="15"/>
  <c r="AK58" i="15"/>
  <c r="AK56" i="15"/>
  <c r="AK61" i="15"/>
  <c r="AG24" i="13"/>
  <c r="AG44" i="13"/>
  <c r="J32" i="1"/>
  <c r="F30" i="12"/>
  <c r="G26" i="1"/>
  <c r="G19" i="1"/>
  <c r="G24" i="1"/>
  <c r="G33" i="1"/>
  <c r="I33" i="1"/>
  <c r="J33" i="1"/>
  <c r="J31" i="1"/>
  <c r="L33" i="1"/>
  <c r="L32" i="1"/>
  <c r="L31" i="1"/>
  <c r="AJ10" i="15"/>
  <c r="AJ14" i="15"/>
  <c r="AJ51" i="15"/>
  <c r="AJ13" i="15"/>
  <c r="AJ9" i="15"/>
  <c r="AJ28" i="15"/>
  <c r="AJ26" i="15"/>
  <c r="AJ24" i="15"/>
  <c r="AJ20" i="15"/>
  <c r="AJ40" i="15"/>
  <c r="AJ50" i="15"/>
  <c r="AJ58" i="15"/>
  <c r="AF44" i="13"/>
  <c r="AE44" i="13"/>
  <c r="AD38" i="13"/>
  <c r="AD44" i="13"/>
  <c r="AC38" i="13"/>
  <c r="AC44" i="13"/>
  <c r="E44" i="13"/>
  <c r="F44" i="13"/>
  <c r="G44" i="13"/>
  <c r="H44" i="13"/>
  <c r="I44" i="13"/>
  <c r="J44" i="13"/>
  <c r="K44" i="13"/>
  <c r="L44" i="13"/>
  <c r="M44" i="13"/>
  <c r="N44" i="13"/>
  <c r="O44" i="13"/>
  <c r="P44" i="13"/>
  <c r="Q44" i="13"/>
  <c r="R44" i="13"/>
  <c r="S44" i="13"/>
  <c r="T44" i="13"/>
  <c r="U44" i="13"/>
  <c r="V44" i="13"/>
  <c r="W44" i="13"/>
  <c r="X44" i="13"/>
  <c r="Y44" i="13"/>
  <c r="Z44" i="13"/>
  <c r="AA44" i="13"/>
  <c r="D44" i="13"/>
  <c r="F7" i="17"/>
  <c r="AG6" i="13"/>
  <c r="AF6" i="13"/>
  <c r="AE6" i="13"/>
  <c r="F6" i="13"/>
  <c r="G6" i="13"/>
  <c r="H6" i="13"/>
  <c r="I6" i="13"/>
  <c r="J6" i="13"/>
  <c r="K6" i="13"/>
  <c r="L6" i="13"/>
  <c r="M6" i="13"/>
  <c r="N6" i="13"/>
  <c r="O6" i="13"/>
  <c r="P6" i="13"/>
  <c r="Q6" i="13"/>
  <c r="R6" i="13"/>
  <c r="S6" i="13"/>
  <c r="T6" i="13"/>
  <c r="U6" i="13"/>
  <c r="V6" i="13"/>
  <c r="W6" i="13"/>
  <c r="X6" i="13"/>
  <c r="Y6" i="13"/>
  <c r="Z6" i="13"/>
  <c r="AA6" i="13"/>
  <c r="E6" i="13"/>
  <c r="H16" i="15"/>
  <c r="H10" i="15"/>
  <c r="H25" i="15"/>
  <c r="H21" i="15"/>
  <c r="H41" i="15"/>
  <c r="H43" i="15"/>
  <c r="H44" i="15"/>
  <c r="I39" i="15"/>
  <c r="H79" i="15"/>
  <c r="H80" i="15"/>
  <c r="I57" i="15"/>
  <c r="H57" i="15"/>
  <c r="H59" i="15"/>
  <c r="H51" i="15"/>
  <c r="H39" i="15"/>
  <c r="H33" i="15"/>
  <c r="H29" i="15"/>
  <c r="H27" i="15"/>
  <c r="H14" i="15"/>
  <c r="H12" i="15"/>
  <c r="T7" i="15"/>
  <c r="U7" i="15"/>
  <c r="V7" i="15"/>
  <c r="W7" i="15"/>
  <c r="X7" i="15"/>
  <c r="Y7" i="15"/>
  <c r="AH7" i="15"/>
  <c r="T6" i="15"/>
  <c r="U6" i="15"/>
  <c r="V6" i="15"/>
  <c r="W6" i="15"/>
  <c r="X6" i="15"/>
  <c r="Y6" i="15"/>
  <c r="AH6" i="15"/>
  <c r="I7" i="15"/>
  <c r="J7" i="15"/>
  <c r="K7" i="15"/>
  <c r="L7" i="15"/>
  <c r="M7" i="15"/>
  <c r="N7" i="15"/>
  <c r="O7" i="15"/>
  <c r="P7" i="15"/>
  <c r="Q7" i="15"/>
  <c r="R7" i="15"/>
  <c r="S7" i="15"/>
  <c r="AG7" i="15"/>
  <c r="H9" i="15"/>
  <c r="H11" i="15"/>
  <c r="H13" i="15"/>
  <c r="P6" i="15"/>
  <c r="I6" i="15"/>
  <c r="J6" i="15"/>
  <c r="K6" i="15"/>
  <c r="L6" i="15"/>
  <c r="M6" i="15"/>
  <c r="N6" i="15"/>
  <c r="O6" i="15"/>
  <c r="Q6" i="15"/>
  <c r="R6" i="15"/>
  <c r="S6" i="15"/>
  <c r="H17" i="15"/>
  <c r="H20" i="15"/>
  <c r="H24" i="15"/>
  <c r="H26" i="15"/>
  <c r="H28" i="15"/>
  <c r="H32" i="15"/>
  <c r="I38" i="15"/>
  <c r="H38" i="15"/>
  <c r="H40" i="15"/>
  <c r="H42" i="15"/>
  <c r="H45" i="15"/>
  <c r="H50" i="15"/>
  <c r="I56" i="15"/>
  <c r="H56" i="15"/>
  <c r="H58" i="15"/>
  <c r="H60" i="15"/>
  <c r="H61" i="15"/>
  <c r="H78" i="15"/>
  <c r="H81" i="15"/>
  <c r="I84" i="15"/>
  <c r="AG6" i="15"/>
  <c r="AA7" i="15"/>
  <c r="AA6" i="15"/>
  <c r="AB7" i="15"/>
  <c r="AB6" i="15"/>
  <c r="AC7" i="15"/>
  <c r="AC6" i="15"/>
  <c r="AD7" i="15"/>
  <c r="AD6" i="15"/>
  <c r="AE7" i="15"/>
  <c r="AE6" i="15"/>
  <c r="P29" i="13"/>
  <c r="Q29" i="13"/>
  <c r="R29" i="13"/>
  <c r="S29" i="13"/>
  <c r="T29" i="13"/>
  <c r="U29" i="13"/>
  <c r="V29" i="13"/>
  <c r="W29" i="13"/>
  <c r="X29" i="13"/>
  <c r="Y29" i="13"/>
  <c r="Z29" i="13"/>
  <c r="AA29" i="13"/>
  <c r="AD29" i="13"/>
  <c r="AD30" i="13"/>
  <c r="AD31" i="13"/>
  <c r="AD32" i="13"/>
  <c r="AD41" i="13"/>
  <c r="AD42" i="13"/>
  <c r="AC12" i="13"/>
  <c r="D13" i="13"/>
  <c r="D14" i="13"/>
  <c r="E29" i="13"/>
  <c r="F29" i="13"/>
  <c r="G29" i="13"/>
  <c r="H29" i="13"/>
  <c r="I29" i="13"/>
  <c r="J29" i="13"/>
  <c r="K29" i="13"/>
  <c r="L29" i="13"/>
  <c r="M29" i="13"/>
  <c r="N29" i="13"/>
  <c r="O29" i="13"/>
  <c r="D29" i="13"/>
  <c r="AC29" i="13"/>
  <c r="AC30" i="13"/>
  <c r="AC31" i="13"/>
  <c r="AC32" i="13"/>
  <c r="AC41" i="13"/>
  <c r="AC42" i="13"/>
  <c r="AF29" i="13"/>
  <c r="AG29" i="13"/>
  <c r="AJ6" i="15"/>
  <c r="AK6" i="15"/>
  <c r="AJ7" i="15"/>
  <c r="AK7" i="15"/>
  <c r="AJ42" i="15"/>
  <c r="AK42" i="15"/>
  <c r="AI42" i="15"/>
  <c r="AI7" i="15"/>
  <c r="AI6" i="15"/>
  <c r="AE29" i="13"/>
  <c r="E9" i="15"/>
  <c r="E11" i="15"/>
  <c r="E13" i="15"/>
  <c r="E20" i="15"/>
  <c r="E22" i="15"/>
  <c r="E24" i="15"/>
  <c r="E26" i="15"/>
  <c r="E28" i="15"/>
  <c r="E30" i="15"/>
  <c r="E32" i="15"/>
  <c r="E38" i="15"/>
  <c r="E40" i="15"/>
  <c r="E42" i="15"/>
  <c r="E48" i="15"/>
  <c r="E50" i="15"/>
  <c r="E56" i="15"/>
  <c r="E58" i="15"/>
  <c r="E64" i="15"/>
  <c r="E66" i="15"/>
  <c r="E72" i="15"/>
  <c r="E78" i="15"/>
  <c r="E6" i="15"/>
  <c r="E7" i="15"/>
  <c r="Z6" i="15"/>
  <c r="Z7" i="15"/>
  <c r="H6" i="15"/>
  <c r="H7" i="15"/>
  <c r="I2" i="15"/>
  <c r="J2" i="15"/>
  <c r="K2" i="15"/>
  <c r="L2" i="15"/>
  <c r="M2" i="15"/>
  <c r="N2" i="15"/>
  <c r="O2" i="15"/>
  <c r="P2" i="15"/>
  <c r="Q2" i="15"/>
  <c r="R2" i="15"/>
  <c r="S2" i="15"/>
  <c r="T2" i="15"/>
  <c r="U2" i="15"/>
  <c r="V2" i="15"/>
  <c r="W2" i="15"/>
  <c r="X2" i="15"/>
  <c r="Y2" i="15"/>
  <c r="Z2" i="15"/>
  <c r="AA2" i="15"/>
  <c r="AB2" i="15"/>
  <c r="AC2" i="15"/>
  <c r="AD2" i="15"/>
  <c r="AE2" i="15"/>
  <c r="H2" i="15"/>
  <c r="D7" i="13"/>
  <c r="F33" i="12"/>
  <c r="H84" i="15"/>
  <c r="E14" i="13"/>
  <c r="F14" i="13"/>
  <c r="G14" i="13"/>
  <c r="H14" i="13"/>
  <c r="I14" i="13"/>
  <c r="AC39" i="13"/>
  <c r="AC25" i="13"/>
  <c r="AC22" i="13"/>
  <c r="J84" i="15"/>
  <c r="K84" i="15"/>
  <c r="L84" i="15"/>
  <c r="M84" i="15"/>
  <c r="N84" i="15"/>
  <c r="O84" i="15"/>
  <c r="P84" i="15"/>
  <c r="Q84" i="15"/>
  <c r="R84" i="15"/>
  <c r="S84" i="15"/>
  <c r="AG84" i="15"/>
  <c r="AG75" i="15"/>
  <c r="AG72" i="15"/>
  <c r="AG69" i="15"/>
  <c r="AG66" i="15"/>
  <c r="AA7" i="13"/>
  <c r="Z7" i="13"/>
  <c r="Y7" i="13"/>
  <c r="X7" i="13"/>
  <c r="W7" i="13"/>
  <c r="V7" i="13"/>
  <c r="U7" i="13"/>
  <c r="T7" i="13"/>
  <c r="S7" i="13"/>
  <c r="R7" i="13"/>
  <c r="Q7" i="13"/>
  <c r="P7" i="13"/>
  <c r="O7" i="13"/>
  <c r="N7" i="13"/>
  <c r="M7" i="13"/>
  <c r="L7" i="13"/>
  <c r="K7" i="13"/>
  <c r="J7" i="13"/>
  <c r="I7" i="13"/>
  <c r="H7" i="13"/>
  <c r="G7" i="13"/>
  <c r="F7" i="13"/>
  <c r="E7" i="13"/>
  <c r="AI84" i="15"/>
  <c r="AE14" i="13"/>
  <c r="AE13" i="13"/>
  <c r="AG7" i="13"/>
  <c r="AF7" i="13"/>
  <c r="AE7" i="13"/>
  <c r="AK84" i="15"/>
  <c r="AJ84" i="15"/>
  <c r="AK3" i="15"/>
  <c r="AG14" i="13"/>
  <c r="AF14" i="13"/>
  <c r="AG13" i="13"/>
  <c r="AF13" i="13"/>
  <c r="AC24" i="13"/>
  <c r="AC23" i="13"/>
  <c r="AC21" i="13"/>
  <c r="AC20" i="13"/>
  <c r="AC19" i="13"/>
  <c r="AC18" i="13"/>
  <c r="AC15" i="13"/>
  <c r="AC14" i="13"/>
  <c r="E13" i="13"/>
  <c r="F13" i="13"/>
  <c r="G13" i="13"/>
  <c r="H13" i="13"/>
  <c r="I13" i="13"/>
  <c r="J13" i="13"/>
  <c r="K13" i="13"/>
  <c r="L13" i="13"/>
  <c r="M13" i="13"/>
  <c r="N13" i="13"/>
  <c r="O13" i="13"/>
  <c r="AC13" i="13"/>
  <c r="AC11" i="13"/>
  <c r="AC10" i="13"/>
  <c r="AD39" i="13"/>
  <c r="AD36" i="13"/>
  <c r="AD34" i="13"/>
  <c r="AD33" i="13"/>
  <c r="AD28" i="13"/>
  <c r="AD27" i="13"/>
  <c r="AD26" i="13"/>
  <c r="AD25" i="13"/>
  <c r="AD24" i="13"/>
  <c r="AD23" i="13"/>
  <c r="AD22" i="13"/>
  <c r="AD21" i="13"/>
  <c r="AD20" i="13"/>
  <c r="AD19" i="13"/>
  <c r="AD18" i="13"/>
  <c r="AD17" i="13"/>
  <c r="AD15" i="13"/>
  <c r="AD14" i="13"/>
  <c r="P13" i="13"/>
  <c r="Q13" i="13"/>
  <c r="R13" i="13"/>
  <c r="S13" i="13"/>
  <c r="T13" i="13"/>
  <c r="U13" i="13"/>
  <c r="V13" i="13"/>
  <c r="W13" i="13"/>
  <c r="X13" i="13"/>
  <c r="Y13" i="13"/>
  <c r="Z13" i="13"/>
  <c r="AA13" i="13"/>
  <c r="AD13" i="13"/>
  <c r="AD12" i="13"/>
  <c r="AD11" i="13"/>
  <c r="AD10" i="13"/>
  <c r="AD6" i="13"/>
  <c r="AG81" i="15"/>
  <c r="AG78" i="15"/>
  <c r="AG61" i="15"/>
  <c r="AG58" i="15"/>
  <c r="AG56" i="15"/>
  <c r="AG53" i="15"/>
  <c r="AG50" i="15"/>
  <c r="AG48" i="15"/>
  <c r="AG45" i="15"/>
  <c r="AG42" i="15"/>
  <c r="AG40" i="15"/>
  <c r="AG38" i="15"/>
  <c r="AG35" i="15"/>
  <c r="AG32" i="15"/>
  <c r="AG30" i="15"/>
  <c r="AG28" i="15"/>
  <c r="AG26" i="15"/>
  <c r="AG24" i="15"/>
  <c r="AG22" i="15"/>
  <c r="AG20" i="15"/>
  <c r="AG17" i="15"/>
  <c r="AG13" i="15"/>
  <c r="AG11" i="15"/>
  <c r="AG9" i="15"/>
  <c r="T84" i="15"/>
  <c r="U84" i="15"/>
  <c r="V84" i="15"/>
  <c r="W84" i="15"/>
  <c r="X84" i="15"/>
  <c r="Y84" i="15"/>
  <c r="Z84" i="15"/>
  <c r="AA84" i="15"/>
  <c r="AB84" i="15"/>
  <c r="AC84" i="15"/>
  <c r="AD84" i="15"/>
  <c r="AE84" i="15"/>
  <c r="AH84" i="15"/>
  <c r="AH81" i="15"/>
  <c r="AH78" i="15"/>
  <c r="AH75" i="15"/>
  <c r="AH72" i="15"/>
  <c r="AH69" i="15"/>
  <c r="AH66" i="15"/>
  <c r="AH64" i="15"/>
  <c r="AH61" i="15"/>
  <c r="AH58" i="15"/>
  <c r="AH56" i="15"/>
  <c r="AH53" i="15"/>
  <c r="AH50" i="15"/>
  <c r="AH48" i="15"/>
  <c r="AH45" i="15"/>
  <c r="AH42" i="15"/>
  <c r="AH40" i="15"/>
  <c r="AH38" i="15"/>
  <c r="AH35" i="15"/>
  <c r="AH32" i="15"/>
  <c r="AH30" i="15"/>
  <c r="AH28" i="15"/>
  <c r="AH26" i="15"/>
  <c r="AH24" i="15"/>
  <c r="AH22" i="15"/>
  <c r="AH20" i="15"/>
  <c r="AH17" i="15"/>
  <c r="AH13" i="15"/>
  <c r="AH11" i="15"/>
  <c r="AH9" i="15"/>
  <c r="AG3" i="15"/>
  <c r="AK4" i="15"/>
  <c r="AC9" i="13"/>
  <c r="AG4" i="15"/>
  <c r="AE4" i="15"/>
  <c r="AG12" i="15"/>
  <c r="AG14" i="15"/>
  <c r="AG23" i="15"/>
  <c r="AG27" i="15"/>
  <c r="AG29" i="15"/>
  <c r="AG31" i="15"/>
  <c r="AG33" i="15"/>
  <c r="AG34" i="15"/>
  <c r="AG39" i="15"/>
  <c r="AG41" i="15"/>
  <c r="AG43" i="15"/>
  <c r="AG44" i="15"/>
  <c r="AG49" i="15"/>
  <c r="AG51" i="15"/>
  <c r="AG52" i="15"/>
  <c r="AG57" i="15"/>
  <c r="AG59" i="15"/>
  <c r="AG60" i="15"/>
  <c r="AG64" i="15"/>
  <c r="AG65" i="15"/>
  <c r="AG67" i="15"/>
  <c r="AG68" i="15"/>
  <c r="AG73" i="15"/>
  <c r="AG74" i="15"/>
  <c r="AG79" i="15"/>
  <c r="AG80" i="15"/>
  <c r="AG83" i="15"/>
  <c r="AG21" i="15"/>
  <c r="AG25" i="15"/>
  <c r="AH12" i="15"/>
  <c r="AH14" i="15"/>
  <c r="AH10" i="15"/>
  <c r="AH16" i="15"/>
  <c r="AG10" i="15"/>
  <c r="AG16" i="15"/>
  <c r="AH23" i="15"/>
  <c r="AH33" i="15"/>
  <c r="AH34" i="15"/>
  <c r="AH39" i="15"/>
  <c r="AH43" i="15"/>
  <c r="AH44" i="15"/>
  <c r="AH49" i="15"/>
  <c r="AH51" i="15"/>
  <c r="AH52" i="15"/>
  <c r="AH57" i="15"/>
  <c r="AH60" i="15"/>
  <c r="AH65" i="15"/>
  <c r="AH67" i="15"/>
  <c r="AH68" i="15"/>
  <c r="AH73" i="15"/>
  <c r="AH74" i="15"/>
  <c r="AH79" i="15"/>
  <c r="AH80" i="15"/>
  <c r="AH83" i="15"/>
  <c r="I14" i="19"/>
</calcChain>
</file>

<file path=xl/sharedStrings.xml><?xml version="1.0" encoding="utf-8"?>
<sst xmlns="http://schemas.openxmlformats.org/spreadsheetml/2006/main" count="452" uniqueCount="306">
  <si>
    <t>%</t>
  </si>
  <si>
    <t>Type of College</t>
  </si>
  <si>
    <t>Public Two-Year College (in-state students)</t>
  </si>
  <si>
    <t>Public Four-Year College (in-state students)</t>
  </si>
  <si>
    <t>Public Four-Year College (out-of-state students)</t>
  </si>
  <si>
    <t>Private Four-Year College</t>
  </si>
  <si>
    <t>Company</t>
  </si>
  <si>
    <t>Funding</t>
  </si>
  <si>
    <t>Status</t>
  </si>
  <si>
    <t>Education Specific</t>
  </si>
  <si>
    <t>Pre-College</t>
  </si>
  <si>
    <t>529 Plans</t>
  </si>
  <si>
    <t>Project Basis or Ongoing</t>
  </si>
  <si>
    <t>Indiegogo</t>
  </si>
  <si>
    <t>GoFundMe</t>
  </si>
  <si>
    <t>GradSave</t>
  </si>
  <si>
    <t>GiveCollege</t>
  </si>
  <si>
    <t>Upstart</t>
  </si>
  <si>
    <t>ScholarMatch</t>
  </si>
  <si>
    <t>IncitED</t>
  </si>
  <si>
    <t>ZeroBound</t>
  </si>
  <si>
    <t>CrowdfundEDU</t>
  </si>
  <si>
    <t>AlumniFunder</t>
  </si>
  <si>
    <t>AngelDorm</t>
  </si>
  <si>
    <t>x</t>
  </si>
  <si>
    <t>Ongoing</t>
  </si>
  <si>
    <t>Notes</t>
  </si>
  <si>
    <t>Does not establish 529 and will not work without one</t>
  </si>
  <si>
    <t>Active</t>
  </si>
  <si>
    <t>Piglt</t>
  </si>
  <si>
    <t>Loan Repayment</t>
  </si>
  <si>
    <t>Kickstarter</t>
  </si>
  <si>
    <t>Student or Project Focused</t>
  </si>
  <si>
    <t>Student</t>
  </si>
  <si>
    <t>Project</t>
  </si>
  <si>
    <t xml:space="preserve">Project </t>
  </si>
  <si>
    <t>Incubator?</t>
  </si>
  <si>
    <t>10M</t>
  </si>
  <si>
    <t>56.5M</t>
  </si>
  <si>
    <t>Self</t>
  </si>
  <si>
    <t>Angel</t>
  </si>
  <si>
    <t>None</t>
  </si>
  <si>
    <t>7.7M</t>
  </si>
  <si>
    <t>Small scholarships from bigger donors; Nonprofit</t>
  </si>
  <si>
    <t>-</t>
  </si>
  <si>
    <t>25K</t>
  </si>
  <si>
    <t>Defunct</t>
  </si>
  <si>
    <t>Both</t>
  </si>
  <si>
    <t>Dubious</t>
  </si>
  <si>
    <t>Most resembles our model, lots of press but no site! (https://www.youtube.com/watch?v=RsKY8gnyKiA)</t>
  </si>
  <si>
    <t>Date</t>
  </si>
  <si>
    <t>Social</t>
  </si>
  <si>
    <t>Site Fee</t>
  </si>
  <si>
    <t>Transaction</t>
  </si>
  <si>
    <t>Total</t>
  </si>
  <si>
    <t>2.9% + $.30</t>
  </si>
  <si>
    <t>Founded</t>
  </si>
  <si>
    <t>Upromise</t>
  </si>
  <si>
    <t>Raise.me</t>
  </si>
  <si>
    <t>Dreamfund</t>
  </si>
  <si>
    <t>Commonbond</t>
  </si>
  <si>
    <t>Instagrad</t>
  </si>
  <si>
    <t>Vittanna</t>
  </si>
  <si>
    <t>Piggybackr</t>
  </si>
  <si>
    <t>Credit card rewards program where points translate into dollars for college</t>
  </si>
  <si>
    <t>Description</t>
  </si>
  <si>
    <t>Run by Sallie Mae</t>
  </si>
  <si>
    <t>Micro scholarships for High School achievements. Can only be used at the school that made award.</t>
  </si>
  <si>
    <t>Crowdfunding for personal needs.</t>
  </si>
  <si>
    <t>Focuses on tools to reach close circles instead of general public</t>
  </si>
  <si>
    <t>Peer-to-peer educational lending</t>
  </si>
  <si>
    <t>Event-oriented college savings gifts</t>
  </si>
  <si>
    <t>Copyright 2013, pretty sure it is half-defunct</t>
  </si>
  <si>
    <t>Waning</t>
  </si>
  <si>
    <t>Student loans to impoverished, international students</t>
  </si>
  <si>
    <t>Crowdfunding platform for children</t>
  </si>
  <si>
    <t>Monthly Recurring</t>
  </si>
  <si>
    <t>Sustaining Backers</t>
  </si>
  <si>
    <t>Avg Recurring Gift</t>
  </si>
  <si>
    <t>Special Gifts</t>
  </si>
  <si>
    <t>Birthday</t>
  </si>
  <si>
    <t>Christmas</t>
  </si>
  <si>
    <t>Avg Annual Raise</t>
  </si>
  <si>
    <t>Fee Revenue</t>
  </si>
  <si>
    <t>Advertising Revenue</t>
  </si>
  <si>
    <t>CTR</t>
  </si>
  <si>
    <t>CPC</t>
  </si>
  <si>
    <t>Page views per visit</t>
  </si>
  <si>
    <t>Annual Page Views</t>
  </si>
  <si>
    <t>Annual Spend Per College</t>
  </si>
  <si>
    <t># of Colleges Accessed</t>
  </si>
  <si>
    <t>% Marketing Budget</t>
  </si>
  <si>
    <t>Years Marketed To</t>
  </si>
  <si>
    <t>Recruitment Revenue</t>
  </si>
  <si>
    <t>Total Revenue</t>
  </si>
  <si>
    <t>Total Lifetime Value</t>
  </si>
  <si>
    <t>CPC Advertising Revenue</t>
  </si>
  <si>
    <t>Users</t>
  </si>
  <si>
    <t>% Growth</t>
  </si>
  <si>
    <t>Monthly Site visits</t>
  </si>
  <si>
    <t>MAU</t>
  </si>
  <si>
    <t>Academia.edu</t>
  </si>
  <si>
    <t>Annualized Revenue</t>
  </si>
  <si>
    <t>Amount Raised</t>
  </si>
  <si>
    <t>Office Expense</t>
  </si>
  <si>
    <t>Marketing</t>
  </si>
  <si>
    <t>Founders</t>
  </si>
  <si>
    <t>Developers</t>
  </si>
  <si>
    <t>Customer Support</t>
  </si>
  <si>
    <t>Design</t>
  </si>
  <si>
    <t>CAC</t>
  </si>
  <si>
    <t>Total Costs</t>
  </si>
  <si>
    <t>Taxes</t>
  </si>
  <si>
    <t>Depreciation and Amortization</t>
  </si>
  <si>
    <t>Interest Expense</t>
  </si>
  <si>
    <t>EBITDA</t>
  </si>
  <si>
    <t>Lee, Jordan</t>
  </si>
  <si>
    <t>Phelan, Eric</t>
  </si>
  <si>
    <t>Front End</t>
  </si>
  <si>
    <t>iOS</t>
  </si>
  <si>
    <t>Android</t>
  </si>
  <si>
    <t>Partnerships</t>
  </si>
  <si>
    <t>Digital Marketing</t>
  </si>
  <si>
    <t>Legal</t>
  </si>
  <si>
    <t>Data Scientist</t>
  </si>
  <si>
    <t>Product Manager</t>
  </si>
  <si>
    <t xml:space="preserve">Backend </t>
  </si>
  <si>
    <t>Base Salary</t>
  </si>
  <si>
    <t>Designer</t>
  </si>
  <si>
    <t>Representative</t>
  </si>
  <si>
    <t>Count</t>
  </si>
  <si>
    <t>Human Resources</t>
  </si>
  <si>
    <t>HR Director</t>
  </si>
  <si>
    <t>HR Staff</t>
  </si>
  <si>
    <t>C-Suite</t>
  </si>
  <si>
    <t>CTO</t>
  </si>
  <si>
    <t>CFO</t>
  </si>
  <si>
    <t>Total Staff</t>
  </si>
  <si>
    <t>Total Technical</t>
  </si>
  <si>
    <t>Total Creative</t>
  </si>
  <si>
    <t>Total Business Development</t>
  </si>
  <si>
    <t>Total Customer Support</t>
  </si>
  <si>
    <t>Total HR</t>
  </si>
  <si>
    <t>Total Executive Count</t>
  </si>
  <si>
    <t>Design Director</t>
  </si>
  <si>
    <t>Researcher</t>
  </si>
  <si>
    <t>Director</t>
  </si>
  <si>
    <t>CMO</t>
  </si>
  <si>
    <t>Accounting</t>
  </si>
  <si>
    <t>Accountant</t>
  </si>
  <si>
    <t>Total Accounting</t>
  </si>
  <si>
    <t>Total Executive Salaries</t>
  </si>
  <si>
    <t>Total Technical Salaries</t>
  </si>
  <si>
    <t>Total Creative Salaries</t>
  </si>
  <si>
    <t>Total Biz Dev Salaries</t>
  </si>
  <si>
    <t>Total Customer Support Salaries</t>
  </si>
  <si>
    <t>Total HR Salaries</t>
  </si>
  <si>
    <t>TotalAccounting Salaries</t>
  </si>
  <si>
    <t>Total Salaries</t>
  </si>
  <si>
    <t>Executive</t>
  </si>
  <si>
    <t>Technical</t>
  </si>
  <si>
    <t>HR</t>
  </si>
  <si>
    <t>Administrative</t>
  </si>
  <si>
    <t>Assistant</t>
  </si>
  <si>
    <t>Total Administrative</t>
  </si>
  <si>
    <t>Total Administrative Salaries</t>
  </si>
  <si>
    <t>Advertising</t>
  </si>
  <si>
    <t>Travel</t>
  </si>
  <si>
    <t>Miscellaneous</t>
  </si>
  <si>
    <t>Equipment &amp; Furniture</t>
  </si>
  <si>
    <t>Payroll, Taxes and Benefits</t>
  </si>
  <si>
    <t>Professional Fees</t>
  </si>
  <si>
    <t>Gross Revenue</t>
  </si>
  <si>
    <t>Cost of Goods Sold</t>
  </si>
  <si>
    <t>Gross Profit</t>
  </si>
  <si>
    <t>Net Profit</t>
  </si>
  <si>
    <t>Monthly Active Users</t>
  </si>
  <si>
    <t>Direct Marketing Revenue</t>
  </si>
  <si>
    <t>Year 3</t>
  </si>
  <si>
    <t>Year 4</t>
  </si>
  <si>
    <t>Year 5</t>
  </si>
  <si>
    <t>Year 1</t>
  </si>
  <si>
    <t>Year 2</t>
  </si>
  <si>
    <t>Salary&amp; Payroll Taxes</t>
  </si>
  <si>
    <t>Hired @ $10M annual revenue</t>
  </si>
  <si>
    <t>Revenue</t>
  </si>
  <si>
    <t>Hired @ 1k Users</t>
  </si>
  <si>
    <t>Hired @ 10K Users</t>
  </si>
  <si>
    <t>Hired@ 1 for every 5 Developers</t>
  </si>
  <si>
    <t>Hired@ 50,000; 100,000; 250,000; 500,000; 1,000,000 Users</t>
  </si>
  <si>
    <t>Hired@ 1 per 2 front-end/mobile developers</t>
  </si>
  <si>
    <t>Hired@ # designers &gt;= 3</t>
  </si>
  <si>
    <t>Hired@ 1 per 2 designers</t>
  </si>
  <si>
    <t>Hired@ 200; 1000; 25,000; 100,000</t>
  </si>
  <si>
    <t>Hired@ 2,500; 10,000; 25,000; 50,000; …1 / 100k Users</t>
  </si>
  <si>
    <t>Hired@4; 12 Reps</t>
  </si>
  <si>
    <t>Hired@2</t>
  </si>
  <si>
    <t>Hired @ $1M, $10M, $30M revenue</t>
  </si>
  <si>
    <t>Hired@ 100; 10,000; 50,000; 100,000 …1 / 300k Users</t>
  </si>
  <si>
    <t>General crowdfunding of projects</t>
  </si>
  <si>
    <t>Crowdsaving for College Education</t>
  </si>
  <si>
    <t>Crowdfunded student debt relief</t>
  </si>
  <si>
    <t>Crowdfunding for school and education-based projects</t>
  </si>
  <si>
    <t>Student(s)</t>
  </si>
  <si>
    <t>Investment</t>
  </si>
  <si>
    <t>Equity Stake</t>
  </si>
  <si>
    <t>Cost Per Click Price Estimates</t>
  </si>
  <si>
    <t>* Based on Google AdWords Keyword Planner 12/30/2014</t>
  </si>
  <si>
    <t>Keyword/phrase</t>
  </si>
  <si>
    <t>Bid</t>
  </si>
  <si>
    <t>scholarships for college</t>
  </si>
  <si>
    <t>college loans</t>
  </si>
  <si>
    <t>student loan</t>
  </si>
  <si>
    <t>financial aid for college</t>
  </si>
  <si>
    <t>money for college</t>
  </si>
  <si>
    <t>scholarships</t>
  </si>
  <si>
    <t>college</t>
  </si>
  <si>
    <t>Searches/Month</t>
  </si>
  <si>
    <t>Academic Events</t>
  </si>
  <si>
    <r>
      <t>Percent of Students Graduating with Debt</t>
    </r>
    <r>
      <rPr>
        <vertAlign val="superscript"/>
        <sz val="12"/>
        <color theme="1"/>
        <rFont val="Calibri"/>
        <scheme val="minor"/>
      </rPr>
      <t>2</t>
    </r>
  </si>
  <si>
    <r>
      <t>Average Student Debt</t>
    </r>
    <r>
      <rPr>
        <vertAlign val="superscript"/>
        <sz val="12"/>
        <color theme="1"/>
        <rFont val="Calibri"/>
        <scheme val="minor"/>
      </rPr>
      <t>2</t>
    </r>
  </si>
  <si>
    <t>2. http://projectonstudentdebt.org/state_by_state-data.php</t>
  </si>
  <si>
    <t>1. http://www.census.gov/population/age/data/2012comp.html</t>
  </si>
  <si>
    <r>
      <t>Number of People Aged 0 - 19</t>
    </r>
    <r>
      <rPr>
        <vertAlign val="superscript"/>
        <sz val="12"/>
        <color theme="1"/>
        <rFont val="Calibri"/>
        <scheme val="minor"/>
      </rPr>
      <t>1</t>
    </r>
  </si>
  <si>
    <r>
      <t>Private Two-Year College</t>
    </r>
    <r>
      <rPr>
        <vertAlign val="superscript"/>
        <sz val="12"/>
        <color theme="1"/>
        <rFont val="Calibri"/>
        <scheme val="minor"/>
      </rPr>
      <t>1</t>
    </r>
  </si>
  <si>
    <t>1. Tuition and Fees, Student Loans, and Default Rates. National Center for Education Statistics. Accessed April 7, 2013. http://nces.ed.gov/programs/coe/indicator_tld.asp.</t>
  </si>
  <si>
    <t>2. http://nces.ed.gov/programs/digest/d13/tables/dt13_303.70.asp</t>
  </si>
  <si>
    <r>
      <t xml:space="preserve">Average Published Yearly Tuition, Fees, Room &amp; Board </t>
    </r>
    <r>
      <rPr>
        <b/>
        <vertAlign val="superscript"/>
        <sz val="12"/>
        <color theme="1"/>
        <rFont val="Calibri"/>
        <scheme val="minor"/>
      </rPr>
      <t>3</t>
    </r>
  </si>
  <si>
    <t>3. http://trends.collegeboard.org/college-pricing/figures-tables/average-published-undergraduate-charges-sector-2014-15</t>
  </si>
  <si>
    <t>Totals (000s)</t>
  </si>
  <si>
    <t>Total Annual Tuition, Fees, Room &amp; Board</t>
  </si>
  <si>
    <t>Associates Degress Conferred 2013-2014</t>
  </si>
  <si>
    <t>Bachelors Degrees Conferred 2013-2014</t>
  </si>
  <si>
    <t>Estimated Graduates with Debt</t>
  </si>
  <si>
    <r>
      <t>Degrees Conferred 2013-2014</t>
    </r>
    <r>
      <rPr>
        <vertAlign val="superscript"/>
        <sz val="12"/>
        <color theme="1"/>
        <rFont val="Calibri"/>
        <scheme val="minor"/>
      </rPr>
      <t>3</t>
    </r>
  </si>
  <si>
    <t>3. "Projections of Education Statistics to 2014" NCES</t>
  </si>
  <si>
    <t>Total Addressable Market (TAM)</t>
  </si>
  <si>
    <t>Market Sizing</t>
  </si>
  <si>
    <t>In Range</t>
  </si>
  <si>
    <t>&gt; 150k</t>
  </si>
  <si>
    <t>&lt; 30K</t>
  </si>
  <si>
    <t>Total Annual Graduated Student Debt</t>
  </si>
  <si>
    <t>TAM: Annual Educational Spending in Target Demographic Fee Revenue</t>
  </si>
  <si>
    <t>People Aged 0 - 19 in Target Demographic</t>
  </si>
  <si>
    <t>Projected Annual Revenue Per Student</t>
  </si>
  <si>
    <t>Margin</t>
  </si>
  <si>
    <t>Multiple</t>
  </si>
  <si>
    <t>Valuation</t>
  </si>
  <si>
    <r>
      <t>Counts</t>
    </r>
    <r>
      <rPr>
        <b/>
        <vertAlign val="superscript"/>
        <sz val="12"/>
        <color theme="1"/>
        <rFont val="Calibri"/>
        <scheme val="minor"/>
      </rPr>
      <t>2</t>
    </r>
  </si>
  <si>
    <t>Assets</t>
  </si>
  <si>
    <t>Liabilities</t>
  </si>
  <si>
    <t>Cash</t>
  </si>
  <si>
    <t>Equipment</t>
  </si>
  <si>
    <t>IP</t>
  </si>
  <si>
    <t>Convertible Debt</t>
  </si>
  <si>
    <t>Operating Debt</t>
  </si>
  <si>
    <r>
      <t xml:space="preserve">US Population Household Income $35-150K </t>
    </r>
    <r>
      <rPr>
        <vertAlign val="superscript"/>
        <sz val="12"/>
        <color theme="1"/>
        <rFont val="Calibri"/>
        <scheme val="minor"/>
      </rPr>
      <t>4</t>
    </r>
  </si>
  <si>
    <t>4. http://en.wikipedia.org/wiki/Household_income_in_the_United_States</t>
  </si>
  <si>
    <t>Annual Educational Spending in Target Demographic</t>
  </si>
  <si>
    <t>TAM: Total Annual Graduated Student Debt Fee Revenue</t>
  </si>
  <si>
    <t>TAM: Projected Annual Revenue for Entire Addressable Market</t>
  </si>
  <si>
    <t>Under 5 years</t>
  </si>
  <si>
    <t>5 to 9 years</t>
  </si>
  <si>
    <t>10 to 14 years</t>
  </si>
  <si>
    <t>15 to 19 years</t>
  </si>
  <si>
    <t>Shareholders Equity</t>
  </si>
  <si>
    <t>Total Assets</t>
  </si>
  <si>
    <t>Total Liabilities</t>
  </si>
  <si>
    <t>Asset Value</t>
  </si>
  <si>
    <t>Balance Sheet</t>
  </si>
  <si>
    <t>Seed Investor</t>
  </si>
  <si>
    <t>Common Stock</t>
  </si>
  <si>
    <t>Options</t>
  </si>
  <si>
    <t>Option Pool</t>
  </si>
  <si>
    <t>Total Issuance</t>
  </si>
  <si>
    <t>% Ownership Fully Diluted</t>
  </si>
  <si>
    <t>Post Funding Cap Table</t>
  </si>
  <si>
    <t xml:space="preserve"> -  </t>
  </si>
  <si>
    <t>Pre Funding Cap Table</t>
  </si>
  <si>
    <t>Post-Money Valuation</t>
  </si>
  <si>
    <t>Break Even</t>
  </si>
  <si>
    <t>Use of Funds</t>
  </si>
  <si>
    <t>Salaries</t>
  </si>
  <si>
    <t>Amount</t>
  </si>
  <si>
    <t>Deal Terms</t>
  </si>
  <si>
    <t>Cap Table</t>
  </si>
  <si>
    <t>The Deal</t>
  </si>
  <si>
    <r>
      <t>Comparable Site MAU Stats</t>
    </r>
    <r>
      <rPr>
        <b/>
        <vertAlign val="superscript"/>
        <sz val="14"/>
        <color theme="1"/>
        <rFont val="Calibri"/>
        <scheme val="minor"/>
      </rPr>
      <t>1</t>
    </r>
  </si>
  <si>
    <t>1. http://expandedramblings.com/index.php/resource-how-many-people-use-the-top-social-media/2/</t>
  </si>
  <si>
    <t>Pro Forma Income Statement</t>
  </si>
  <si>
    <t>Staffing Estimates</t>
  </si>
  <si>
    <t>Revenue Model Estimation</t>
  </si>
  <si>
    <t>Competitive Matrix</t>
  </si>
  <si>
    <t>College Costs Calculations</t>
  </si>
  <si>
    <t>4-9%</t>
  </si>
  <si>
    <t>3-5%</t>
  </si>
  <si>
    <t>7-14%</t>
  </si>
  <si>
    <t>5-8%</t>
  </si>
  <si>
    <t>Dev Ops &amp; QA</t>
  </si>
  <si>
    <t>Hired@ 50,000; 100,000; 500,000</t>
  </si>
  <si>
    <t>Hired@ 1000; 10,000; 50,000;  Users</t>
  </si>
  <si>
    <t>Hired@15; 30; 50; 75 employees</t>
  </si>
  <si>
    <t>Hired @ 1 per 12 employees</t>
  </si>
  <si>
    <r>
      <rPr>
        <b/>
        <sz val="12"/>
        <color rgb="FFFF0000"/>
        <rFont val="Calibri"/>
        <scheme val="minor"/>
      </rPr>
      <t>Notice:</t>
    </r>
    <r>
      <rPr>
        <sz val="12"/>
        <color theme="1"/>
        <rFont val="Calibri"/>
        <family val="2"/>
        <scheme val="minor"/>
      </rPr>
      <t xml:space="preserve"> This document represents my preliminary research and financial projections and is in no signigicant way representative of those held by the current company. The purpose of this sample is to communicate my approach towards analysis.</t>
    </r>
  </si>
  <si>
    <t>Principly: Initial Opportunity Analysis</t>
  </si>
  <si>
    <t>Avg Lifetime in Yrs.</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</si>
</sst>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164" formatCode="&quot;$&quot;#,##0;\-&quot;$&quot;#,##0"/>
    <numFmt numFmtId="165" formatCode="&quot;$&quot;#,##0;[Red]\-&quot;$&quot;#,##0"/>
    <numFmt numFmtId="166" formatCode="&quot;$&quot;#,##0.00;\-&quot;$&quot;#,##0.00"/>
    <numFmt numFmtId="167" formatCode="&quot;$&quot;#,##0.00;[Red]\-&quot;$&quot;#,##0.00"/>
    <numFmt numFmtId="168" formatCode="_-* #,##0_-;\-* #,##0_-;_-* &quot;-&quot;_-;_-@_-"/>
    <numFmt numFmtId="169" formatCode="_-* #,##0.00_-;\-* #,##0.00_-;_-* &quot;-&quot;??_-;_-@_-"/>
    <numFmt numFmtId="170" formatCode="_-* #,##0_-;\-* #,##0_-;_-* &quot;-&quot;??_-;_-@_-"/>
    <numFmt numFmtId="171" formatCode="&quot;$&quot;#,##0.00;[Red]&quot;$&quot;#,##0.00"/>
    <numFmt numFmtId="172" formatCode="&quot;$&quot;#,##0;[Red]&quot;$&quot;#,##0"/>
    <numFmt numFmtId="173" formatCode="&quot;Fee at &quot;0%"/>
    <numFmt numFmtId="174" formatCode="&quot;CAC @&quot;\ &quot;$&quot;#,##0.00;[Red]&quot;$&quot;#,##0.00"/>
    <numFmt numFmtId="175" formatCode="_-* #,##0_-;* \(#,##0\)_-;_-* &quot;-&quot;_-;_-@_-"/>
    <numFmt numFmtId="176" formatCode="_-&quot;$&quot;* #,##0_-;\-&quot;$&quot;* #,##0_-;_-&quot;$&quot;* &quot;-&quot;??_-;_-@_-"/>
    <numFmt numFmtId="177" formatCode="0\ &quot;x&quot;"/>
    <numFmt numFmtId="178" formatCode="&quot;SOM @ &quot;0.0%"/>
    <numFmt numFmtId="179" formatCode="0.0%"/>
    <numFmt numFmtId="180" formatCode="0\ &quot;months&quot;"/>
  </numFmts>
  <fonts count="32"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name val="Courier"/>
      <family val="3"/>
    </font>
    <font>
      <b/>
      <sz val="12"/>
      <color theme="0"/>
      <name val="Calibri"/>
      <family val="2"/>
      <scheme val="minor"/>
    </font>
    <font>
      <i/>
      <sz val="10"/>
      <color theme="1"/>
      <name val="Calibri"/>
      <scheme val="minor"/>
    </font>
    <font>
      <b/>
      <u/>
      <sz val="12"/>
      <color theme="1"/>
      <name val="Calibri"/>
      <scheme val="minor"/>
    </font>
    <font>
      <i/>
      <sz val="11"/>
      <color theme="1" tint="0.499984740745262"/>
      <name val="Calibri"/>
      <scheme val="minor"/>
    </font>
    <font>
      <sz val="12"/>
      <name val="Calibri"/>
      <scheme val="minor"/>
    </font>
    <font>
      <b/>
      <u/>
      <sz val="12"/>
      <name val="Calibri"/>
      <scheme val="minor"/>
    </font>
    <font>
      <b/>
      <sz val="12"/>
      <name val="Calibri"/>
      <scheme val="minor"/>
    </font>
    <font>
      <i/>
      <sz val="10"/>
      <name val="Calibri"/>
      <scheme val="minor"/>
    </font>
    <font>
      <sz val="12"/>
      <color theme="0"/>
      <name val="Calibri"/>
      <family val="2"/>
      <scheme val="minor"/>
    </font>
    <font>
      <vertAlign val="superscript"/>
      <sz val="12"/>
      <color theme="1"/>
      <name val="Calibri"/>
      <scheme val="minor"/>
    </font>
    <font>
      <sz val="13"/>
      <color rgb="FF333333"/>
      <name val="Arial"/>
    </font>
    <font>
      <b/>
      <vertAlign val="superscript"/>
      <sz val="12"/>
      <color theme="1"/>
      <name val="Calibri"/>
      <scheme val="minor"/>
    </font>
    <font>
      <u/>
      <sz val="12"/>
      <color theme="1"/>
      <name val="Calibri"/>
      <scheme val="minor"/>
    </font>
    <font>
      <sz val="8"/>
      <name val="Calibri"/>
      <family val="2"/>
      <scheme val="minor"/>
    </font>
    <font>
      <sz val="12"/>
      <color rgb="FF3366FF"/>
      <name val="Calibri"/>
      <scheme val="minor"/>
    </font>
    <font>
      <b/>
      <sz val="14"/>
      <color theme="1"/>
      <name val="Calibri"/>
      <scheme val="minor"/>
    </font>
    <font>
      <b/>
      <sz val="12"/>
      <color rgb="FF000000"/>
      <name val="Calibri"/>
      <family val="2"/>
      <scheme val="minor"/>
    </font>
    <font>
      <sz val="12"/>
      <color rgb="FF000000"/>
      <name val="Calibri"/>
      <family val="2"/>
      <scheme val="minor"/>
    </font>
    <font>
      <sz val="12"/>
      <color rgb="FFFFFFFF"/>
      <name val="Calibri"/>
      <family val="2"/>
      <scheme val="minor"/>
    </font>
    <font>
      <sz val="14"/>
      <color theme="1"/>
      <name val="Calibri"/>
      <scheme val="minor"/>
    </font>
    <font>
      <b/>
      <u/>
      <sz val="14"/>
      <color theme="1"/>
      <name val="Calibri"/>
      <scheme val="minor"/>
    </font>
    <font>
      <b/>
      <vertAlign val="superscript"/>
      <sz val="14"/>
      <color theme="1"/>
      <name val="Calibri"/>
      <scheme val="minor"/>
    </font>
    <font>
      <i/>
      <sz val="11"/>
      <color rgb="FF3366FF"/>
      <name val="Calibri"/>
      <scheme val="minor"/>
    </font>
    <font>
      <b/>
      <sz val="12"/>
      <color rgb="FFFF0000"/>
      <name val="Calibri"/>
      <scheme val="minor"/>
    </font>
    <font>
      <b/>
      <sz val="18"/>
      <color theme="1"/>
      <name val="Calibri"/>
      <scheme val="minor"/>
    </font>
  </fonts>
  <fills count="7">
    <fill>
      <patternFill patternType="none"/>
    </fill>
    <fill>
      <patternFill patternType="gray125"/>
    </fill>
    <fill>
      <patternFill patternType="solid">
        <fgColor theme="1"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1" tint="0.34998626667073579"/>
        <bgColor indexed="64"/>
      </patternFill>
    </fill>
    <fill>
      <patternFill patternType="solid">
        <fgColor rgb="FF595959"/>
        <bgColor rgb="FF000000"/>
      </patternFill>
    </fill>
  </fills>
  <borders count="22">
    <border>
      <left/>
      <right/>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auto="1"/>
      </right>
      <top style="thin">
        <color theme="1" tint="0.499984740745262"/>
      </top>
      <bottom style="thin">
        <color auto="1"/>
      </bottom>
      <diagonal/>
    </border>
    <border>
      <left style="thin">
        <color auto="1"/>
      </left>
      <right style="thin">
        <color auto="1"/>
      </right>
      <top style="thin">
        <color theme="1" tint="0.499984740745262"/>
      </top>
      <bottom style="thin">
        <color auto="1"/>
      </bottom>
      <diagonal/>
    </border>
    <border>
      <left style="thin">
        <color theme="1" tint="0.499984740745262"/>
      </left>
      <right style="thin">
        <color auto="1"/>
      </right>
      <top style="thin">
        <color auto="1"/>
      </top>
      <bottom style="thin">
        <color auto="1"/>
      </bottom>
      <diagonal/>
    </border>
    <border>
      <left/>
      <right style="thin">
        <color auto="1"/>
      </right>
      <top style="thin">
        <color theme="1" tint="0.499984740745262"/>
      </top>
      <bottom style="thin">
        <color auto="1"/>
      </bottom>
      <diagonal/>
    </border>
    <border>
      <left/>
      <right/>
      <top/>
      <bottom style="double">
        <color auto="1"/>
      </bottom>
      <diagonal/>
    </border>
    <border>
      <left style="dashed">
        <color auto="1"/>
      </left>
      <right/>
      <top/>
      <bottom/>
      <diagonal/>
    </border>
    <border>
      <left style="dashed">
        <color auto="1"/>
      </left>
      <right/>
      <top/>
      <bottom style="thin">
        <color auto="1"/>
      </bottom>
      <diagonal/>
    </border>
    <border>
      <left style="dashed">
        <color auto="1"/>
      </left>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dashed">
        <color auto="1"/>
      </left>
      <right/>
      <top style="double">
        <color auto="1"/>
      </top>
      <bottom/>
      <diagonal/>
    </border>
  </borders>
  <cellStyleXfs count="347">
    <xf numFmtId="0" fontId="0" fillId="0" borderId="0"/>
    <xf numFmtId="169" fontId="2"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11">
    <xf numFmtId="0" fontId="0" fillId="0" borderId="0" xfId="0"/>
    <xf numFmtId="0" fontId="3" fillId="0" borderId="0" xfId="0" applyFont="1" applyAlignment="1">
      <alignment horizontal="center" vertical="center" wrapText="1"/>
    </xf>
    <xf numFmtId="0" fontId="0" fillId="0" borderId="0" xfId="0" applyAlignment="1">
      <alignment vertical="center" wrapText="1"/>
    </xf>
    <xf numFmtId="165" fontId="0" fillId="0" borderId="0" xfId="0" applyNumberFormat="1"/>
    <xf numFmtId="165" fontId="0" fillId="0" borderId="0" xfId="0" applyNumberFormat="1" applyAlignment="1">
      <alignment vertical="center" wrapText="1"/>
    </xf>
    <xf numFmtId="9" fontId="0" fillId="0" borderId="0" xfId="0" applyNumberFormat="1"/>
    <xf numFmtId="10" fontId="0" fillId="0" borderId="0" xfId="0" applyNumberFormat="1"/>
    <xf numFmtId="170" fontId="0" fillId="0" borderId="0" xfId="1" applyNumberFormat="1" applyFont="1"/>
    <xf numFmtId="0" fontId="0" fillId="0" borderId="0" xfId="0" applyAlignment="1">
      <alignment wrapText="1"/>
    </xf>
    <xf numFmtId="0" fontId="3" fillId="0" borderId="0" xfId="0" applyFont="1"/>
    <xf numFmtId="172" fontId="0" fillId="0" borderId="0" xfId="0" applyNumberFormat="1"/>
    <xf numFmtId="172" fontId="3" fillId="0" borderId="0" xfId="0" applyNumberFormat="1" applyFont="1"/>
    <xf numFmtId="0" fontId="7" fillId="2" borderId="4" xfId="0" applyFont="1" applyFill="1" applyBorder="1" applyAlignment="1">
      <alignment wrapText="1"/>
    </xf>
    <xf numFmtId="0" fontId="7" fillId="2" borderId="4" xfId="0" applyFont="1" applyFill="1" applyBorder="1" applyAlignment="1">
      <alignment horizontal="center" wrapText="1"/>
    </xf>
    <xf numFmtId="0" fontId="0" fillId="0" borderId="4" xfId="0" applyBorder="1"/>
    <xf numFmtId="0" fontId="0" fillId="0" borderId="4" xfId="0" applyBorder="1" applyAlignment="1">
      <alignment horizontal="right"/>
    </xf>
    <xf numFmtId="0" fontId="0" fillId="0" borderId="4" xfId="0" applyBorder="1" applyAlignment="1">
      <alignment horizontal="center"/>
    </xf>
    <xf numFmtId="0" fontId="0" fillId="0" borderId="4" xfId="0" applyBorder="1" applyAlignment="1">
      <alignment wrapText="1"/>
    </xf>
    <xf numFmtId="0" fontId="0" fillId="0" borderId="5" xfId="0" applyFill="1" applyBorder="1"/>
    <xf numFmtId="0" fontId="0" fillId="0" borderId="6" xfId="0" applyBorder="1"/>
    <xf numFmtId="0" fontId="0" fillId="0" borderId="7" xfId="0" applyFill="1" applyBorder="1"/>
    <xf numFmtId="0" fontId="0" fillId="0" borderId="3" xfId="0" applyBorder="1"/>
    <xf numFmtId="0" fontId="0" fillId="0" borderId="8" xfId="0" applyFill="1" applyBorder="1" applyAlignment="1">
      <alignment wrapText="1"/>
    </xf>
    <xf numFmtId="0" fontId="0" fillId="0" borderId="2" xfId="0" applyFill="1" applyBorder="1" applyAlignment="1">
      <alignment wrapText="1"/>
    </xf>
    <xf numFmtId="0" fontId="0" fillId="0" borderId="6" xfId="0" applyBorder="1" applyAlignment="1">
      <alignment wrapText="1"/>
    </xf>
    <xf numFmtId="0" fontId="0" fillId="0" borderId="3" xfId="0" applyBorder="1" applyAlignment="1">
      <alignment wrapText="1"/>
    </xf>
    <xf numFmtId="167" fontId="0" fillId="0" borderId="0" xfId="0" applyNumberFormat="1"/>
    <xf numFmtId="14" fontId="0" fillId="0" borderId="0" xfId="0" applyNumberFormat="1"/>
    <xf numFmtId="0" fontId="8" fillId="0" borderId="0" xfId="0" applyNumberFormat="1" applyFont="1"/>
    <xf numFmtId="9" fontId="8" fillId="0" borderId="0" xfId="0" applyNumberFormat="1" applyFont="1"/>
    <xf numFmtId="3" fontId="0" fillId="0" borderId="0" xfId="0" applyNumberFormat="1"/>
    <xf numFmtId="0" fontId="0" fillId="0" borderId="0" xfId="0" applyFont="1" applyAlignment="1"/>
    <xf numFmtId="168" fontId="0" fillId="0" borderId="0" xfId="0" applyNumberFormat="1" applyFont="1" applyAlignment="1"/>
    <xf numFmtId="168" fontId="0" fillId="0" borderId="0" xfId="0" applyNumberFormat="1"/>
    <xf numFmtId="174" fontId="0" fillId="0" borderId="0" xfId="0" applyNumberFormat="1"/>
    <xf numFmtId="170" fontId="0" fillId="0" borderId="0" xfId="1" applyNumberFormat="1" applyFont="1" applyBorder="1"/>
    <xf numFmtId="0" fontId="0" fillId="0" borderId="0" xfId="0" applyBorder="1"/>
    <xf numFmtId="0" fontId="0" fillId="0" borderId="1" xfId="0" applyBorder="1"/>
    <xf numFmtId="175" fontId="0" fillId="0" borderId="0" xfId="0" applyNumberFormat="1"/>
    <xf numFmtId="168" fontId="0" fillId="0" borderId="0" xfId="0" applyNumberFormat="1" applyBorder="1"/>
    <xf numFmtId="168" fontId="0" fillId="0" borderId="1" xfId="0" applyNumberFormat="1" applyFill="1" applyBorder="1"/>
    <xf numFmtId="176" fontId="0" fillId="0" borderId="0" xfId="0" applyNumberFormat="1"/>
    <xf numFmtId="175" fontId="3" fillId="0" borderId="0" xfId="0" applyNumberFormat="1" applyFont="1"/>
    <xf numFmtId="17" fontId="3" fillId="0" borderId="0" xfId="0" applyNumberFormat="1" applyFont="1"/>
    <xf numFmtId="17" fontId="9" fillId="0" borderId="0" xfId="0" applyNumberFormat="1" applyFont="1"/>
    <xf numFmtId="164" fontId="3" fillId="0" borderId="0" xfId="0" applyNumberFormat="1" applyFont="1"/>
    <xf numFmtId="175" fontId="0" fillId="0" borderId="1" xfId="0" applyNumberFormat="1" applyBorder="1"/>
    <xf numFmtId="0" fontId="0" fillId="0" borderId="9" xfId="0" applyBorder="1"/>
    <xf numFmtId="168" fontId="0" fillId="0" borderId="9" xfId="0" applyNumberFormat="1" applyBorder="1"/>
    <xf numFmtId="0" fontId="8" fillId="0" borderId="0" xfId="0" applyFont="1" applyAlignment="1">
      <alignment horizontal="left"/>
    </xf>
    <xf numFmtId="17" fontId="9" fillId="0" borderId="10" xfId="0" applyNumberFormat="1" applyFont="1" applyBorder="1"/>
    <xf numFmtId="17" fontId="3" fillId="0" borderId="10" xfId="0" applyNumberFormat="1" applyFont="1" applyBorder="1"/>
    <xf numFmtId="9" fontId="8" fillId="0" borderId="10" xfId="0" applyNumberFormat="1" applyFont="1" applyBorder="1"/>
    <xf numFmtId="168" fontId="0" fillId="0" borderId="10" xfId="0" applyNumberFormat="1" applyFont="1" applyBorder="1" applyAlignment="1"/>
    <xf numFmtId="164" fontId="3" fillId="0" borderId="10" xfId="0" applyNumberFormat="1" applyFont="1" applyBorder="1"/>
    <xf numFmtId="168" fontId="0" fillId="0" borderId="10" xfId="0" applyNumberFormat="1" applyBorder="1"/>
    <xf numFmtId="165" fontId="0" fillId="0" borderId="10" xfId="0" applyNumberFormat="1" applyBorder="1"/>
    <xf numFmtId="175" fontId="0" fillId="0" borderId="11" xfId="0" applyNumberFormat="1" applyBorder="1"/>
    <xf numFmtId="175" fontId="3" fillId="0" borderId="10" xfId="0" applyNumberFormat="1" applyFont="1" applyBorder="1"/>
    <xf numFmtId="175" fontId="0" fillId="0" borderId="10" xfId="0" applyNumberFormat="1" applyBorder="1"/>
    <xf numFmtId="168" fontId="0" fillId="0" borderId="12" xfId="0" applyNumberFormat="1" applyBorder="1"/>
    <xf numFmtId="0" fontId="10" fillId="0" borderId="0" xfId="0" applyFont="1"/>
    <xf numFmtId="168" fontId="10" fillId="0" borderId="0" xfId="0" applyNumberFormat="1" applyFont="1"/>
    <xf numFmtId="0" fontId="10" fillId="0" borderId="0" xfId="0" applyFont="1" applyBorder="1"/>
    <xf numFmtId="168" fontId="10" fillId="0" borderId="0" xfId="0" applyNumberFormat="1" applyFont="1" applyFill="1" applyBorder="1"/>
    <xf numFmtId="0" fontId="10" fillId="0" borderId="1" xfId="0" applyFont="1" applyBorder="1"/>
    <xf numFmtId="168" fontId="10" fillId="0" borderId="1" xfId="0" applyNumberFormat="1" applyFont="1" applyBorder="1"/>
    <xf numFmtId="0" fontId="11" fillId="3" borderId="0" xfId="0" applyFont="1" applyFill="1"/>
    <xf numFmtId="17" fontId="12" fillId="3" borderId="0" xfId="0" applyNumberFormat="1" applyFont="1" applyFill="1" applyAlignment="1">
      <alignment horizontal="right"/>
    </xf>
    <xf numFmtId="0" fontId="12" fillId="3" borderId="0" xfId="0" applyFont="1" applyFill="1" applyAlignment="1">
      <alignment horizontal="right"/>
    </xf>
    <xf numFmtId="17" fontId="13" fillId="3" borderId="0" xfId="0" applyNumberFormat="1" applyFont="1" applyFill="1"/>
    <xf numFmtId="170" fontId="11" fillId="3" borderId="0" xfId="1" applyNumberFormat="1" applyFont="1" applyFill="1"/>
    <xf numFmtId="9" fontId="14" fillId="3" borderId="0" xfId="0" applyNumberFormat="1" applyFont="1" applyFill="1"/>
    <xf numFmtId="168" fontId="11" fillId="3" borderId="0" xfId="0" applyNumberFormat="1" applyFont="1" applyFill="1" applyAlignment="1"/>
    <xf numFmtId="164" fontId="13" fillId="3" borderId="0" xfId="0" applyNumberFormat="1" applyFont="1" applyFill="1"/>
    <xf numFmtId="168" fontId="11" fillId="3" borderId="0" xfId="0" applyNumberFormat="1" applyFont="1" applyFill="1"/>
    <xf numFmtId="165" fontId="11" fillId="3" borderId="0" xfId="0" applyNumberFormat="1" applyFont="1" applyFill="1"/>
    <xf numFmtId="175" fontId="11" fillId="3" borderId="1" xfId="0" applyNumberFormat="1" applyFont="1" applyFill="1" applyBorder="1"/>
    <xf numFmtId="175" fontId="13" fillId="3" borderId="0" xfId="0" applyNumberFormat="1" applyFont="1" applyFill="1"/>
    <xf numFmtId="175" fontId="11" fillId="3" borderId="0" xfId="0" applyNumberFormat="1" applyFont="1" applyFill="1"/>
    <xf numFmtId="168" fontId="11" fillId="3" borderId="9" xfId="0" applyNumberFormat="1" applyFont="1" applyFill="1" applyBorder="1"/>
    <xf numFmtId="17" fontId="3" fillId="3" borderId="0" xfId="0" applyNumberFormat="1" applyFont="1" applyFill="1" applyAlignment="1">
      <alignment horizontal="right"/>
    </xf>
    <xf numFmtId="0" fontId="3" fillId="3" borderId="0" xfId="0" applyFont="1" applyFill="1" applyAlignment="1">
      <alignment horizontal="right"/>
    </xf>
    <xf numFmtId="170" fontId="0" fillId="3" borderId="0" xfId="1" applyNumberFormat="1" applyFont="1" applyFill="1"/>
    <xf numFmtId="168" fontId="0" fillId="3" borderId="0" xfId="0" applyNumberFormat="1" applyFill="1"/>
    <xf numFmtId="0" fontId="0" fillId="3" borderId="0" xfId="0" applyFill="1"/>
    <xf numFmtId="168" fontId="0" fillId="3" borderId="0" xfId="0" applyNumberFormat="1" applyFill="1" applyBorder="1"/>
    <xf numFmtId="168" fontId="10" fillId="3" borderId="0" xfId="0" applyNumberFormat="1" applyFont="1" applyFill="1" applyBorder="1"/>
    <xf numFmtId="168" fontId="0" fillId="3" borderId="1" xfId="0" applyNumberFormat="1" applyFill="1" applyBorder="1"/>
    <xf numFmtId="168" fontId="10" fillId="3" borderId="0" xfId="0" applyNumberFormat="1" applyFont="1" applyFill="1"/>
    <xf numFmtId="168" fontId="10" fillId="3" borderId="1" xfId="0" applyNumberFormat="1" applyFont="1" applyFill="1" applyBorder="1"/>
    <xf numFmtId="17" fontId="3" fillId="4" borderId="0" xfId="0" applyNumberFormat="1" applyFont="1" applyFill="1" applyAlignment="1">
      <alignment horizontal="right"/>
    </xf>
    <xf numFmtId="170" fontId="0" fillId="4" borderId="0" xfId="1" applyNumberFormat="1" applyFont="1" applyFill="1"/>
    <xf numFmtId="0" fontId="0" fillId="4" borderId="0" xfId="0" applyFill="1"/>
    <xf numFmtId="168" fontId="0" fillId="4" borderId="0" xfId="0" applyNumberFormat="1" applyFill="1" applyBorder="1"/>
    <xf numFmtId="168" fontId="0" fillId="4" borderId="0" xfId="0" applyNumberFormat="1" applyFill="1"/>
    <xf numFmtId="168" fontId="10" fillId="4" borderId="0" xfId="0" applyNumberFormat="1" applyFont="1" applyFill="1"/>
    <xf numFmtId="168" fontId="10" fillId="4" borderId="0" xfId="0" applyNumberFormat="1" applyFont="1" applyFill="1" applyBorder="1"/>
    <xf numFmtId="168" fontId="0" fillId="4" borderId="1" xfId="0" applyNumberFormat="1" applyFill="1" applyBorder="1"/>
    <xf numFmtId="168" fontId="10" fillId="4" borderId="1" xfId="0" applyNumberFormat="1" applyFont="1" applyFill="1" applyBorder="1"/>
    <xf numFmtId="9" fontId="8" fillId="3" borderId="0" xfId="0" applyNumberFormat="1" applyFont="1" applyFill="1"/>
    <xf numFmtId="170" fontId="0" fillId="0" borderId="10" xfId="1" applyNumberFormat="1" applyFont="1" applyBorder="1" applyAlignment="1">
      <alignment horizontal="right"/>
    </xf>
    <xf numFmtId="170" fontId="0" fillId="0" borderId="0" xfId="1" applyNumberFormat="1" applyFont="1" applyBorder="1" applyAlignment="1">
      <alignment horizontal="right"/>
    </xf>
    <xf numFmtId="176" fontId="3" fillId="0" borderId="0" xfId="0" applyNumberFormat="1" applyFont="1"/>
    <xf numFmtId="0" fontId="0" fillId="0" borderId="0" xfId="0" applyFont="1" applyFill="1" applyBorder="1" applyAlignment="1" applyProtection="1">
      <protection locked="0"/>
    </xf>
    <xf numFmtId="3" fontId="0" fillId="0" borderId="0" xfId="0" applyNumberFormat="1" applyFont="1" applyBorder="1" applyAlignment="1"/>
    <xf numFmtId="0" fontId="0" fillId="0" borderId="0" xfId="0" applyFont="1" applyBorder="1" applyAlignment="1">
      <alignment horizontal="right"/>
    </xf>
    <xf numFmtId="170" fontId="0" fillId="0" borderId="0" xfId="1" applyNumberFormat="1" applyFont="1" applyAlignment="1"/>
    <xf numFmtId="0" fontId="17" fillId="0" borderId="0" xfId="0" applyFont="1"/>
    <xf numFmtId="170" fontId="0" fillId="0" borderId="1" xfId="1" applyNumberFormat="1" applyFont="1" applyBorder="1"/>
    <xf numFmtId="170" fontId="0" fillId="0" borderId="0" xfId="0" applyNumberFormat="1"/>
    <xf numFmtId="0" fontId="0" fillId="0" borderId="0" xfId="0" applyAlignment="1"/>
    <xf numFmtId="9" fontId="0" fillId="0" borderId="0" xfId="285" applyFont="1"/>
    <xf numFmtId="0" fontId="0" fillId="0" borderId="0" xfId="0" applyFont="1"/>
    <xf numFmtId="9" fontId="0" fillId="3" borderId="0" xfId="285" applyFont="1" applyFill="1"/>
    <xf numFmtId="0" fontId="19" fillId="0" borderId="0" xfId="0" applyFont="1"/>
    <xf numFmtId="0" fontId="7" fillId="5" borderId="0" xfId="0" applyFont="1" applyFill="1" applyAlignment="1">
      <alignment horizontal="right"/>
    </xf>
    <xf numFmtId="0" fontId="0" fillId="0" borderId="0" xfId="0" applyAlignment="1">
      <alignment horizontal="center"/>
    </xf>
    <xf numFmtId="165" fontId="0" fillId="0" borderId="17" xfId="0" applyNumberFormat="1" applyBorder="1"/>
    <xf numFmtId="165" fontId="0" fillId="0" borderId="20" xfId="0" applyNumberFormat="1" applyBorder="1"/>
    <xf numFmtId="165" fontId="0" fillId="0" borderId="0" xfId="0" applyNumberFormat="1" applyBorder="1"/>
    <xf numFmtId="167" fontId="3" fillId="0" borderId="0" xfId="0" applyNumberFormat="1" applyFont="1"/>
    <xf numFmtId="0" fontId="21" fillId="0" borderId="0" xfId="0" applyFont="1"/>
    <xf numFmtId="165" fontId="21" fillId="0" borderId="0" xfId="0" applyNumberFormat="1" applyFont="1"/>
    <xf numFmtId="165" fontId="21" fillId="0" borderId="0" xfId="0" applyNumberFormat="1" applyFont="1" applyBorder="1"/>
    <xf numFmtId="173" fontId="21" fillId="0" borderId="0" xfId="0" applyNumberFormat="1" applyFont="1" applyAlignment="1">
      <alignment horizontal="left"/>
    </xf>
    <xf numFmtId="10" fontId="21" fillId="0" borderId="0" xfId="0" applyNumberFormat="1" applyFont="1"/>
    <xf numFmtId="167" fontId="21" fillId="0" borderId="0" xfId="0" applyNumberFormat="1" applyFont="1"/>
    <xf numFmtId="171" fontId="21" fillId="0" borderId="0" xfId="0" applyNumberFormat="1" applyFont="1"/>
    <xf numFmtId="177" fontId="21" fillId="0" borderId="0" xfId="0" applyNumberFormat="1" applyFont="1" applyBorder="1" applyAlignment="1">
      <alignment horizontal="center"/>
    </xf>
    <xf numFmtId="177" fontId="21" fillId="0" borderId="19" xfId="0" applyNumberFormat="1" applyFont="1" applyBorder="1" applyAlignment="1">
      <alignment horizontal="center"/>
    </xf>
    <xf numFmtId="9" fontId="21" fillId="0" borderId="0" xfId="285" applyFont="1"/>
    <xf numFmtId="170" fontId="21" fillId="0" borderId="0" xfId="1" applyNumberFormat="1" applyFont="1"/>
    <xf numFmtId="9" fontId="21" fillId="0" borderId="0" xfId="0" applyNumberFormat="1" applyFont="1"/>
    <xf numFmtId="165" fontId="21" fillId="0" borderId="0" xfId="0" applyNumberFormat="1" applyFont="1" applyAlignment="1">
      <alignment vertical="center" wrapText="1"/>
    </xf>
    <xf numFmtId="9" fontId="21" fillId="0" borderId="0" xfId="285" applyFont="1" applyAlignment="1">
      <alignment vertical="center" wrapText="1"/>
    </xf>
    <xf numFmtId="170" fontId="15" fillId="0" borderId="10" xfId="0" applyNumberFormat="1" applyFont="1" applyBorder="1"/>
    <xf numFmtId="175" fontId="21" fillId="0" borderId="0" xfId="0" applyNumberFormat="1" applyFont="1"/>
    <xf numFmtId="175" fontId="21" fillId="0" borderId="10" xfId="0" applyNumberFormat="1" applyFont="1" applyBorder="1"/>
    <xf numFmtId="170" fontId="10" fillId="0" borderId="0" xfId="1" applyNumberFormat="1" applyFont="1"/>
    <xf numFmtId="170" fontId="10" fillId="0" borderId="0" xfId="1" applyNumberFormat="1" applyFont="1" applyBorder="1"/>
    <xf numFmtId="170" fontId="10" fillId="0" borderId="1" xfId="1" applyNumberFormat="1" applyFont="1" applyBorder="1"/>
    <xf numFmtId="0" fontId="0" fillId="0" borderId="0" xfId="0" applyAlignment="1">
      <alignment horizontal="center" wrapText="1"/>
    </xf>
    <xf numFmtId="17" fontId="3" fillId="0" borderId="0" xfId="0" applyNumberFormat="1" applyFont="1" applyBorder="1"/>
    <xf numFmtId="170" fontId="0" fillId="0" borderId="9" xfId="1" applyNumberFormat="1" applyFont="1" applyBorder="1"/>
    <xf numFmtId="168" fontId="0" fillId="4" borderId="9" xfId="0" applyNumberFormat="1" applyFill="1" applyBorder="1"/>
    <xf numFmtId="168" fontId="0" fillId="3" borderId="9" xfId="0" applyNumberFormat="1" applyFill="1" applyBorder="1"/>
    <xf numFmtId="170" fontId="3" fillId="0" borderId="0" xfId="1" applyNumberFormat="1" applyFont="1"/>
    <xf numFmtId="168" fontId="3" fillId="0" borderId="0" xfId="0" applyNumberFormat="1" applyFont="1"/>
    <xf numFmtId="168" fontId="3" fillId="0" borderId="0" xfId="0" applyNumberFormat="1" applyFont="1" applyBorder="1"/>
    <xf numFmtId="168" fontId="3" fillId="4" borderId="0" xfId="0" applyNumberFormat="1" applyFont="1" applyFill="1"/>
    <xf numFmtId="168" fontId="3" fillId="3" borderId="0" xfId="0" applyNumberFormat="1" applyFont="1" applyFill="1"/>
    <xf numFmtId="0" fontId="0" fillId="0" borderId="0" xfId="0" applyAlignment="1">
      <alignment horizontal="right"/>
    </xf>
    <xf numFmtId="0" fontId="7" fillId="2" borderId="0" xfId="0" applyFont="1" applyFill="1" applyAlignment="1">
      <alignment horizontal="left"/>
    </xf>
    <xf numFmtId="176" fontId="21" fillId="0" borderId="0" xfId="0" applyNumberFormat="1" applyFont="1"/>
    <xf numFmtId="178" fontId="7" fillId="2" borderId="13" xfId="0" applyNumberFormat="1" applyFont="1" applyFill="1" applyBorder="1"/>
    <xf numFmtId="176" fontId="0" fillId="0" borderId="16" xfId="0" applyNumberFormat="1" applyBorder="1"/>
    <xf numFmtId="176" fontId="0" fillId="0" borderId="18" xfId="0" applyNumberFormat="1" applyBorder="1"/>
    <xf numFmtId="0" fontId="7" fillId="2" borderId="14" xfId="0" applyFont="1" applyFill="1" applyBorder="1" applyAlignment="1">
      <alignment horizontal="center"/>
    </xf>
    <xf numFmtId="0" fontId="7" fillId="2" borderId="15" xfId="0" applyFont="1" applyFill="1" applyBorder="1" applyAlignment="1">
      <alignment horizontal="center"/>
    </xf>
    <xf numFmtId="165" fontId="0" fillId="0" borderId="19" xfId="0" applyNumberFormat="1" applyBorder="1"/>
    <xf numFmtId="175" fontId="0" fillId="3" borderId="0" xfId="0" applyNumberFormat="1" applyFill="1"/>
    <xf numFmtId="175" fontId="3" fillId="0" borderId="21" xfId="0" applyNumberFormat="1" applyFont="1" applyBorder="1"/>
    <xf numFmtId="9" fontId="0" fillId="0" borderId="10" xfId="285" applyFont="1" applyBorder="1"/>
    <xf numFmtId="0" fontId="15" fillId="0" borderId="0" xfId="0" applyFont="1"/>
    <xf numFmtId="168" fontId="21" fillId="0" borderId="0" xfId="0" applyNumberFormat="1" applyFont="1"/>
    <xf numFmtId="9" fontId="0" fillId="0" borderId="1" xfId="0" applyNumberFormat="1" applyBorder="1"/>
    <xf numFmtId="0" fontId="15" fillId="5" borderId="0" xfId="0" applyFont="1" applyFill="1" applyAlignment="1">
      <alignment horizontal="center" wrapText="1"/>
    </xf>
    <xf numFmtId="0" fontId="23" fillId="0" borderId="0" xfId="0" applyFont="1"/>
    <xf numFmtId="0" fontId="24" fillId="0" borderId="0" xfId="0" applyFont="1"/>
    <xf numFmtId="0" fontId="24" fillId="0" borderId="0" xfId="0" applyFont="1" applyAlignment="1">
      <alignment wrapText="1"/>
    </xf>
    <xf numFmtId="0" fontId="25" fillId="6" borderId="0" xfId="0" applyFont="1" applyFill="1" applyAlignment="1">
      <alignment horizontal="center" wrapText="1"/>
    </xf>
    <xf numFmtId="170" fontId="24" fillId="0" borderId="0" xfId="0" applyNumberFormat="1" applyFont="1"/>
    <xf numFmtId="9" fontId="24" fillId="0" borderId="0" xfId="0" applyNumberFormat="1" applyFont="1"/>
    <xf numFmtId="0" fontId="24" fillId="0" borderId="1" xfId="0" applyFont="1" applyBorder="1"/>
    <xf numFmtId="170" fontId="24" fillId="0" borderId="1" xfId="0" applyNumberFormat="1" applyFont="1" applyBorder="1"/>
    <xf numFmtId="9" fontId="24" fillId="0" borderId="1" xfId="0" applyNumberFormat="1" applyFont="1" applyBorder="1"/>
    <xf numFmtId="179" fontId="24" fillId="0" borderId="0" xfId="0" applyNumberFormat="1" applyFont="1"/>
    <xf numFmtId="0" fontId="3" fillId="0" borderId="0" xfId="0" applyFont="1" applyBorder="1"/>
    <xf numFmtId="170" fontId="3" fillId="0" borderId="0" xfId="1" applyNumberFormat="1" applyFont="1" applyBorder="1"/>
    <xf numFmtId="179" fontId="0" fillId="0" borderId="0" xfId="285" applyNumberFormat="1" applyFont="1"/>
    <xf numFmtId="180" fontId="0" fillId="0" borderId="0" xfId="0" applyNumberFormat="1"/>
    <xf numFmtId="9" fontId="0" fillId="0" borderId="0" xfId="285" applyFont="1" applyAlignment="1">
      <alignment horizontal="right"/>
    </xf>
    <xf numFmtId="179" fontId="0" fillId="0" borderId="0" xfId="285" applyNumberFormat="1" applyFont="1" applyAlignment="1">
      <alignment horizontal="right"/>
    </xf>
    <xf numFmtId="9" fontId="3" fillId="0" borderId="1" xfId="0" applyNumberFormat="1" applyFont="1" applyBorder="1" applyAlignment="1">
      <alignment horizontal="right"/>
    </xf>
    <xf numFmtId="9" fontId="3" fillId="0" borderId="1" xfId="285" applyFont="1" applyBorder="1" applyAlignment="1">
      <alignment horizontal="right"/>
    </xf>
    <xf numFmtId="172" fontId="0" fillId="0" borderId="0" xfId="0" applyNumberFormat="1" applyFont="1"/>
    <xf numFmtId="0" fontId="22" fillId="0" borderId="1" xfId="0" applyFont="1" applyBorder="1"/>
    <xf numFmtId="0" fontId="3" fillId="0" borderId="9" xfId="0" applyFont="1" applyBorder="1"/>
    <xf numFmtId="170" fontId="3" fillId="0" borderId="9" xfId="1" applyNumberFormat="1" applyFont="1" applyBorder="1"/>
    <xf numFmtId="0" fontId="26" fillId="0" borderId="0" xfId="0" applyFont="1"/>
    <xf numFmtId="0" fontId="27" fillId="0" borderId="0" xfId="0" applyFont="1"/>
    <xf numFmtId="0" fontId="9" fillId="0" borderId="0" xfId="0" applyFont="1"/>
    <xf numFmtId="9" fontId="0" fillId="0" borderId="4" xfId="0" applyNumberFormat="1" applyBorder="1" applyAlignment="1">
      <alignment horizontal="right"/>
    </xf>
    <xf numFmtId="10" fontId="0" fillId="0" borderId="4" xfId="0" applyNumberFormat="1" applyBorder="1" applyAlignment="1">
      <alignment horizontal="right"/>
    </xf>
    <xf numFmtId="0" fontId="0" fillId="0" borderId="6" xfId="0" applyBorder="1" applyAlignment="1">
      <alignment horizontal="right"/>
    </xf>
    <xf numFmtId="0" fontId="0" fillId="0" borderId="3" xfId="0" applyBorder="1" applyAlignment="1">
      <alignment horizontal="right"/>
    </xf>
    <xf numFmtId="167" fontId="0" fillId="0" borderId="4" xfId="0" applyNumberFormat="1" applyBorder="1" applyAlignment="1">
      <alignment horizontal="right"/>
    </xf>
    <xf numFmtId="167" fontId="0" fillId="0" borderId="3" xfId="0" applyNumberFormat="1" applyBorder="1" applyAlignment="1">
      <alignment horizontal="right"/>
    </xf>
    <xf numFmtId="0" fontId="22" fillId="0" borderId="0" xfId="0" applyFont="1" applyBorder="1"/>
    <xf numFmtId="0" fontId="27" fillId="0" borderId="0" xfId="0" applyFont="1" applyBorder="1"/>
    <xf numFmtId="170" fontId="21" fillId="3" borderId="0" xfId="1" applyNumberFormat="1" applyFont="1" applyFill="1"/>
    <xf numFmtId="169" fontId="3" fillId="0" borderId="0" xfId="0" applyNumberFormat="1" applyFont="1"/>
    <xf numFmtId="166" fontId="0" fillId="0" borderId="0" xfId="0" applyNumberFormat="1"/>
    <xf numFmtId="170" fontId="29" fillId="0" borderId="0" xfId="1" applyNumberFormat="1" applyFont="1"/>
    <xf numFmtId="170" fontId="21" fillId="0" borderId="0" xfId="1" applyNumberFormat="1" applyFont="1" applyBorder="1"/>
    <xf numFmtId="170" fontId="29" fillId="0" borderId="0" xfId="1" applyNumberFormat="1" applyFont="1" applyBorder="1"/>
    <xf numFmtId="170" fontId="21" fillId="0" borderId="1" xfId="1" applyNumberFormat="1" applyFont="1" applyBorder="1"/>
    <xf numFmtId="170" fontId="29" fillId="0" borderId="1" xfId="1" applyNumberFormat="1" applyFont="1" applyBorder="1"/>
    <xf numFmtId="0" fontId="0" fillId="0" borderId="0" xfId="0" applyAlignment="1">
      <alignment wrapText="1"/>
    </xf>
    <xf numFmtId="0" fontId="31" fillId="0" borderId="0" xfId="0" applyFont="1"/>
  </cellXfs>
  <cellStyles count="347">
    <cellStyle name="Comma" xfId="1" builtinId="3"/>
    <cellStyle name="Followed Hyperlink" xfId="3"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Hyperlink" xfId="2"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6"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Normal" xfId="0" builtinId="0"/>
    <cellStyle name="Normal 2" xfId="4"/>
    <cellStyle name="Percent" xfId="285"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showGridLines="0" tabSelected="1" workbookViewId="0"/>
  </sheetViews>
  <sheetFormatPr baseColWidth="10" defaultRowHeight="15" x14ac:dyDescent="0"/>
  <cols>
    <col min="4" max="4" width="25.5" customWidth="1"/>
  </cols>
  <sheetData>
    <row r="2" spans="2:4" ht="52" customHeight="1"/>
    <row r="3" spans="2:4" ht="23">
      <c r="B3" s="210" t="s">
        <v>304</v>
      </c>
    </row>
    <row r="4" spans="2:4" ht="22" customHeight="1">
      <c r="B4" s="209" t="s">
        <v>303</v>
      </c>
      <c r="C4" s="209"/>
      <c r="D4" s="209"/>
    </row>
    <row r="5" spans="2:4">
      <c r="B5" s="209"/>
      <c r="C5" s="209"/>
      <c r="D5" s="209"/>
    </row>
    <row r="6" spans="2:4">
      <c r="B6" s="209"/>
      <c r="C6" s="209"/>
      <c r="D6" s="209"/>
    </row>
    <row r="7" spans="2:4">
      <c r="B7" s="209"/>
      <c r="C7" s="209"/>
      <c r="D7" s="209"/>
    </row>
    <row r="8" spans="2:4">
      <c r="B8" s="209"/>
      <c r="C8" s="209"/>
      <c r="D8" s="209"/>
    </row>
  </sheetData>
  <mergeCells count="1">
    <mergeCell ref="B4:D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4"/>
  <sheetViews>
    <sheetView showGridLines="0" topLeftCell="B1" workbookViewId="0">
      <selection activeCell="B1" sqref="B1"/>
    </sheetView>
  </sheetViews>
  <sheetFormatPr baseColWidth="10" defaultRowHeight="15" x14ac:dyDescent="0"/>
  <cols>
    <col min="1" max="1" width="2.5" customWidth="1"/>
    <col min="2" max="2" width="2.6640625" customWidth="1"/>
    <col min="3" max="3" width="23.1640625" customWidth="1"/>
    <col min="5" max="5" width="15.5" customWidth="1"/>
  </cols>
  <sheetData>
    <row r="2" spans="2:5">
      <c r="B2" s="192" t="s">
        <v>206</v>
      </c>
    </row>
    <row r="5" spans="2:5">
      <c r="C5" s="153" t="s">
        <v>208</v>
      </c>
      <c r="D5" s="153" t="s">
        <v>209</v>
      </c>
      <c r="E5" s="153" t="s">
        <v>217</v>
      </c>
    </row>
    <row r="6" spans="2:5">
      <c r="C6" t="s">
        <v>210</v>
      </c>
      <c r="D6" s="26">
        <v>7.1</v>
      </c>
      <c r="E6" s="7">
        <v>14800</v>
      </c>
    </row>
    <row r="7" spans="2:5">
      <c r="C7" t="s">
        <v>211</v>
      </c>
      <c r="D7" s="26">
        <v>11.45</v>
      </c>
      <c r="E7" s="7">
        <v>6600</v>
      </c>
    </row>
    <row r="8" spans="2:5">
      <c r="C8" t="s">
        <v>212</v>
      </c>
      <c r="D8" s="26">
        <v>14.47</v>
      </c>
      <c r="E8" s="7">
        <v>33100</v>
      </c>
    </row>
    <row r="9" spans="2:5">
      <c r="C9" t="s">
        <v>213</v>
      </c>
      <c r="D9" s="26">
        <v>9.5399999999999991</v>
      </c>
      <c r="E9" s="7">
        <v>2400</v>
      </c>
    </row>
    <row r="10" spans="2:5">
      <c r="C10" t="s">
        <v>214</v>
      </c>
      <c r="D10" s="26">
        <v>4.63</v>
      </c>
      <c r="E10" s="7">
        <v>1900</v>
      </c>
    </row>
    <row r="11" spans="2:5">
      <c r="C11" t="s">
        <v>215</v>
      </c>
      <c r="D11" s="26">
        <v>3.39</v>
      </c>
      <c r="E11" s="7">
        <v>201000</v>
      </c>
    </row>
    <row r="12" spans="2:5">
      <c r="C12" t="s">
        <v>216</v>
      </c>
      <c r="D12" s="26">
        <v>17.04</v>
      </c>
      <c r="E12" s="7">
        <v>135000</v>
      </c>
    </row>
    <row r="14" spans="2:5">
      <c r="B14" t="s">
        <v>207</v>
      </c>
    </row>
  </sheetData>
  <phoneticPr fontId="20"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4"/>
  <sheetViews>
    <sheetView showGridLines="0" workbookViewId="0"/>
  </sheetViews>
  <sheetFormatPr baseColWidth="10" defaultRowHeight="15" x14ac:dyDescent="0"/>
  <cols>
    <col min="1" max="1" width="2.6640625" customWidth="1"/>
    <col min="2" max="2" width="1.83203125" customWidth="1"/>
    <col min="3" max="3" width="14.1640625" customWidth="1"/>
    <col min="4" max="4" width="13" customWidth="1"/>
    <col min="5" max="5" width="12.6640625" customWidth="1"/>
  </cols>
  <sheetData>
    <row r="2" spans="2:5" ht="20">
      <c r="B2" s="191" t="s">
        <v>287</v>
      </c>
      <c r="C2" s="115"/>
      <c r="D2" s="115"/>
    </row>
    <row r="3" spans="2:5" ht="18">
      <c r="B3" s="191"/>
      <c r="C3" s="115"/>
      <c r="D3" s="115"/>
    </row>
    <row r="4" spans="2:5">
      <c r="D4" s="116" t="s">
        <v>100</v>
      </c>
      <c r="E4" s="116" t="s">
        <v>50</v>
      </c>
    </row>
    <row r="5" spans="2:5">
      <c r="C5" t="s">
        <v>31</v>
      </c>
      <c r="D5" s="30">
        <v>7300000</v>
      </c>
      <c r="E5" s="27">
        <v>41954</v>
      </c>
    </row>
    <row r="6" spans="2:5">
      <c r="C6" t="s">
        <v>13</v>
      </c>
      <c r="D6" s="30">
        <v>15000000</v>
      </c>
      <c r="E6" s="27">
        <v>41990</v>
      </c>
    </row>
    <row r="7" spans="2:5">
      <c r="C7" t="s">
        <v>14</v>
      </c>
      <c r="D7" s="30">
        <v>8000000</v>
      </c>
      <c r="E7" s="27">
        <v>41999</v>
      </c>
    </row>
    <row r="8" spans="2:5">
      <c r="C8" t="s">
        <v>101</v>
      </c>
      <c r="D8" s="30">
        <v>10000000</v>
      </c>
      <c r="E8" s="27">
        <v>41793</v>
      </c>
    </row>
    <row r="14" spans="2:5">
      <c r="B14" t="s">
        <v>288</v>
      </c>
    </row>
  </sheetData>
  <phoneticPr fontId="20" type="noConversion"/>
  <pageMargins left="0.75" right="0.75" top="1" bottom="1" header="0.5" footer="0.5"/>
  <pageSetup scale="95"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R24"/>
  <sheetViews>
    <sheetView showGridLines="0" workbookViewId="0">
      <selection activeCell="I34" sqref="I34"/>
    </sheetView>
  </sheetViews>
  <sheetFormatPr baseColWidth="10" defaultRowHeight="15" x14ac:dyDescent="0"/>
  <cols>
    <col min="1" max="1" width="3.1640625" customWidth="1"/>
    <col min="2" max="2" width="4.6640625" customWidth="1"/>
    <col min="3" max="3" width="14.5" customWidth="1"/>
    <col min="4" max="4" width="49.5" customWidth="1"/>
    <col min="5" max="5" width="14.5" hidden="1" customWidth="1"/>
    <col min="6" max="7" width="0" hidden="1" customWidth="1"/>
    <col min="8" max="8" width="12.83203125" customWidth="1"/>
    <col min="9" max="9" width="13.33203125" customWidth="1"/>
    <col min="11" max="11" width="16.6640625" customWidth="1"/>
    <col min="13" max="13" width="12" customWidth="1"/>
    <col min="16" max="17" width="12.83203125" customWidth="1"/>
    <col min="18" max="18" width="45.1640625" customWidth="1"/>
  </cols>
  <sheetData>
    <row r="2" spans="2:18" ht="18">
      <c r="B2" s="191" t="s">
        <v>292</v>
      </c>
    </row>
    <row r="4" spans="2:18" s="8" customFormat="1" ht="45">
      <c r="C4" s="12" t="s">
        <v>6</v>
      </c>
      <c r="D4" s="12" t="s">
        <v>65</v>
      </c>
      <c r="E4" s="12" t="s">
        <v>56</v>
      </c>
      <c r="F4" s="12" t="s">
        <v>7</v>
      </c>
      <c r="G4" s="12" t="s">
        <v>8</v>
      </c>
      <c r="H4" s="13" t="s">
        <v>52</v>
      </c>
      <c r="I4" s="13" t="s">
        <v>53</v>
      </c>
      <c r="J4" s="13" t="s">
        <v>54</v>
      </c>
      <c r="K4" s="13" t="s">
        <v>9</v>
      </c>
      <c r="L4" s="13" t="s">
        <v>10</v>
      </c>
      <c r="M4" s="13" t="s">
        <v>32</v>
      </c>
      <c r="N4" s="13" t="s">
        <v>30</v>
      </c>
      <c r="O4" s="13" t="s">
        <v>11</v>
      </c>
      <c r="P4" s="13" t="s">
        <v>12</v>
      </c>
      <c r="Q4" s="13" t="s">
        <v>51</v>
      </c>
      <c r="R4" s="13" t="s">
        <v>26</v>
      </c>
    </row>
    <row r="5" spans="2:18" ht="30" customHeight="1">
      <c r="C5" s="14" t="s">
        <v>31</v>
      </c>
      <c r="D5" s="17" t="s">
        <v>199</v>
      </c>
      <c r="E5" s="15">
        <v>2009</v>
      </c>
      <c r="F5" s="15" t="s">
        <v>37</v>
      </c>
      <c r="G5" s="14" t="s">
        <v>28</v>
      </c>
      <c r="H5" s="193">
        <v>0.05</v>
      </c>
      <c r="I5" s="15" t="s">
        <v>295</v>
      </c>
      <c r="J5" s="15"/>
      <c r="K5" s="16"/>
      <c r="L5" s="16"/>
      <c r="M5" s="14" t="s">
        <v>34</v>
      </c>
      <c r="N5" s="16"/>
      <c r="O5" s="16"/>
      <c r="P5" s="14" t="s">
        <v>35</v>
      </c>
      <c r="Q5" s="14"/>
      <c r="R5" s="17"/>
    </row>
    <row r="6" spans="2:18" ht="30" customHeight="1">
      <c r="C6" s="14" t="s">
        <v>13</v>
      </c>
      <c r="D6" s="17" t="s">
        <v>199</v>
      </c>
      <c r="E6" s="15">
        <v>2008</v>
      </c>
      <c r="F6" s="15" t="s">
        <v>38</v>
      </c>
      <c r="G6" s="14" t="s">
        <v>28</v>
      </c>
      <c r="H6" s="15" t="s">
        <v>294</v>
      </c>
      <c r="I6" s="15" t="s">
        <v>295</v>
      </c>
      <c r="J6" s="15" t="s">
        <v>296</v>
      </c>
      <c r="K6" s="16"/>
      <c r="L6" s="16"/>
      <c r="M6" s="14" t="s">
        <v>34</v>
      </c>
      <c r="N6" s="16"/>
      <c r="O6" s="16"/>
      <c r="P6" s="14" t="s">
        <v>35</v>
      </c>
      <c r="Q6" s="14"/>
      <c r="R6" s="17"/>
    </row>
    <row r="7" spans="2:18" ht="30" customHeight="1">
      <c r="C7" s="14" t="s">
        <v>14</v>
      </c>
      <c r="D7" s="17"/>
      <c r="E7" s="15">
        <v>2008</v>
      </c>
      <c r="F7" s="15" t="s">
        <v>39</v>
      </c>
      <c r="G7" s="14" t="s">
        <v>28</v>
      </c>
      <c r="H7" s="193">
        <v>0.05</v>
      </c>
      <c r="I7" s="15" t="s">
        <v>55</v>
      </c>
      <c r="J7" s="194">
        <v>7.9000000000000001E-2</v>
      </c>
      <c r="K7" s="16"/>
      <c r="L7" s="16"/>
      <c r="M7" s="14" t="s">
        <v>33</v>
      </c>
      <c r="N7" s="16"/>
      <c r="O7" s="16"/>
      <c r="P7" s="14" t="s">
        <v>35</v>
      </c>
      <c r="Q7" s="14"/>
      <c r="R7" s="17"/>
    </row>
    <row r="8" spans="2:18" ht="30" customHeight="1">
      <c r="C8" s="14" t="s">
        <v>15</v>
      </c>
      <c r="D8" s="17" t="s">
        <v>200</v>
      </c>
      <c r="E8" s="15">
        <v>2011</v>
      </c>
      <c r="F8" s="15" t="s">
        <v>40</v>
      </c>
      <c r="G8" s="14" t="s">
        <v>28</v>
      </c>
      <c r="H8" s="193">
        <v>0</v>
      </c>
      <c r="I8" s="15" t="s">
        <v>55</v>
      </c>
      <c r="J8" s="194">
        <v>2.9000000000000001E-2</v>
      </c>
      <c r="K8" s="16" t="s">
        <v>24</v>
      </c>
      <c r="L8" s="16" t="s">
        <v>24</v>
      </c>
      <c r="M8" s="14" t="s">
        <v>33</v>
      </c>
      <c r="N8" s="16"/>
      <c r="O8" s="16" t="s">
        <v>24</v>
      </c>
      <c r="P8" s="14" t="s">
        <v>25</v>
      </c>
      <c r="Q8" s="14"/>
      <c r="R8" s="17" t="s">
        <v>27</v>
      </c>
    </row>
    <row r="9" spans="2:18" ht="30" customHeight="1">
      <c r="C9" s="14" t="s">
        <v>16</v>
      </c>
      <c r="D9" s="17" t="s">
        <v>200</v>
      </c>
      <c r="E9" s="15">
        <v>2011</v>
      </c>
      <c r="F9" s="15" t="s">
        <v>41</v>
      </c>
      <c r="G9" s="14" t="s">
        <v>28</v>
      </c>
      <c r="H9" s="15" t="s">
        <v>297</v>
      </c>
      <c r="I9" s="197">
        <v>3</v>
      </c>
      <c r="J9" s="15"/>
      <c r="K9" s="16" t="s">
        <v>24</v>
      </c>
      <c r="L9" s="16" t="s">
        <v>24</v>
      </c>
      <c r="M9" s="14" t="s">
        <v>33</v>
      </c>
      <c r="N9" s="16"/>
      <c r="O9" s="16" t="s">
        <v>24</v>
      </c>
      <c r="P9" s="14" t="s">
        <v>25</v>
      </c>
      <c r="Q9" s="14"/>
      <c r="R9" s="17" t="s">
        <v>27</v>
      </c>
    </row>
    <row r="10" spans="2:18" ht="30" customHeight="1">
      <c r="C10" s="14" t="s">
        <v>17</v>
      </c>
      <c r="D10" s="17"/>
      <c r="E10" s="15">
        <v>2012</v>
      </c>
      <c r="F10" s="15" t="s">
        <v>42</v>
      </c>
      <c r="G10" s="14" t="s">
        <v>28</v>
      </c>
      <c r="H10" s="15"/>
      <c r="I10" s="15"/>
      <c r="J10" s="15"/>
      <c r="K10" s="16" t="s">
        <v>24</v>
      </c>
      <c r="L10" s="16"/>
      <c r="M10" s="14" t="s">
        <v>33</v>
      </c>
      <c r="N10" s="16" t="s">
        <v>24</v>
      </c>
      <c r="O10" s="16"/>
      <c r="P10" s="14" t="s">
        <v>25</v>
      </c>
      <c r="Q10" s="14"/>
      <c r="R10" s="17"/>
    </row>
    <row r="11" spans="2:18" ht="30" customHeight="1">
      <c r="C11" s="14" t="s">
        <v>18</v>
      </c>
      <c r="D11" s="17"/>
      <c r="E11" s="15">
        <v>2010</v>
      </c>
      <c r="F11" s="15" t="s">
        <v>41</v>
      </c>
      <c r="G11" s="14" t="s">
        <v>28</v>
      </c>
      <c r="H11" s="15"/>
      <c r="I11" s="15"/>
      <c r="J11" s="15"/>
      <c r="K11" s="16" t="s">
        <v>24</v>
      </c>
      <c r="L11" s="16"/>
      <c r="M11" s="14" t="s">
        <v>33</v>
      </c>
      <c r="N11" s="16"/>
      <c r="O11" s="16"/>
      <c r="P11" s="14" t="s">
        <v>34</v>
      </c>
      <c r="Q11" s="14"/>
      <c r="R11" s="17" t="s">
        <v>43</v>
      </c>
    </row>
    <row r="12" spans="2:18" ht="30" customHeight="1">
      <c r="C12" s="14" t="s">
        <v>19</v>
      </c>
      <c r="D12" s="17"/>
      <c r="E12" s="15" t="s">
        <v>44</v>
      </c>
      <c r="F12" s="15" t="s">
        <v>44</v>
      </c>
      <c r="G12" s="14" t="s">
        <v>28</v>
      </c>
      <c r="H12" s="15"/>
      <c r="I12" s="15"/>
      <c r="J12" s="15"/>
      <c r="K12" s="16" t="s">
        <v>24</v>
      </c>
      <c r="L12" s="16"/>
      <c r="M12" s="14" t="s">
        <v>34</v>
      </c>
      <c r="N12" s="16"/>
      <c r="O12" s="16"/>
      <c r="P12" s="14" t="s">
        <v>34</v>
      </c>
      <c r="Q12" s="14"/>
      <c r="R12" s="17"/>
    </row>
    <row r="13" spans="2:18" ht="30" customHeight="1">
      <c r="C13" s="14" t="s">
        <v>29</v>
      </c>
      <c r="D13" s="17"/>
      <c r="E13" s="15">
        <v>2012</v>
      </c>
      <c r="F13" s="15" t="s">
        <v>36</v>
      </c>
      <c r="G13" s="14" t="s">
        <v>28</v>
      </c>
      <c r="H13" s="15"/>
      <c r="I13" s="15"/>
      <c r="J13" s="15"/>
      <c r="K13" s="16" t="s">
        <v>24</v>
      </c>
      <c r="L13" s="16"/>
      <c r="M13" s="14" t="s">
        <v>33</v>
      </c>
      <c r="N13" s="16" t="s">
        <v>24</v>
      </c>
      <c r="O13" s="16"/>
      <c r="P13" s="14" t="s">
        <v>25</v>
      </c>
      <c r="Q13" s="14"/>
      <c r="R13" s="17"/>
    </row>
    <row r="14" spans="2:18" ht="30" customHeight="1">
      <c r="C14" s="14" t="s">
        <v>20</v>
      </c>
      <c r="D14" s="17" t="s">
        <v>201</v>
      </c>
      <c r="E14" s="15">
        <v>2012</v>
      </c>
      <c r="F14" s="15" t="s">
        <v>45</v>
      </c>
      <c r="G14" s="14" t="s">
        <v>28</v>
      </c>
      <c r="H14" s="15"/>
      <c r="I14" s="15"/>
      <c r="J14" s="15"/>
      <c r="K14" s="16"/>
      <c r="L14" s="16"/>
      <c r="M14" s="14" t="s">
        <v>33</v>
      </c>
      <c r="N14" s="16" t="s">
        <v>24</v>
      </c>
      <c r="O14" s="16"/>
      <c r="P14" s="14" t="s">
        <v>34</v>
      </c>
      <c r="Q14" s="14"/>
      <c r="R14" s="17"/>
    </row>
    <row r="15" spans="2:18" ht="30" customHeight="1">
      <c r="C15" s="14" t="s">
        <v>21</v>
      </c>
      <c r="D15" s="17" t="s">
        <v>202</v>
      </c>
      <c r="E15" s="15">
        <v>2012</v>
      </c>
      <c r="F15" s="15" t="s">
        <v>44</v>
      </c>
      <c r="G15" s="14" t="s">
        <v>46</v>
      </c>
      <c r="H15" s="15"/>
      <c r="I15" s="15"/>
      <c r="J15" s="15"/>
      <c r="K15" s="16" t="s">
        <v>24</v>
      </c>
      <c r="L15" s="16"/>
      <c r="M15" s="14" t="s">
        <v>47</v>
      </c>
      <c r="N15" s="16"/>
      <c r="O15" s="16"/>
      <c r="P15" s="14" t="s">
        <v>34</v>
      </c>
      <c r="Q15" s="14"/>
      <c r="R15" s="17"/>
    </row>
    <row r="16" spans="2:18" ht="30" customHeight="1">
      <c r="C16" s="14" t="s">
        <v>22</v>
      </c>
      <c r="D16" s="17"/>
      <c r="E16" s="15">
        <v>2013</v>
      </c>
      <c r="F16" s="15" t="s">
        <v>44</v>
      </c>
      <c r="G16" s="14" t="s">
        <v>48</v>
      </c>
      <c r="H16" s="15"/>
      <c r="I16" s="15"/>
      <c r="J16" s="15"/>
      <c r="K16" s="16" t="s">
        <v>24</v>
      </c>
      <c r="L16" s="16"/>
      <c r="M16" s="14" t="s">
        <v>33</v>
      </c>
      <c r="N16" s="16" t="s">
        <v>24</v>
      </c>
      <c r="O16" s="16"/>
      <c r="P16" s="14" t="s">
        <v>34</v>
      </c>
      <c r="Q16" s="14"/>
      <c r="R16" s="17"/>
    </row>
    <row r="17" spans="3:18" ht="30" customHeight="1">
      <c r="C17" s="14" t="s">
        <v>23</v>
      </c>
      <c r="D17" s="17" t="s">
        <v>200</v>
      </c>
      <c r="E17" s="15">
        <v>2013</v>
      </c>
      <c r="F17" s="15" t="s">
        <v>44</v>
      </c>
      <c r="G17" s="14" t="s">
        <v>46</v>
      </c>
      <c r="H17" s="15"/>
      <c r="I17" s="15"/>
      <c r="J17" s="15"/>
      <c r="K17" s="16" t="s">
        <v>24</v>
      </c>
      <c r="L17" s="16" t="s">
        <v>24</v>
      </c>
      <c r="M17" s="14" t="s">
        <v>33</v>
      </c>
      <c r="N17" s="16"/>
      <c r="O17" s="16" t="s">
        <v>24</v>
      </c>
      <c r="P17" s="14" t="s">
        <v>25</v>
      </c>
      <c r="Q17" s="14"/>
      <c r="R17" s="17" t="s">
        <v>49</v>
      </c>
    </row>
    <row r="18" spans="3:18" ht="34" customHeight="1">
      <c r="C18" s="18" t="s">
        <v>57</v>
      </c>
      <c r="D18" s="22" t="s">
        <v>64</v>
      </c>
      <c r="E18" s="19"/>
      <c r="F18" s="19"/>
      <c r="G18" s="19" t="s">
        <v>28</v>
      </c>
      <c r="H18" s="195"/>
      <c r="I18" s="195"/>
      <c r="J18" s="195"/>
      <c r="K18" s="19" t="s">
        <v>24</v>
      </c>
      <c r="L18" s="19" t="s">
        <v>24</v>
      </c>
      <c r="M18" s="19"/>
      <c r="N18" s="19"/>
      <c r="O18" s="19"/>
      <c r="P18" s="19"/>
      <c r="Q18" s="19"/>
      <c r="R18" s="24" t="s">
        <v>66</v>
      </c>
    </row>
    <row r="19" spans="3:18" ht="34" customHeight="1">
      <c r="C19" s="20" t="s">
        <v>58</v>
      </c>
      <c r="D19" s="23" t="s">
        <v>67</v>
      </c>
      <c r="E19" s="21"/>
      <c r="F19" s="21"/>
      <c r="G19" s="21" t="s">
        <v>28</v>
      </c>
      <c r="H19" s="196"/>
      <c r="I19" s="196"/>
      <c r="J19" s="196"/>
      <c r="K19" s="21" t="s">
        <v>24</v>
      </c>
      <c r="L19" s="21" t="s">
        <v>24</v>
      </c>
      <c r="M19" s="21" t="s">
        <v>33</v>
      </c>
      <c r="N19" s="21"/>
      <c r="O19" s="21"/>
      <c r="P19" s="21" t="s">
        <v>25</v>
      </c>
      <c r="Q19" s="21"/>
      <c r="R19" s="25"/>
    </row>
    <row r="20" spans="3:18" ht="34" customHeight="1">
      <c r="C20" s="20" t="s">
        <v>59</v>
      </c>
      <c r="D20" s="23" t="s">
        <v>68</v>
      </c>
      <c r="E20" s="21"/>
      <c r="F20" s="21"/>
      <c r="G20" s="21" t="s">
        <v>28</v>
      </c>
      <c r="H20" s="193">
        <v>0.05</v>
      </c>
      <c r="I20" s="15" t="s">
        <v>55</v>
      </c>
      <c r="J20" s="194">
        <v>7.9000000000000001E-2</v>
      </c>
      <c r="K20" s="21"/>
      <c r="L20" s="21"/>
      <c r="M20" s="21" t="s">
        <v>34</v>
      </c>
      <c r="N20" s="21"/>
      <c r="O20" s="21"/>
      <c r="P20" s="21" t="s">
        <v>47</v>
      </c>
      <c r="Q20" s="21" t="s">
        <v>24</v>
      </c>
      <c r="R20" s="25" t="s">
        <v>69</v>
      </c>
    </row>
    <row r="21" spans="3:18" ht="34" customHeight="1">
      <c r="C21" s="20" t="s">
        <v>60</v>
      </c>
      <c r="D21" s="23" t="s">
        <v>70</v>
      </c>
      <c r="E21" s="21"/>
      <c r="F21" s="21"/>
      <c r="G21" s="21" t="s">
        <v>28</v>
      </c>
      <c r="H21" s="196"/>
      <c r="I21" s="196"/>
      <c r="J21" s="196"/>
      <c r="K21" s="21" t="s">
        <v>24</v>
      </c>
      <c r="L21" s="21"/>
      <c r="M21" s="21"/>
      <c r="N21" s="21"/>
      <c r="O21" s="21"/>
      <c r="P21" s="21"/>
      <c r="Q21" s="21"/>
      <c r="R21" s="25"/>
    </row>
    <row r="22" spans="3:18" ht="34" customHeight="1">
      <c r="C22" s="20" t="s">
        <v>61</v>
      </c>
      <c r="D22" s="23" t="s">
        <v>71</v>
      </c>
      <c r="E22" s="21"/>
      <c r="F22" s="21"/>
      <c r="G22" s="21" t="s">
        <v>73</v>
      </c>
      <c r="H22" s="198">
        <v>0.99</v>
      </c>
      <c r="I22" s="196"/>
      <c r="J22" s="196"/>
      <c r="K22" s="21" t="s">
        <v>24</v>
      </c>
      <c r="L22" s="21"/>
      <c r="M22" s="21" t="s">
        <v>33</v>
      </c>
      <c r="N22" s="21"/>
      <c r="O22" s="21"/>
      <c r="P22" s="21" t="s">
        <v>35</v>
      </c>
      <c r="Q22" s="21"/>
      <c r="R22" s="25" t="s">
        <v>72</v>
      </c>
    </row>
    <row r="23" spans="3:18" ht="34" customHeight="1">
      <c r="C23" s="20" t="s">
        <v>62</v>
      </c>
      <c r="D23" s="23" t="s">
        <v>74</v>
      </c>
      <c r="E23" s="21"/>
      <c r="F23" s="21"/>
      <c r="G23" s="21" t="s">
        <v>46</v>
      </c>
      <c r="H23" s="196"/>
      <c r="I23" s="196"/>
      <c r="J23" s="196"/>
      <c r="K23" s="21" t="s">
        <v>24</v>
      </c>
      <c r="L23" s="21" t="s">
        <v>24</v>
      </c>
      <c r="M23" s="21"/>
      <c r="N23" s="21"/>
      <c r="O23" s="21"/>
      <c r="P23" s="21"/>
      <c r="Q23" s="21"/>
      <c r="R23" s="25"/>
    </row>
    <row r="24" spans="3:18" ht="34" customHeight="1">
      <c r="C24" s="20" t="s">
        <v>63</v>
      </c>
      <c r="D24" s="23" t="s">
        <v>75</v>
      </c>
      <c r="E24" s="21"/>
      <c r="F24" s="21"/>
      <c r="G24" s="21" t="s">
        <v>28</v>
      </c>
      <c r="H24" s="196"/>
      <c r="I24" s="196"/>
      <c r="J24" s="196"/>
      <c r="K24" s="21"/>
      <c r="L24" s="21" t="s">
        <v>24</v>
      </c>
      <c r="M24" s="21" t="s">
        <v>34</v>
      </c>
      <c r="N24" s="21"/>
      <c r="O24" s="21"/>
      <c r="P24" s="21"/>
      <c r="Q24" s="21"/>
      <c r="R24" s="25"/>
    </row>
  </sheetData>
  <phoneticPr fontId="20" type="noConversion"/>
  <printOptions horizontalCentered="1" verticalCentered="1"/>
  <pageMargins left="0.75" right="0.75" top="1" bottom="1" header="0.5" footer="0.5"/>
  <pageSetup scale="45" orientation="landscape" horizontalDpi="4294967292" verticalDpi="4294967292"/>
  <extLst>
    <ext xmlns:mx="http://schemas.microsoft.com/office/mac/excel/2008/main" uri="{64002731-A6B0-56B0-2670-7721B7C09600}">
      <mx:PLV Mode="0" OnePage="0" WScale="33"/>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H44"/>
  <sheetViews>
    <sheetView showGridLines="0" workbookViewId="0">
      <pane xSplit="3" ySplit="4" topLeftCell="D5" activePane="bottomRight" state="frozen"/>
      <selection pane="topRight" activeCell="D1" sqref="D1"/>
      <selection pane="bottomLeft" activeCell="A5" sqref="A5"/>
      <selection pane="bottomRight" activeCell="M63" sqref="M63"/>
    </sheetView>
  </sheetViews>
  <sheetFormatPr baseColWidth="10" defaultRowHeight="15" x14ac:dyDescent="0"/>
  <cols>
    <col min="1" max="1" width="2.83203125" customWidth="1"/>
    <col min="2" max="2" width="1.83203125" customWidth="1"/>
    <col min="3" max="3" width="25.33203125" customWidth="1"/>
    <col min="4" max="8" width="11.33203125" bestFit="1" customWidth="1"/>
    <col min="9" max="12" width="11.5" bestFit="1" customWidth="1"/>
    <col min="13" max="18" width="12.5" bestFit="1" customWidth="1"/>
    <col min="19" max="26" width="14.1640625" bestFit="1" customWidth="1"/>
    <col min="27" max="27" width="15.1640625" bestFit="1" customWidth="1"/>
    <col min="28" max="28" width="2.33203125" customWidth="1"/>
    <col min="29" max="30" width="15.1640625" customWidth="1"/>
    <col min="31" max="33" width="13.5" customWidth="1"/>
    <col min="34" max="34" width="14.1640625" bestFit="1" customWidth="1"/>
  </cols>
  <sheetData>
    <row r="1" spans="1:33" ht="18">
      <c r="A1" s="191" t="s">
        <v>289</v>
      </c>
    </row>
    <row r="2" spans="1:33">
      <c r="P2" s="136">
        <f>(AA5-O5)/12</f>
        <v>10833.333333333334</v>
      </c>
      <c r="AC2" s="67"/>
      <c r="AD2" s="67"/>
      <c r="AE2" s="67"/>
      <c r="AF2" s="67"/>
      <c r="AG2" s="67"/>
    </row>
    <row r="3" spans="1:33">
      <c r="D3" s="44">
        <v>42095</v>
      </c>
      <c r="E3" s="44">
        <v>42125</v>
      </c>
      <c r="F3" s="44">
        <v>42156</v>
      </c>
      <c r="G3" s="44">
        <v>42186</v>
      </c>
      <c r="H3" s="44">
        <v>42217</v>
      </c>
      <c r="I3" s="44">
        <v>42248</v>
      </c>
      <c r="J3" s="44">
        <v>42278</v>
      </c>
      <c r="K3" s="44">
        <v>42309</v>
      </c>
      <c r="L3" s="44">
        <v>42339</v>
      </c>
      <c r="M3" s="44">
        <v>42370</v>
      </c>
      <c r="N3" s="44">
        <v>42401</v>
      </c>
      <c r="O3" s="44">
        <v>42430</v>
      </c>
      <c r="P3" s="50">
        <v>42461</v>
      </c>
      <c r="Q3" s="44">
        <v>42491</v>
      </c>
      <c r="R3" s="44">
        <v>42522</v>
      </c>
      <c r="S3" s="44">
        <v>42552</v>
      </c>
      <c r="T3" s="44">
        <v>42583</v>
      </c>
      <c r="U3" s="44">
        <v>42614</v>
      </c>
      <c r="V3" s="44">
        <v>42644</v>
      </c>
      <c r="W3" s="44">
        <v>42675</v>
      </c>
      <c r="X3" s="44">
        <v>42705</v>
      </c>
      <c r="Y3" s="44">
        <v>42736</v>
      </c>
      <c r="Z3" s="44">
        <v>42767</v>
      </c>
      <c r="AA3" s="44">
        <v>42795</v>
      </c>
      <c r="AC3" s="68" t="s">
        <v>181</v>
      </c>
      <c r="AD3" s="68" t="s">
        <v>182</v>
      </c>
      <c r="AE3" s="69" t="s">
        <v>178</v>
      </c>
      <c r="AF3" s="69" t="s">
        <v>179</v>
      </c>
      <c r="AG3" s="69" t="s">
        <v>180</v>
      </c>
    </row>
    <row r="4" spans="1:33">
      <c r="D4" s="43"/>
      <c r="E4" s="43"/>
      <c r="F4" s="43"/>
      <c r="G4" s="43"/>
      <c r="H4" s="43"/>
      <c r="I4" s="43"/>
      <c r="J4" s="43"/>
      <c r="K4" s="43"/>
      <c r="L4" s="43"/>
      <c r="M4" s="43"/>
      <c r="N4" s="43"/>
      <c r="O4" s="43"/>
      <c r="P4" s="51"/>
      <c r="Q4" s="43"/>
      <c r="R4" s="43"/>
      <c r="S4" s="43"/>
      <c r="T4" s="43"/>
      <c r="U4" s="43"/>
      <c r="V4" s="43"/>
      <c r="W4" s="43"/>
      <c r="X4" s="43"/>
      <c r="Y4" s="43"/>
      <c r="Z4" s="43"/>
      <c r="AA4" s="43"/>
      <c r="AC4" s="70"/>
      <c r="AD4" s="70"/>
      <c r="AE4" s="67"/>
      <c r="AF4" s="67"/>
      <c r="AG4" s="67"/>
    </row>
    <row r="5" spans="1:33">
      <c r="B5" t="s">
        <v>176</v>
      </c>
      <c r="D5" s="132">
        <v>25</v>
      </c>
      <c r="E5" s="132">
        <v>50</v>
      </c>
      <c r="F5" s="132">
        <v>100</v>
      </c>
      <c r="G5" s="132">
        <v>200</v>
      </c>
      <c r="H5" s="132">
        <v>400</v>
      </c>
      <c r="I5" s="132">
        <v>800</v>
      </c>
      <c r="J5" s="132">
        <v>1500</v>
      </c>
      <c r="K5" s="132">
        <v>2750</v>
      </c>
      <c r="L5" s="132">
        <v>4800</v>
      </c>
      <c r="M5" s="132">
        <v>8000</v>
      </c>
      <c r="N5" s="132">
        <v>13000</v>
      </c>
      <c r="O5" s="132">
        <v>20000</v>
      </c>
      <c r="P5" s="101">
        <f>$P$2+O5</f>
        <v>30833.333333333336</v>
      </c>
      <c r="Q5" s="102">
        <f t="shared" ref="Q5:Z5" si="0">$P$2+P5</f>
        <v>41666.666666666672</v>
      </c>
      <c r="R5" s="102">
        <f t="shared" si="0"/>
        <v>52500.000000000007</v>
      </c>
      <c r="S5" s="102">
        <f t="shared" si="0"/>
        <v>63333.333333333343</v>
      </c>
      <c r="T5" s="102">
        <f t="shared" si="0"/>
        <v>74166.666666666672</v>
      </c>
      <c r="U5" s="102">
        <f t="shared" si="0"/>
        <v>85000</v>
      </c>
      <c r="V5" s="102">
        <f t="shared" si="0"/>
        <v>95833.333333333328</v>
      </c>
      <c r="W5" s="102">
        <f t="shared" si="0"/>
        <v>106666.66666666666</v>
      </c>
      <c r="X5" s="102">
        <f t="shared" si="0"/>
        <v>117499.99999999999</v>
      </c>
      <c r="Y5" s="102">
        <f t="shared" si="0"/>
        <v>128333.33333333331</v>
      </c>
      <c r="Z5" s="102">
        <f t="shared" si="0"/>
        <v>139166.66666666666</v>
      </c>
      <c r="AA5" s="132">
        <v>150000</v>
      </c>
      <c r="AC5" s="71">
        <v>20109.599999999999</v>
      </c>
      <c r="AD5" s="71">
        <f>AA5</f>
        <v>150000</v>
      </c>
      <c r="AE5" s="201">
        <v>323719.08010362048</v>
      </c>
      <c r="AF5" s="201">
        <v>615066.25219687889</v>
      </c>
      <c r="AG5" s="201">
        <v>1076365.941344538</v>
      </c>
    </row>
    <row r="6" spans="1:33">
      <c r="C6" s="49" t="s">
        <v>98</v>
      </c>
      <c r="D6" s="28"/>
      <c r="E6" s="29">
        <f>(E5-D5)/D5</f>
        <v>1</v>
      </c>
      <c r="F6" s="29">
        <f t="shared" ref="F6:AA6" si="1">(F5-E5)/E5</f>
        <v>1</v>
      </c>
      <c r="G6" s="29">
        <f t="shared" si="1"/>
        <v>1</v>
      </c>
      <c r="H6" s="29">
        <f t="shared" si="1"/>
        <v>1</v>
      </c>
      <c r="I6" s="29">
        <f t="shared" si="1"/>
        <v>1</v>
      </c>
      <c r="J6" s="29">
        <f t="shared" si="1"/>
        <v>0.875</v>
      </c>
      <c r="K6" s="29">
        <f t="shared" si="1"/>
        <v>0.83333333333333337</v>
      </c>
      <c r="L6" s="29">
        <f t="shared" si="1"/>
        <v>0.74545454545454548</v>
      </c>
      <c r="M6" s="29">
        <f t="shared" si="1"/>
        <v>0.66666666666666663</v>
      </c>
      <c r="N6" s="29">
        <f t="shared" si="1"/>
        <v>0.625</v>
      </c>
      <c r="O6" s="29">
        <f t="shared" si="1"/>
        <v>0.53846153846153844</v>
      </c>
      <c r="P6" s="52">
        <f t="shared" si="1"/>
        <v>0.54166666666666674</v>
      </c>
      <c r="Q6" s="29">
        <f t="shared" si="1"/>
        <v>0.35135135135135143</v>
      </c>
      <c r="R6" s="29">
        <f t="shared" si="1"/>
        <v>0.26</v>
      </c>
      <c r="S6" s="29">
        <f t="shared" si="1"/>
        <v>0.20634920634920637</v>
      </c>
      <c r="T6" s="29">
        <f t="shared" si="1"/>
        <v>0.17105263157894726</v>
      </c>
      <c r="U6" s="29">
        <f t="shared" si="1"/>
        <v>0.14606741573033699</v>
      </c>
      <c r="V6" s="29">
        <f t="shared" si="1"/>
        <v>0.1274509803921568</v>
      </c>
      <c r="W6" s="29">
        <f t="shared" si="1"/>
        <v>0.11304347826086952</v>
      </c>
      <c r="X6" s="29">
        <f t="shared" si="1"/>
        <v>0.10156249999999996</v>
      </c>
      <c r="Y6" s="29">
        <f t="shared" si="1"/>
        <v>9.2198581560283654E-2</v>
      </c>
      <c r="Z6" s="29">
        <f t="shared" si="1"/>
        <v>8.4415584415584499E-2</v>
      </c>
      <c r="AA6" s="29">
        <f t="shared" si="1"/>
        <v>7.7844311377245581E-2</v>
      </c>
      <c r="AC6" s="72"/>
      <c r="AD6" s="72">
        <f>(AD5-AC5)/AC5</f>
        <v>6.4591240004773844</v>
      </c>
      <c r="AE6" s="100">
        <f t="shared" ref="AE6:AG6" si="2">(AE5-AD5)/AD5</f>
        <v>1.1581272006908032</v>
      </c>
      <c r="AF6" s="100">
        <f t="shared" si="2"/>
        <v>0.89999999999999991</v>
      </c>
      <c r="AG6" s="100">
        <f t="shared" si="2"/>
        <v>0.74999999999999989</v>
      </c>
    </row>
    <row r="7" spans="1:33" s="31" customFormat="1" hidden="1">
      <c r="B7" s="31" t="s">
        <v>103</v>
      </c>
      <c r="D7" s="32">
        <f>D5*'Revenue Model'!$F$14/12</f>
        <v>4458.333333333333</v>
      </c>
      <c r="E7" s="32">
        <f>E5*'Revenue Model'!$F$14/12</f>
        <v>8916.6666666666661</v>
      </c>
      <c r="F7" s="32">
        <f>F5*'Revenue Model'!$F$14/12</f>
        <v>17833.333333333332</v>
      </c>
      <c r="G7" s="32">
        <f>G5*'Revenue Model'!$F$14/12</f>
        <v>35666.666666666664</v>
      </c>
      <c r="H7" s="32">
        <f>H5*'Revenue Model'!$F$14/12</f>
        <v>71333.333333333328</v>
      </c>
      <c r="I7" s="32">
        <f>I5*'Revenue Model'!$F$14/12</f>
        <v>142666.66666666666</v>
      </c>
      <c r="J7" s="32">
        <f>J5*'Revenue Model'!$F$14/12</f>
        <v>267500</v>
      </c>
      <c r="K7" s="32">
        <f>K5*'Revenue Model'!$F$14/12</f>
        <v>490416.66666666669</v>
      </c>
      <c r="L7" s="32">
        <f>L5*'Revenue Model'!$F$14/12</f>
        <v>856000</v>
      </c>
      <c r="M7" s="32">
        <f>M5*'Revenue Model'!$F$14/12</f>
        <v>1426666.6666666667</v>
      </c>
      <c r="N7" s="32">
        <f>N5*'Revenue Model'!$F$14/12</f>
        <v>2318333.3333333335</v>
      </c>
      <c r="O7" s="32">
        <f>O5*'Revenue Model'!$F$14/12</f>
        <v>3566666.6666666665</v>
      </c>
      <c r="P7" s="53">
        <f>P5*'Revenue Model'!$F$14/12</f>
        <v>5498611.111111111</v>
      </c>
      <c r="Q7" s="32">
        <f>Q5*'Revenue Model'!$F$14/12</f>
        <v>7430555.555555556</v>
      </c>
      <c r="R7" s="32">
        <f>R5*'Revenue Model'!$F$14/12</f>
        <v>9362500.0000000019</v>
      </c>
      <c r="S7" s="32">
        <f>S5*'Revenue Model'!$F$14/12</f>
        <v>11294444.444444446</v>
      </c>
      <c r="T7" s="32">
        <f>T5*'Revenue Model'!$F$14/12</f>
        <v>13226388.88888889</v>
      </c>
      <c r="U7" s="32">
        <f>U5*'Revenue Model'!$F$14/12</f>
        <v>15158333.333333334</v>
      </c>
      <c r="V7" s="32">
        <f>V5*'Revenue Model'!$F$14/12</f>
        <v>17090277.777777776</v>
      </c>
      <c r="W7" s="32">
        <f>W5*'Revenue Model'!$F$14/12</f>
        <v>19022222.22222222</v>
      </c>
      <c r="X7" s="32">
        <f>X5*'Revenue Model'!$F$14/12</f>
        <v>20954166.666666664</v>
      </c>
      <c r="Y7" s="32">
        <f>Y5*'Revenue Model'!$F$14/12</f>
        <v>22886111.111111108</v>
      </c>
      <c r="Z7" s="32">
        <f>Z5*'Revenue Model'!$F$14/12</f>
        <v>24818055.555555552</v>
      </c>
      <c r="AA7" s="32">
        <f>AA5*'Revenue Model'!$F$14/12</f>
        <v>26750000</v>
      </c>
      <c r="AB7"/>
      <c r="AC7" s="73"/>
      <c r="AD7" s="73"/>
      <c r="AE7" s="73">
        <f>AE5*'Revenue Model'!$F$14/12</f>
        <v>57729902.618478984</v>
      </c>
      <c r="AF7" s="73">
        <f>AF5*'Revenue Model'!$F$14/12</f>
        <v>109686814.97511007</v>
      </c>
      <c r="AG7" s="73">
        <f>AG5*'Revenue Model'!$F$14/12</f>
        <v>191951926.20644259</v>
      </c>
    </row>
    <row r="8" spans="1:33" s="31" customFormat="1">
      <c r="D8" s="32"/>
      <c r="E8" s="32"/>
      <c r="F8" s="32"/>
      <c r="G8" s="32"/>
      <c r="H8" s="32"/>
      <c r="I8" s="32"/>
      <c r="J8" s="32"/>
      <c r="K8" s="32"/>
      <c r="L8" s="32"/>
      <c r="M8" s="32"/>
      <c r="N8" s="32"/>
      <c r="O8" s="32"/>
      <c r="P8" s="53"/>
      <c r="Q8" s="32"/>
      <c r="R8" s="32"/>
      <c r="S8" s="32"/>
      <c r="T8" s="32"/>
      <c r="U8" s="32"/>
      <c r="V8" s="32"/>
      <c r="W8" s="32"/>
      <c r="X8" s="32"/>
      <c r="Y8" s="32"/>
      <c r="Z8" s="32"/>
      <c r="AA8" s="32"/>
      <c r="AB8"/>
      <c r="AC8" s="73"/>
      <c r="AD8" s="73"/>
      <c r="AE8" s="73"/>
      <c r="AF8" s="73"/>
      <c r="AG8" s="73"/>
    </row>
    <row r="9" spans="1:33" s="45" customFormat="1">
      <c r="B9" s="45" t="s">
        <v>172</v>
      </c>
      <c r="D9" s="45">
        <f t="shared" ref="D9:AA9" si="3">SUM(D10:D12)</f>
        <v>222.91666666666666</v>
      </c>
      <c r="E9" s="45">
        <f t="shared" si="3"/>
        <v>445.83333333333331</v>
      </c>
      <c r="F9" s="45">
        <f t="shared" si="3"/>
        <v>891.66666666666663</v>
      </c>
      <c r="G9" s="45">
        <f t="shared" si="3"/>
        <v>1783.3333333333333</v>
      </c>
      <c r="H9" s="45">
        <f t="shared" si="3"/>
        <v>3566.6666666666665</v>
      </c>
      <c r="I9" s="45">
        <f t="shared" si="3"/>
        <v>7133.333333333333</v>
      </c>
      <c r="J9" s="45">
        <f t="shared" si="3"/>
        <v>13375</v>
      </c>
      <c r="K9" s="45">
        <f t="shared" si="3"/>
        <v>24520.833333333332</v>
      </c>
      <c r="L9" s="45">
        <f t="shared" si="3"/>
        <v>42800</v>
      </c>
      <c r="M9" s="45">
        <f t="shared" si="3"/>
        <v>71333.333333333328</v>
      </c>
      <c r="N9" s="45">
        <f t="shared" si="3"/>
        <v>115916.66666666667</v>
      </c>
      <c r="O9" s="45">
        <f t="shared" si="3"/>
        <v>208333.33333333334</v>
      </c>
      <c r="P9" s="54">
        <f t="shared" si="3"/>
        <v>321180.55555555556</v>
      </c>
      <c r="Q9" s="45">
        <f t="shared" si="3"/>
        <v>434027.77777777781</v>
      </c>
      <c r="R9" s="45">
        <f t="shared" si="3"/>
        <v>645312.50000000012</v>
      </c>
      <c r="S9" s="45">
        <f t="shared" si="3"/>
        <v>778472.22222222236</v>
      </c>
      <c r="T9" s="45">
        <f t="shared" si="3"/>
        <v>911631.9444444445</v>
      </c>
      <c r="U9" s="45">
        <f t="shared" si="3"/>
        <v>1044791.6666666666</v>
      </c>
      <c r="V9" s="45">
        <f t="shared" si="3"/>
        <v>1177951.388888889</v>
      </c>
      <c r="W9" s="45">
        <f t="shared" si="3"/>
        <v>1311111.111111111</v>
      </c>
      <c r="X9" s="45">
        <f t="shared" si="3"/>
        <v>1444270.833333333</v>
      </c>
      <c r="Y9" s="45">
        <f t="shared" si="3"/>
        <v>1577430.5555555553</v>
      </c>
      <c r="Z9" s="45">
        <f t="shared" si="3"/>
        <v>1710590.2777777778</v>
      </c>
      <c r="AA9" s="45">
        <f t="shared" si="3"/>
        <v>1843750</v>
      </c>
      <c r="AB9"/>
      <c r="AC9" s="74">
        <f t="shared" ref="AC9:AC15" si="4">SUM(D9:O9)</f>
        <v>490322.91666666663</v>
      </c>
      <c r="AD9" s="74">
        <f t="shared" ref="AD9:AD15" si="5">SUM(P9:AA9)</f>
        <v>13200520.833333334</v>
      </c>
      <c r="AE9" s="74">
        <f t="shared" ref="AE9" si="6">SUM(AE10:AE12)</f>
        <v>34936782.157642007</v>
      </c>
      <c r="AF9" s="74">
        <f t="shared" ref="AF9" si="7">SUM(AF10:AF12)</f>
        <v>69235418.257161826</v>
      </c>
      <c r="AG9" s="74">
        <f t="shared" ref="AG9" si="8">SUM(AG10:AG12)</f>
        <v>124743124.27367949</v>
      </c>
    </row>
    <row r="10" spans="1:33">
      <c r="C10" t="s">
        <v>83</v>
      </c>
      <c r="D10" s="33">
        <f>D5*'Revenue Model'!$F$6/12</f>
        <v>222.91666666666666</v>
      </c>
      <c r="E10" s="33">
        <f>E5*'Revenue Model'!$F$6/12</f>
        <v>445.83333333333331</v>
      </c>
      <c r="F10" s="33">
        <f>F5*'Revenue Model'!$F$6/12</f>
        <v>891.66666666666663</v>
      </c>
      <c r="G10" s="33">
        <f>G5*'Revenue Model'!$F$6/12</f>
        <v>1783.3333333333333</v>
      </c>
      <c r="H10" s="33">
        <f>H5*'Revenue Model'!$F$6/12</f>
        <v>3566.6666666666665</v>
      </c>
      <c r="I10" s="33">
        <f>I5*'Revenue Model'!$F$6/12</f>
        <v>7133.333333333333</v>
      </c>
      <c r="J10" s="33">
        <f>J5*'Revenue Model'!$F$6/12</f>
        <v>13375</v>
      </c>
      <c r="K10" s="33">
        <f>K5*'Revenue Model'!$F$6/12</f>
        <v>24520.833333333332</v>
      </c>
      <c r="L10" s="33">
        <f>L5*'Revenue Model'!$F$6/12</f>
        <v>42800</v>
      </c>
      <c r="M10" s="33">
        <f>M5*'Revenue Model'!$F$6/12</f>
        <v>71333.333333333328</v>
      </c>
      <c r="N10" s="33">
        <f>N5*'Revenue Model'!$F$6/12</f>
        <v>115916.66666666667</v>
      </c>
      <c r="O10" s="33">
        <f>O5*'Revenue Model'!$F$6/12</f>
        <v>178333.33333333334</v>
      </c>
      <c r="P10" s="55">
        <f>P5*'Revenue Model'!$F$6/12</f>
        <v>274930.55555555556</v>
      </c>
      <c r="Q10" s="33">
        <f>Q5*'Revenue Model'!$F$6/12</f>
        <v>371527.77777777781</v>
      </c>
      <c r="R10" s="33">
        <f>R5*'Revenue Model'!$F$6/12</f>
        <v>468125.00000000006</v>
      </c>
      <c r="S10" s="33">
        <f>S5*'Revenue Model'!$F$6/12</f>
        <v>564722.22222222236</v>
      </c>
      <c r="T10" s="33">
        <f>T5*'Revenue Model'!$F$6/12</f>
        <v>661319.4444444445</v>
      </c>
      <c r="U10" s="33">
        <f>U5*'Revenue Model'!$F$6/12</f>
        <v>757916.66666666663</v>
      </c>
      <c r="V10" s="33">
        <f>V5*'Revenue Model'!$F$6/12</f>
        <v>854513.88888888888</v>
      </c>
      <c r="W10" s="33">
        <f>W5*'Revenue Model'!$F$6/12</f>
        <v>951111.11111111101</v>
      </c>
      <c r="X10" s="33">
        <f>X5*'Revenue Model'!$F$6/12</f>
        <v>1047708.3333333331</v>
      </c>
      <c r="Y10" s="33">
        <f>Y5*'Revenue Model'!$F$6/12</f>
        <v>1144305.5555555553</v>
      </c>
      <c r="Z10" s="33">
        <f>Z5*'Revenue Model'!$F$6/12</f>
        <v>1240902.7777777778</v>
      </c>
      <c r="AA10" s="33">
        <f>AA5*'Revenue Model'!$F$6/12</f>
        <v>1337500</v>
      </c>
      <c r="AC10" s="75">
        <f t="shared" si="4"/>
        <v>460322.91666666663</v>
      </c>
      <c r="AD10" s="75">
        <f t="shared" si="5"/>
        <v>9674583.3333333321</v>
      </c>
      <c r="AE10" s="75">
        <f>AVERAGE(AD5,AE5)*'Revenue Model'!$F$6</f>
        <v>25343970.785543695</v>
      </c>
      <c r="AF10" s="75">
        <f>AVERAGE(AE5,AF5)*'Revenue Model'!$F$6</f>
        <v>50225015.278076716</v>
      </c>
      <c r="AG10" s="75">
        <f>AVERAGE(AF5,AG5)*'Revenue Model'!$F$6</f>
        <v>90491622.354465798</v>
      </c>
    </row>
    <row r="11" spans="1:33">
      <c r="C11" t="s">
        <v>96</v>
      </c>
      <c r="D11" s="33">
        <v>0</v>
      </c>
      <c r="E11" s="33">
        <v>0</v>
      </c>
      <c r="F11" s="33">
        <v>0</v>
      </c>
      <c r="G11" s="33">
        <v>0</v>
      </c>
      <c r="H11" s="33">
        <v>0</v>
      </c>
      <c r="I11" s="33">
        <v>0</v>
      </c>
      <c r="J11" s="33">
        <v>0</v>
      </c>
      <c r="K11" s="33">
        <v>0</v>
      </c>
      <c r="L11" s="33">
        <v>0</v>
      </c>
      <c r="M11" s="33">
        <v>0</v>
      </c>
      <c r="N11" s="33">
        <v>0</v>
      </c>
      <c r="O11" s="33">
        <f>O5*'Revenue Model'!$F$17/12</f>
        <v>30000</v>
      </c>
      <c r="P11" s="55">
        <f>P5*'Revenue Model'!$F$17/12</f>
        <v>46250</v>
      </c>
      <c r="Q11" s="33">
        <f>Q5*'Revenue Model'!$F$17/12</f>
        <v>62500.000000000007</v>
      </c>
      <c r="R11" s="33">
        <f>R5*'Revenue Model'!$F$17/12</f>
        <v>78750.000000000015</v>
      </c>
      <c r="S11" s="33">
        <f>S5*'Revenue Model'!$F$17/12</f>
        <v>95000.000000000015</v>
      </c>
      <c r="T11" s="33">
        <f>T5*'Revenue Model'!$F$17/12</f>
        <v>111250</v>
      </c>
      <c r="U11" s="33">
        <f>U5*'Revenue Model'!$F$17/12</f>
        <v>127500</v>
      </c>
      <c r="V11" s="33">
        <f>V5*'Revenue Model'!$F$17/12</f>
        <v>143750</v>
      </c>
      <c r="W11" s="33">
        <f>W5*'Revenue Model'!$F$17/12</f>
        <v>159999.99999999997</v>
      </c>
      <c r="X11" s="33">
        <f>X5*'Revenue Model'!$F$17/12</f>
        <v>176249.99999999997</v>
      </c>
      <c r="Y11" s="33">
        <f>Y5*'Revenue Model'!$F$17/12</f>
        <v>192499.99999999997</v>
      </c>
      <c r="Z11" s="33">
        <f>Z5*'Revenue Model'!$F$17/12</f>
        <v>208750</v>
      </c>
      <c r="AA11" s="33">
        <f>AA5*'Revenue Model'!$F$17/12</f>
        <v>225000</v>
      </c>
      <c r="AC11" s="75">
        <f t="shared" si="4"/>
        <v>30000</v>
      </c>
      <c r="AD11" s="75">
        <f t="shared" si="5"/>
        <v>1627500</v>
      </c>
      <c r="AE11" s="75">
        <f>AVERAGE(AD5,AE5)*'Revenue Model'!$F$17</f>
        <v>4263471.7209325843</v>
      </c>
      <c r="AF11" s="75">
        <f>AVERAGE(AE5,AF5)*'Revenue Model'!$F$17</f>
        <v>8449067.9907044936</v>
      </c>
      <c r="AG11" s="75">
        <f>AVERAGE(AF5,AG5)*'Revenue Model'!$F$17</f>
        <v>15222889.741872752</v>
      </c>
    </row>
    <row r="12" spans="1:33">
      <c r="C12" t="s">
        <v>177</v>
      </c>
      <c r="D12" s="33">
        <v>0</v>
      </c>
      <c r="E12" s="33">
        <v>0</v>
      </c>
      <c r="F12" s="33">
        <v>0</v>
      </c>
      <c r="G12" s="33">
        <v>0</v>
      </c>
      <c r="H12" s="33">
        <v>0</v>
      </c>
      <c r="I12" s="33">
        <v>0</v>
      </c>
      <c r="J12" s="33">
        <v>0</v>
      </c>
      <c r="K12" s="33">
        <v>0</v>
      </c>
      <c r="L12" s="33">
        <v>0</v>
      </c>
      <c r="M12" s="33">
        <v>0</v>
      </c>
      <c r="N12" s="33">
        <v>0</v>
      </c>
      <c r="O12" s="33">
        <v>0</v>
      </c>
      <c r="P12" s="55">
        <v>0</v>
      </c>
      <c r="Q12" s="33">
        <v>0</v>
      </c>
      <c r="R12" s="33">
        <f>R5*'Revenue Model'!$F$24/12</f>
        <v>98437.500000000015</v>
      </c>
      <c r="S12" s="33">
        <f>S5*'Revenue Model'!$F$24/12</f>
        <v>118750.00000000001</v>
      </c>
      <c r="T12" s="33">
        <f>T5*'Revenue Model'!$F$24/12</f>
        <v>139062.5</v>
      </c>
      <c r="U12" s="33">
        <f>U5*'Revenue Model'!$F$24/12</f>
        <v>159375</v>
      </c>
      <c r="V12" s="33">
        <f>V5*'Revenue Model'!$F$24/12</f>
        <v>179687.5</v>
      </c>
      <c r="W12" s="33">
        <f>W5*'Revenue Model'!$F$24/12</f>
        <v>200000</v>
      </c>
      <c r="X12" s="33">
        <f>X5*'Revenue Model'!$F$24/12</f>
        <v>220312.49999999997</v>
      </c>
      <c r="Y12" s="33">
        <f>Y5*'Revenue Model'!$F$24/12</f>
        <v>240624.99999999997</v>
      </c>
      <c r="Z12" s="33">
        <f>Z5*'Revenue Model'!$F$24/12</f>
        <v>260937.5</v>
      </c>
      <c r="AA12" s="33">
        <f>AA5*'Revenue Model'!$F$24/12</f>
        <v>281250</v>
      </c>
      <c r="AC12" s="75">
        <f t="shared" si="4"/>
        <v>0</v>
      </c>
      <c r="AD12" s="75">
        <f t="shared" si="5"/>
        <v>1898437.5</v>
      </c>
      <c r="AE12" s="75">
        <f>AVERAGE(AE5,AD5)*'Revenue Model'!$F$24</f>
        <v>5329339.6511657303</v>
      </c>
      <c r="AF12" s="75">
        <f>AVERAGE(AF5,AE5)*'Revenue Model'!$F$24</f>
        <v>10561334.988380617</v>
      </c>
      <c r="AG12" s="75">
        <f>AVERAGE(AG5,AF5)*'Revenue Model'!$F$24</f>
        <v>19028612.17734094</v>
      </c>
    </row>
    <row r="13" spans="1:33" hidden="1">
      <c r="B13" t="s">
        <v>102</v>
      </c>
      <c r="D13" s="3">
        <f t="shared" ref="D13:AA13" si="9">D9*12</f>
        <v>2675</v>
      </c>
      <c r="E13" s="3">
        <f t="shared" si="9"/>
        <v>5350</v>
      </c>
      <c r="F13" s="3">
        <f t="shared" si="9"/>
        <v>10700</v>
      </c>
      <c r="G13" s="3">
        <f t="shared" si="9"/>
        <v>21400</v>
      </c>
      <c r="H13" s="3">
        <f t="shared" si="9"/>
        <v>42800</v>
      </c>
      <c r="I13" s="3">
        <f t="shared" si="9"/>
        <v>85600</v>
      </c>
      <c r="J13" s="3">
        <f t="shared" si="9"/>
        <v>160500</v>
      </c>
      <c r="K13" s="3">
        <f t="shared" si="9"/>
        <v>294250</v>
      </c>
      <c r="L13" s="3">
        <f t="shared" si="9"/>
        <v>513600</v>
      </c>
      <c r="M13" s="3">
        <f t="shared" si="9"/>
        <v>856000</v>
      </c>
      <c r="N13" s="3">
        <f t="shared" si="9"/>
        <v>1391000</v>
      </c>
      <c r="O13" s="3">
        <f t="shared" si="9"/>
        <v>2500000</v>
      </c>
      <c r="P13" s="56">
        <f t="shared" si="9"/>
        <v>3854166.666666667</v>
      </c>
      <c r="Q13" s="3">
        <f t="shared" si="9"/>
        <v>5208333.333333334</v>
      </c>
      <c r="R13" s="3">
        <f t="shared" si="9"/>
        <v>7743750.0000000019</v>
      </c>
      <c r="S13" s="3">
        <f t="shared" si="9"/>
        <v>9341666.6666666679</v>
      </c>
      <c r="T13" s="3">
        <f t="shared" si="9"/>
        <v>10939583.333333334</v>
      </c>
      <c r="U13" s="3">
        <f t="shared" si="9"/>
        <v>12537500</v>
      </c>
      <c r="V13" s="3">
        <f t="shared" si="9"/>
        <v>14135416.666666668</v>
      </c>
      <c r="W13" s="3">
        <f t="shared" si="9"/>
        <v>15733333.333333332</v>
      </c>
      <c r="X13" s="3">
        <f t="shared" si="9"/>
        <v>17331249.999999996</v>
      </c>
      <c r="Y13" s="3">
        <f t="shared" si="9"/>
        <v>18929166.666666664</v>
      </c>
      <c r="Z13" s="3">
        <f t="shared" si="9"/>
        <v>20527083.333333332</v>
      </c>
      <c r="AA13" s="3">
        <f t="shared" si="9"/>
        <v>22125000</v>
      </c>
      <c r="AC13" s="76">
        <f t="shared" si="4"/>
        <v>5883875</v>
      </c>
      <c r="AD13" s="76">
        <f t="shared" si="5"/>
        <v>158406250</v>
      </c>
      <c r="AE13" s="76">
        <f t="shared" ref="AE13" si="10">AE9*12</f>
        <v>419241385.89170408</v>
      </c>
      <c r="AF13" s="76">
        <f t="shared" ref="AF13:AG13" si="11">AF9*12</f>
        <v>830825019.08594191</v>
      </c>
      <c r="AG13" s="76">
        <f t="shared" si="11"/>
        <v>1496917491.2841539</v>
      </c>
    </row>
    <row r="14" spans="1:33">
      <c r="B14" s="37" t="s">
        <v>173</v>
      </c>
      <c r="C14" s="37"/>
      <c r="D14" s="46">
        <f t="shared" ref="D14:AA14" si="12">MIN(MAX(500,D5*0.1),15000)</f>
        <v>500</v>
      </c>
      <c r="E14" s="46">
        <f t="shared" si="12"/>
        <v>500</v>
      </c>
      <c r="F14" s="46">
        <f t="shared" si="12"/>
        <v>500</v>
      </c>
      <c r="G14" s="46">
        <f t="shared" si="12"/>
        <v>500</v>
      </c>
      <c r="H14" s="46">
        <f t="shared" si="12"/>
        <v>500</v>
      </c>
      <c r="I14" s="46">
        <f t="shared" si="12"/>
        <v>500</v>
      </c>
      <c r="J14" s="46">
        <f t="shared" si="12"/>
        <v>500</v>
      </c>
      <c r="K14" s="46">
        <f t="shared" si="12"/>
        <v>500</v>
      </c>
      <c r="L14" s="46">
        <f t="shared" si="12"/>
        <v>500</v>
      </c>
      <c r="M14" s="46">
        <f t="shared" si="12"/>
        <v>800</v>
      </c>
      <c r="N14" s="46">
        <f t="shared" si="12"/>
        <v>1300</v>
      </c>
      <c r="O14" s="46">
        <f t="shared" si="12"/>
        <v>2000</v>
      </c>
      <c r="P14" s="57">
        <f t="shared" si="12"/>
        <v>3083.3333333333339</v>
      </c>
      <c r="Q14" s="46">
        <f t="shared" si="12"/>
        <v>4166.666666666667</v>
      </c>
      <c r="R14" s="46">
        <f t="shared" si="12"/>
        <v>5250.0000000000009</v>
      </c>
      <c r="S14" s="46">
        <f t="shared" si="12"/>
        <v>6333.3333333333348</v>
      </c>
      <c r="T14" s="46">
        <f t="shared" si="12"/>
        <v>7416.6666666666679</v>
      </c>
      <c r="U14" s="46">
        <f t="shared" si="12"/>
        <v>8500</v>
      </c>
      <c r="V14" s="46">
        <f t="shared" si="12"/>
        <v>9583.3333333333339</v>
      </c>
      <c r="W14" s="46">
        <f t="shared" si="12"/>
        <v>10666.666666666666</v>
      </c>
      <c r="X14" s="46">
        <f t="shared" si="12"/>
        <v>11750</v>
      </c>
      <c r="Y14" s="46">
        <f t="shared" si="12"/>
        <v>12833.333333333332</v>
      </c>
      <c r="Z14" s="46">
        <f t="shared" si="12"/>
        <v>13916.666666666666</v>
      </c>
      <c r="AA14" s="46">
        <f t="shared" si="12"/>
        <v>15000</v>
      </c>
      <c r="AC14" s="77">
        <f t="shared" si="4"/>
        <v>8600</v>
      </c>
      <c r="AD14" s="77">
        <f t="shared" si="5"/>
        <v>108500</v>
      </c>
      <c r="AE14" s="77">
        <f t="shared" ref="AE14" si="13">MIN(MAX(500,AE5*0.1),15000)</f>
        <v>15000</v>
      </c>
      <c r="AF14" s="77">
        <f t="shared" ref="AF14:AG14" si="14">MIN(MAX(500,AF5*0.1),15000)</f>
        <v>15000</v>
      </c>
      <c r="AG14" s="77">
        <f t="shared" si="14"/>
        <v>15000</v>
      </c>
    </row>
    <row r="15" spans="1:33" s="9" customFormat="1">
      <c r="B15" s="9" t="s">
        <v>174</v>
      </c>
      <c r="D15" s="42">
        <f t="shared" ref="D15:AA15" si="15">D9-D14</f>
        <v>-277.08333333333337</v>
      </c>
      <c r="E15" s="42">
        <f t="shared" si="15"/>
        <v>-54.166666666666686</v>
      </c>
      <c r="F15" s="42">
        <f t="shared" si="15"/>
        <v>391.66666666666663</v>
      </c>
      <c r="G15" s="42">
        <f t="shared" si="15"/>
        <v>1283.3333333333333</v>
      </c>
      <c r="H15" s="42">
        <f t="shared" si="15"/>
        <v>3066.6666666666665</v>
      </c>
      <c r="I15" s="42">
        <f t="shared" si="15"/>
        <v>6633.333333333333</v>
      </c>
      <c r="J15" s="42">
        <f t="shared" si="15"/>
        <v>12875</v>
      </c>
      <c r="K15" s="42">
        <f t="shared" si="15"/>
        <v>24020.833333333332</v>
      </c>
      <c r="L15" s="42">
        <f t="shared" si="15"/>
        <v>42300</v>
      </c>
      <c r="M15" s="42">
        <f t="shared" si="15"/>
        <v>70533.333333333328</v>
      </c>
      <c r="N15" s="42">
        <f t="shared" si="15"/>
        <v>114616.66666666667</v>
      </c>
      <c r="O15" s="42">
        <f t="shared" si="15"/>
        <v>206333.33333333334</v>
      </c>
      <c r="P15" s="58">
        <f t="shared" si="15"/>
        <v>318097.22222222225</v>
      </c>
      <c r="Q15" s="42">
        <f t="shared" si="15"/>
        <v>429861.11111111112</v>
      </c>
      <c r="R15" s="42">
        <f t="shared" si="15"/>
        <v>640062.50000000012</v>
      </c>
      <c r="S15" s="42">
        <f t="shared" si="15"/>
        <v>772138.88888888899</v>
      </c>
      <c r="T15" s="42">
        <f t="shared" si="15"/>
        <v>904215.27777777787</v>
      </c>
      <c r="U15" s="42">
        <f t="shared" si="15"/>
        <v>1036291.6666666666</v>
      </c>
      <c r="V15" s="42">
        <f t="shared" si="15"/>
        <v>1168368.0555555557</v>
      </c>
      <c r="W15" s="42">
        <f t="shared" si="15"/>
        <v>1300444.4444444443</v>
      </c>
      <c r="X15" s="42">
        <f t="shared" si="15"/>
        <v>1432520.833333333</v>
      </c>
      <c r="Y15" s="42">
        <f t="shared" si="15"/>
        <v>1564597.222222222</v>
      </c>
      <c r="Z15" s="42">
        <f t="shared" si="15"/>
        <v>1696673.611111111</v>
      </c>
      <c r="AA15" s="42">
        <f t="shared" si="15"/>
        <v>1828750</v>
      </c>
      <c r="AB15"/>
      <c r="AC15" s="78">
        <f t="shared" si="4"/>
        <v>481722.91666666663</v>
      </c>
      <c r="AD15" s="78">
        <f t="shared" si="5"/>
        <v>13092020.833333332</v>
      </c>
      <c r="AE15" s="78">
        <f t="shared" ref="AE15" si="16">AE9-AE14</f>
        <v>34921782.157642007</v>
      </c>
      <c r="AF15" s="78">
        <f t="shared" ref="AF15" si="17">AF9-AF14</f>
        <v>69220418.257161826</v>
      </c>
      <c r="AG15" s="78">
        <f t="shared" ref="AG15" si="18">AG9-AG14</f>
        <v>124728124.27367949</v>
      </c>
    </row>
    <row r="16" spans="1:33">
      <c r="D16" s="38"/>
      <c r="E16" s="38"/>
      <c r="F16" s="38"/>
      <c r="G16" s="38"/>
      <c r="H16" s="38"/>
      <c r="I16" s="38"/>
      <c r="J16" s="38"/>
      <c r="K16" s="38"/>
      <c r="L16" s="38"/>
      <c r="M16" s="38"/>
      <c r="N16" s="38"/>
      <c r="O16" s="38"/>
      <c r="P16" s="59"/>
      <c r="Q16" s="38"/>
      <c r="R16" s="38"/>
      <c r="S16" s="38"/>
      <c r="T16" s="38"/>
      <c r="U16" s="38"/>
      <c r="V16" s="38"/>
      <c r="W16" s="38"/>
      <c r="X16" s="38"/>
      <c r="Y16" s="38"/>
      <c r="Z16" s="38"/>
      <c r="AA16" s="38"/>
      <c r="AC16" s="79"/>
      <c r="AD16" s="79"/>
      <c r="AE16" s="79"/>
      <c r="AF16" s="79"/>
      <c r="AG16" s="79"/>
    </row>
    <row r="17" spans="2:34">
      <c r="B17" t="s">
        <v>170</v>
      </c>
      <c r="D17" s="38">
        <f>SUM(D18:D25)</f>
        <v>14533.333333333334</v>
      </c>
      <c r="E17" s="38">
        <f t="shared" ref="E17:AA17" si="19">SUM(E18:E25)</f>
        <v>14533.333333333334</v>
      </c>
      <c r="F17" s="38">
        <f t="shared" si="19"/>
        <v>14533.333333333334</v>
      </c>
      <c r="G17" s="38">
        <f t="shared" si="19"/>
        <v>14533.333333333334</v>
      </c>
      <c r="H17" s="38">
        <f t="shared" si="19"/>
        <v>33154.166666666672</v>
      </c>
      <c r="I17" s="38">
        <f t="shared" si="19"/>
        <v>40420.833333333336</v>
      </c>
      <c r="J17" s="38">
        <f t="shared" si="19"/>
        <v>40420.833333333336</v>
      </c>
      <c r="K17" s="38">
        <f t="shared" si="19"/>
        <v>66308.333333333343</v>
      </c>
      <c r="L17" s="38">
        <f t="shared" si="19"/>
        <v>70395.833333333343</v>
      </c>
      <c r="M17" s="38">
        <f t="shared" si="19"/>
        <v>70395.833333333343</v>
      </c>
      <c r="N17" s="38">
        <f t="shared" si="19"/>
        <v>70395.833333333343</v>
      </c>
      <c r="O17" s="38">
        <f t="shared" si="19"/>
        <v>131708.33333333334</v>
      </c>
      <c r="P17" s="59">
        <f t="shared" si="19"/>
        <v>131708.33333333334</v>
      </c>
      <c r="Q17" s="38">
        <f t="shared" si="19"/>
        <v>143062.50000000003</v>
      </c>
      <c r="R17" s="38">
        <f t="shared" si="19"/>
        <v>143062.50000000003</v>
      </c>
      <c r="S17" s="38">
        <f t="shared" si="19"/>
        <v>220724.99999999997</v>
      </c>
      <c r="T17" s="38">
        <f t="shared" si="19"/>
        <v>242524.99999999997</v>
      </c>
      <c r="U17" s="38">
        <f t="shared" si="19"/>
        <v>242524.99999999997</v>
      </c>
      <c r="V17" s="38">
        <f t="shared" si="19"/>
        <v>272500</v>
      </c>
      <c r="W17" s="38">
        <f t="shared" si="19"/>
        <v>272500</v>
      </c>
      <c r="X17" s="38">
        <f t="shared" si="19"/>
        <v>383770.83333333337</v>
      </c>
      <c r="Y17" s="38">
        <f t="shared" si="19"/>
        <v>458254.16666666663</v>
      </c>
      <c r="Z17" s="38">
        <f t="shared" si="19"/>
        <v>458254.16666666663</v>
      </c>
      <c r="AA17" s="38">
        <f t="shared" si="19"/>
        <v>458254.16666666663</v>
      </c>
      <c r="AC17" s="79">
        <f t="shared" ref="AC17:AC34" si="20">SUM(D17:O17)</f>
        <v>581333.33333333349</v>
      </c>
      <c r="AD17" s="79">
        <f t="shared" ref="AD17:AD34" si="21">SUM(P17:AA17)</f>
        <v>3427141.666666666</v>
      </c>
      <c r="AE17" s="79">
        <f t="shared" ref="AE17" si="22">SUM(AE18:AE25)</f>
        <v>5875100</v>
      </c>
      <c r="AF17" s="79">
        <f t="shared" ref="AF17" si="23">SUM(AF18:AF25)</f>
        <v>6387400</v>
      </c>
      <c r="AG17" s="79">
        <f t="shared" ref="AG17" si="24">SUM(AG18:AG25)</f>
        <v>7346600</v>
      </c>
      <c r="AH17" s="203"/>
    </row>
    <row r="18" spans="2:34">
      <c r="C18" t="s">
        <v>159</v>
      </c>
      <c r="D18" s="38">
        <f>Staffing!H17</f>
        <v>14533.333333333334</v>
      </c>
      <c r="E18" s="38">
        <f>Staffing!I17</f>
        <v>14533.333333333334</v>
      </c>
      <c r="F18" s="38">
        <f>Staffing!J17</f>
        <v>14533.333333333334</v>
      </c>
      <c r="G18" s="38">
        <f>Staffing!K17</f>
        <v>14533.333333333334</v>
      </c>
      <c r="H18" s="38">
        <f>Staffing!L17</f>
        <v>14533.333333333334</v>
      </c>
      <c r="I18" s="38">
        <f>Staffing!M17</f>
        <v>14533.333333333334</v>
      </c>
      <c r="J18" s="38">
        <f>Staffing!N17</f>
        <v>14533.333333333334</v>
      </c>
      <c r="K18" s="38">
        <f>Staffing!O17</f>
        <v>25887.5</v>
      </c>
      <c r="L18" s="38">
        <f>Staffing!P17</f>
        <v>25887.5</v>
      </c>
      <c r="M18" s="38">
        <f>Staffing!Q17</f>
        <v>25887.5</v>
      </c>
      <c r="N18" s="38">
        <f>Staffing!R17</f>
        <v>25887.5</v>
      </c>
      <c r="O18" s="38">
        <f>Staffing!S17</f>
        <v>37241.666666666664</v>
      </c>
      <c r="P18" s="59">
        <f>Staffing!T17</f>
        <v>37241.666666666664</v>
      </c>
      <c r="Q18" s="38">
        <f>Staffing!U17</f>
        <v>37241.666666666664</v>
      </c>
      <c r="R18" s="38">
        <f>Staffing!V17</f>
        <v>37241.666666666664</v>
      </c>
      <c r="S18" s="38">
        <f>Staffing!W17</f>
        <v>37241.666666666664</v>
      </c>
      <c r="T18" s="38">
        <f>Staffing!X17</f>
        <v>37241.666666666664</v>
      </c>
      <c r="U18" s="38">
        <f>Staffing!Y17</f>
        <v>37241.666666666664</v>
      </c>
      <c r="V18" s="38">
        <f>Staffing!Z17</f>
        <v>40875</v>
      </c>
      <c r="W18" s="38">
        <f>Staffing!AA17</f>
        <v>40875</v>
      </c>
      <c r="X18" s="38">
        <f>Staffing!AB17</f>
        <v>40875</v>
      </c>
      <c r="Y18" s="38">
        <f>Staffing!AC17</f>
        <v>40875</v>
      </c>
      <c r="Z18" s="38">
        <f>Staffing!AD17</f>
        <v>40875</v>
      </c>
      <c r="AA18" s="38">
        <f>Staffing!AE17</f>
        <v>40875</v>
      </c>
      <c r="AC18" s="79">
        <f t="shared" si="20"/>
        <v>242524.99999999997</v>
      </c>
      <c r="AD18" s="79">
        <f t="shared" si="21"/>
        <v>468700</v>
      </c>
      <c r="AE18" s="79">
        <f>Staffing!AI17</f>
        <v>626750</v>
      </c>
      <c r="AF18" s="79">
        <f>Staffing!AJ17</f>
        <v>626750</v>
      </c>
      <c r="AG18" s="79">
        <f>Staffing!AK17</f>
        <v>626750</v>
      </c>
    </row>
    <row r="19" spans="2:34">
      <c r="C19" t="s">
        <v>160</v>
      </c>
      <c r="D19" s="38">
        <f>Staffing!H35</f>
        <v>0</v>
      </c>
      <c r="E19" s="38">
        <f>Staffing!I35</f>
        <v>0</v>
      </c>
      <c r="F19" s="38">
        <f>Staffing!J35</f>
        <v>0</v>
      </c>
      <c r="G19" s="38">
        <f>Staffing!K35</f>
        <v>0</v>
      </c>
      <c r="H19" s="38">
        <f>Staffing!L35</f>
        <v>18620.833333333336</v>
      </c>
      <c r="I19" s="38">
        <f>Staffing!M35</f>
        <v>18620.833333333336</v>
      </c>
      <c r="J19" s="38">
        <f>Staffing!N35</f>
        <v>18620.833333333336</v>
      </c>
      <c r="K19" s="38">
        <f>Staffing!O35</f>
        <v>18620.833333333336</v>
      </c>
      <c r="L19" s="38">
        <f>Staffing!P35</f>
        <v>18620.833333333336</v>
      </c>
      <c r="M19" s="38">
        <f>Staffing!Q35</f>
        <v>18620.833333333336</v>
      </c>
      <c r="N19" s="38">
        <f>Staffing!R35</f>
        <v>18620.833333333336</v>
      </c>
      <c r="O19" s="38">
        <f>Staffing!S35</f>
        <v>37241.666666666672</v>
      </c>
      <c r="P19" s="59">
        <f>Staffing!T35</f>
        <v>37241.666666666672</v>
      </c>
      <c r="Q19" s="38">
        <f>Staffing!U35</f>
        <v>37241.666666666672</v>
      </c>
      <c r="R19" s="38">
        <f>Staffing!V35</f>
        <v>37241.666666666672</v>
      </c>
      <c r="S19" s="38">
        <f>Staffing!W35</f>
        <v>84475</v>
      </c>
      <c r="T19" s="38">
        <f>Staffing!X35</f>
        <v>106275</v>
      </c>
      <c r="U19" s="38">
        <f>Staffing!Y35</f>
        <v>106275</v>
      </c>
      <c r="V19" s="38">
        <f>Staffing!Z35</f>
        <v>106275</v>
      </c>
      <c r="W19" s="38">
        <f>Staffing!AA35</f>
        <v>106275</v>
      </c>
      <c r="X19" s="38">
        <f>Staffing!AB35</f>
        <v>172129.16666666669</v>
      </c>
      <c r="Y19" s="38">
        <f>Staffing!AC35</f>
        <v>215729.16666666669</v>
      </c>
      <c r="Z19" s="38">
        <f>Staffing!AD35</f>
        <v>215729.16666666669</v>
      </c>
      <c r="AA19" s="38">
        <f>Staffing!AE35</f>
        <v>215729.16666666669</v>
      </c>
      <c r="AC19" s="79">
        <f t="shared" si="20"/>
        <v>167587.50000000006</v>
      </c>
      <c r="AD19" s="79">
        <f t="shared" si="21"/>
        <v>1440616.666666667</v>
      </c>
      <c r="AE19" s="79">
        <f>Staffing!AI35</f>
        <v>2588750</v>
      </c>
      <c r="AF19" s="79">
        <f>Staffing!AJ35</f>
        <v>2806750</v>
      </c>
      <c r="AG19" s="79">
        <f>Staffing!AK35</f>
        <v>3373550</v>
      </c>
    </row>
    <row r="20" spans="2:34">
      <c r="C20" t="s">
        <v>109</v>
      </c>
      <c r="D20" s="38">
        <f>Staffing!H45</f>
        <v>0</v>
      </c>
      <c r="E20" s="38">
        <f>Staffing!I45</f>
        <v>0</v>
      </c>
      <c r="F20" s="38">
        <f>Staffing!J45</f>
        <v>0</v>
      </c>
      <c r="G20" s="38">
        <f>Staffing!K45</f>
        <v>0</v>
      </c>
      <c r="H20" s="38">
        <f>Staffing!L45</f>
        <v>0</v>
      </c>
      <c r="I20" s="38">
        <f>Staffing!M45</f>
        <v>0</v>
      </c>
      <c r="J20" s="38">
        <f>Staffing!N45</f>
        <v>0</v>
      </c>
      <c r="K20" s="38">
        <f>Staffing!O45</f>
        <v>0</v>
      </c>
      <c r="L20" s="38">
        <f>Staffing!P45</f>
        <v>0</v>
      </c>
      <c r="M20" s="38">
        <f>Staffing!Q45</f>
        <v>0</v>
      </c>
      <c r="N20" s="38">
        <f>Staffing!R45</f>
        <v>0</v>
      </c>
      <c r="O20" s="38">
        <f>Staffing!S45</f>
        <v>7720.833333333333</v>
      </c>
      <c r="P20" s="59">
        <f>Staffing!T45</f>
        <v>7720.833333333333</v>
      </c>
      <c r="Q20" s="38">
        <f>Staffing!U45</f>
        <v>7720.833333333333</v>
      </c>
      <c r="R20" s="38">
        <f>Staffing!V45</f>
        <v>7720.833333333333</v>
      </c>
      <c r="S20" s="38">
        <f>Staffing!W45</f>
        <v>21800</v>
      </c>
      <c r="T20" s="38">
        <f>Staffing!X45</f>
        <v>21800</v>
      </c>
      <c r="U20" s="38">
        <f>Staffing!Y45</f>
        <v>21800</v>
      </c>
      <c r="V20" s="38">
        <f>Staffing!Z45</f>
        <v>21800</v>
      </c>
      <c r="W20" s="38">
        <f>Staffing!AA45</f>
        <v>21800</v>
      </c>
      <c r="X20" s="38">
        <f>Staffing!AB45</f>
        <v>43600</v>
      </c>
      <c r="Y20" s="38">
        <f>Staffing!AC45</f>
        <v>54500</v>
      </c>
      <c r="Z20" s="38">
        <f>Staffing!AD45</f>
        <v>54500</v>
      </c>
      <c r="AA20" s="38">
        <f>Staffing!AE45</f>
        <v>54500</v>
      </c>
      <c r="AC20" s="79">
        <f t="shared" si="20"/>
        <v>7720.833333333333</v>
      </c>
      <c r="AD20" s="79">
        <f t="shared" si="21"/>
        <v>339262.5</v>
      </c>
      <c r="AE20" s="79">
        <f>Staffing!AI45</f>
        <v>730300</v>
      </c>
      <c r="AF20" s="79">
        <f>Staffing!AJ45</f>
        <v>822950</v>
      </c>
      <c r="AG20" s="79">
        <f>Staffing!AK45</f>
        <v>1008250</v>
      </c>
    </row>
    <row r="21" spans="2:34">
      <c r="C21" t="s">
        <v>105</v>
      </c>
      <c r="D21" s="38">
        <f>Staffing!H53</f>
        <v>0</v>
      </c>
      <c r="E21" s="38">
        <f>Staffing!I53</f>
        <v>0</v>
      </c>
      <c r="F21" s="38">
        <f>Staffing!J53</f>
        <v>0</v>
      </c>
      <c r="G21" s="38">
        <f>Staffing!K53</f>
        <v>0</v>
      </c>
      <c r="H21" s="38">
        <f>Staffing!L53</f>
        <v>0</v>
      </c>
      <c r="I21" s="38">
        <f>Staffing!M53</f>
        <v>7266.666666666667</v>
      </c>
      <c r="J21" s="38">
        <f>Staffing!N53</f>
        <v>7266.666666666667</v>
      </c>
      <c r="K21" s="38">
        <f>Staffing!O53</f>
        <v>21800</v>
      </c>
      <c r="L21" s="38">
        <f>Staffing!P53</f>
        <v>21800</v>
      </c>
      <c r="M21" s="38">
        <f>Staffing!Q53</f>
        <v>21800</v>
      </c>
      <c r="N21" s="38">
        <f>Staffing!R53</f>
        <v>21800</v>
      </c>
      <c r="O21" s="38">
        <f>Staffing!S53</f>
        <v>29066.666666666668</v>
      </c>
      <c r="P21" s="59">
        <f>Staffing!T53</f>
        <v>29066.666666666668</v>
      </c>
      <c r="Q21" s="38">
        <f>Staffing!U53</f>
        <v>36333.333333333336</v>
      </c>
      <c r="R21" s="38">
        <f>Staffing!V53</f>
        <v>36333.333333333336</v>
      </c>
      <c r="S21" s="38">
        <f>Staffing!W53</f>
        <v>43600</v>
      </c>
      <c r="T21" s="38">
        <f>Staffing!X53</f>
        <v>43600</v>
      </c>
      <c r="U21" s="38">
        <f>Staffing!Y53</f>
        <v>43600</v>
      </c>
      <c r="V21" s="38">
        <f>Staffing!Z53</f>
        <v>43600</v>
      </c>
      <c r="W21" s="38">
        <f>Staffing!AA53</f>
        <v>43600</v>
      </c>
      <c r="X21" s="38">
        <f>Staffing!AB53</f>
        <v>58133.333333333336</v>
      </c>
      <c r="Y21" s="38">
        <f>Staffing!AC53</f>
        <v>58133.333333333336</v>
      </c>
      <c r="Z21" s="38">
        <f>Staffing!AD53</f>
        <v>58133.333333333336</v>
      </c>
      <c r="AA21" s="38">
        <f>Staffing!AE53</f>
        <v>58133.333333333336</v>
      </c>
      <c r="AC21" s="79">
        <f t="shared" si="20"/>
        <v>130800.00000000001</v>
      </c>
      <c r="AD21" s="79">
        <f t="shared" si="21"/>
        <v>552266.66666666663</v>
      </c>
      <c r="AE21" s="79">
        <f>Staffing!AI53</f>
        <v>697600</v>
      </c>
      <c r="AF21" s="79">
        <f>Staffing!AJ53</f>
        <v>697600</v>
      </c>
      <c r="AG21" s="79">
        <f>Staffing!AK53</f>
        <v>697600</v>
      </c>
    </row>
    <row r="22" spans="2:34">
      <c r="C22" t="s">
        <v>161</v>
      </c>
      <c r="D22" s="38">
        <f>Staffing!H69</f>
        <v>0</v>
      </c>
      <c r="E22" s="38">
        <f>Staffing!I69</f>
        <v>0</v>
      </c>
      <c r="F22" s="38">
        <f>Staffing!J69</f>
        <v>0</v>
      </c>
      <c r="G22" s="38">
        <f>Staffing!K69</f>
        <v>0</v>
      </c>
      <c r="H22" s="38">
        <f>Staffing!L69</f>
        <v>0</v>
      </c>
      <c r="I22" s="38">
        <f>Staffing!M69</f>
        <v>0</v>
      </c>
      <c r="J22" s="38">
        <f>Staffing!N69</f>
        <v>0</v>
      </c>
      <c r="K22" s="38">
        <f>Staffing!O69</f>
        <v>0</v>
      </c>
      <c r="L22" s="38">
        <f>Staffing!P69</f>
        <v>0</v>
      </c>
      <c r="M22" s="38">
        <f>Staffing!Q69</f>
        <v>0</v>
      </c>
      <c r="N22" s="38">
        <f>Staffing!R69</f>
        <v>0</v>
      </c>
      <c r="O22" s="38">
        <f>Staffing!S69</f>
        <v>7266.666666666667</v>
      </c>
      <c r="P22" s="59">
        <f>Staffing!T69</f>
        <v>7266.666666666667</v>
      </c>
      <c r="Q22" s="38">
        <f>Staffing!U69</f>
        <v>7266.666666666667</v>
      </c>
      <c r="R22" s="38">
        <f>Staffing!V69</f>
        <v>7266.666666666667</v>
      </c>
      <c r="S22" s="38">
        <f>Staffing!W69</f>
        <v>7266.666666666667</v>
      </c>
      <c r="T22" s="38">
        <f>Staffing!X69</f>
        <v>7266.666666666667</v>
      </c>
      <c r="U22" s="38">
        <f>Staffing!Y69</f>
        <v>7266.666666666667</v>
      </c>
      <c r="V22" s="38">
        <f>Staffing!Z69</f>
        <v>24979.166666666668</v>
      </c>
      <c r="W22" s="38">
        <f>Staffing!AA69</f>
        <v>24979.166666666668</v>
      </c>
      <c r="X22" s="38">
        <f>Staffing!AB69</f>
        <v>24979.166666666668</v>
      </c>
      <c r="Y22" s="38">
        <f>Staffing!AC69</f>
        <v>32245.833333333336</v>
      </c>
      <c r="Z22" s="38">
        <f>Staffing!AD69</f>
        <v>32245.833333333336</v>
      </c>
      <c r="AA22" s="38">
        <f>Staffing!AE69</f>
        <v>32245.833333333336</v>
      </c>
      <c r="AC22" s="79">
        <f t="shared" si="20"/>
        <v>7266.666666666667</v>
      </c>
      <c r="AD22" s="79">
        <f t="shared" si="21"/>
        <v>215275.00000000003</v>
      </c>
      <c r="AE22" s="79">
        <f>Staffing!AI69</f>
        <v>386950</v>
      </c>
      <c r="AF22" s="79">
        <f>Staffing!AJ69</f>
        <v>386950</v>
      </c>
      <c r="AG22" s="79">
        <f>Staffing!AK69</f>
        <v>386950</v>
      </c>
    </row>
    <row r="23" spans="2:34">
      <c r="C23" t="s">
        <v>148</v>
      </c>
      <c r="D23" s="38">
        <f>Staffing!H81</f>
        <v>0</v>
      </c>
      <c r="E23" s="38">
        <f>Staffing!I81</f>
        <v>0</v>
      </c>
      <c r="F23" s="38">
        <f>Staffing!J81</f>
        <v>0</v>
      </c>
      <c r="G23" s="38">
        <f>Staffing!K81</f>
        <v>0</v>
      </c>
      <c r="H23" s="38">
        <f>Staffing!L81</f>
        <v>0</v>
      </c>
      <c r="I23" s="38">
        <f>Staffing!M81</f>
        <v>0</v>
      </c>
      <c r="J23" s="38">
        <f>Staffing!N81</f>
        <v>0</v>
      </c>
      <c r="K23" s="38">
        <f>Staffing!O81</f>
        <v>0</v>
      </c>
      <c r="L23" s="38">
        <f>Staffing!P81</f>
        <v>0</v>
      </c>
      <c r="M23" s="38">
        <f>Staffing!Q81</f>
        <v>0</v>
      </c>
      <c r="N23" s="38">
        <f>Staffing!R81</f>
        <v>0</v>
      </c>
      <c r="O23" s="38">
        <f>Staffing!S81</f>
        <v>0</v>
      </c>
      <c r="P23" s="59">
        <f>Staffing!T81</f>
        <v>0</v>
      </c>
      <c r="Q23" s="38">
        <f>Staffing!U81</f>
        <v>0</v>
      </c>
      <c r="R23" s="38">
        <f>Staffing!V81</f>
        <v>0</v>
      </c>
      <c r="S23" s="38">
        <f>Staffing!W81</f>
        <v>0</v>
      </c>
      <c r="T23" s="38">
        <f>Staffing!X81</f>
        <v>0</v>
      </c>
      <c r="U23" s="38">
        <f>Staffing!Y81</f>
        <v>0</v>
      </c>
      <c r="V23" s="38">
        <f>Staffing!Z81</f>
        <v>8629.1666666666679</v>
      </c>
      <c r="W23" s="38">
        <f>Staffing!AA81</f>
        <v>8629.1666666666679</v>
      </c>
      <c r="X23" s="38">
        <f>Staffing!AB81</f>
        <v>8629.1666666666679</v>
      </c>
      <c r="Y23" s="38">
        <f>Staffing!AC81</f>
        <v>8629.1666666666679</v>
      </c>
      <c r="Z23" s="38">
        <f>Staffing!AD81</f>
        <v>8629.1666666666679</v>
      </c>
      <c r="AA23" s="38">
        <f>Staffing!AE81</f>
        <v>8629.1666666666679</v>
      </c>
      <c r="AC23" s="79">
        <f t="shared" si="20"/>
        <v>0</v>
      </c>
      <c r="AD23" s="79">
        <f t="shared" si="21"/>
        <v>51775.000000000015</v>
      </c>
      <c r="AE23" s="79">
        <f>Staffing!AI81</f>
        <v>207100.00000000003</v>
      </c>
      <c r="AF23" s="79">
        <f>Staffing!AJ81</f>
        <v>310650.00000000006</v>
      </c>
      <c r="AG23" s="79">
        <f>Staffing!AK81</f>
        <v>310650.00000000006</v>
      </c>
    </row>
    <row r="24" spans="2:34">
      <c r="C24" t="s">
        <v>108</v>
      </c>
      <c r="D24" s="38">
        <f>Staffing!H61</f>
        <v>0</v>
      </c>
      <c r="E24" s="38">
        <f>Staffing!I61</f>
        <v>0</v>
      </c>
      <c r="F24" s="38">
        <f>Staffing!J61</f>
        <v>0</v>
      </c>
      <c r="G24" s="38">
        <f>Staffing!K61</f>
        <v>0</v>
      </c>
      <c r="H24" s="38">
        <f>Staffing!L61</f>
        <v>0</v>
      </c>
      <c r="I24" s="38">
        <f>Staffing!M61</f>
        <v>0</v>
      </c>
      <c r="J24" s="38">
        <f>Staffing!N61</f>
        <v>0</v>
      </c>
      <c r="K24" s="38">
        <f>Staffing!O61</f>
        <v>0</v>
      </c>
      <c r="L24" s="38">
        <f>Staffing!P61</f>
        <v>4087.5</v>
      </c>
      <c r="M24" s="38">
        <f>Staffing!Q61</f>
        <v>4087.5</v>
      </c>
      <c r="N24" s="38">
        <f>Staffing!R61</f>
        <v>4087.5</v>
      </c>
      <c r="O24" s="38">
        <f>Staffing!S61</f>
        <v>8175</v>
      </c>
      <c r="P24" s="59">
        <f>Staffing!T61</f>
        <v>8175</v>
      </c>
      <c r="Q24" s="38">
        <f>Staffing!U61</f>
        <v>12262.5</v>
      </c>
      <c r="R24" s="38">
        <f>Staffing!V61</f>
        <v>12262.5</v>
      </c>
      <c r="S24" s="38">
        <f>Staffing!W61</f>
        <v>16350</v>
      </c>
      <c r="T24" s="38">
        <f>Staffing!X61</f>
        <v>16350</v>
      </c>
      <c r="U24" s="38">
        <f>Staffing!Y61</f>
        <v>16350</v>
      </c>
      <c r="V24" s="38">
        <f>Staffing!Z61</f>
        <v>16350</v>
      </c>
      <c r="W24" s="38">
        <f>Staffing!AA61</f>
        <v>16350</v>
      </c>
      <c r="X24" s="38">
        <f>Staffing!AB61</f>
        <v>20437.5</v>
      </c>
      <c r="Y24" s="38">
        <f>Staffing!AC61</f>
        <v>28158.333333333332</v>
      </c>
      <c r="Z24" s="38">
        <f>Staffing!AD61</f>
        <v>28158.333333333332</v>
      </c>
      <c r="AA24" s="38">
        <f>Staffing!AE61</f>
        <v>28158.333333333332</v>
      </c>
      <c r="AC24" s="79">
        <f t="shared" si="20"/>
        <v>20437.5</v>
      </c>
      <c r="AD24" s="79">
        <f t="shared" si="21"/>
        <v>219362.50000000003</v>
      </c>
      <c r="AE24" s="79">
        <f>Staffing!AI61</f>
        <v>337900</v>
      </c>
      <c r="AF24" s="79">
        <f>Staffing!AJ61</f>
        <v>436000</v>
      </c>
      <c r="AG24" s="79">
        <f>Staffing!AK61</f>
        <v>583150</v>
      </c>
    </row>
    <row r="25" spans="2:34">
      <c r="C25" t="s">
        <v>162</v>
      </c>
      <c r="D25" s="38">
        <f>Staffing!H75</f>
        <v>0</v>
      </c>
      <c r="E25" s="38">
        <f>Staffing!I75</f>
        <v>0</v>
      </c>
      <c r="F25" s="38">
        <f>Staffing!J75</f>
        <v>0</v>
      </c>
      <c r="G25" s="38">
        <f>Staffing!K75</f>
        <v>0</v>
      </c>
      <c r="H25" s="38">
        <f>Staffing!L75</f>
        <v>0</v>
      </c>
      <c r="I25" s="38">
        <f>Staffing!M75</f>
        <v>0</v>
      </c>
      <c r="J25" s="38">
        <f>Staffing!N75</f>
        <v>0</v>
      </c>
      <c r="K25" s="38">
        <f>Staffing!O75</f>
        <v>0</v>
      </c>
      <c r="L25" s="38">
        <f>Staffing!P75</f>
        <v>0</v>
      </c>
      <c r="M25" s="38">
        <f>Staffing!Q75</f>
        <v>0</v>
      </c>
      <c r="N25" s="38">
        <f>Staffing!R75</f>
        <v>0</v>
      </c>
      <c r="O25" s="38">
        <f>Staffing!S75</f>
        <v>4995.8333333333339</v>
      </c>
      <c r="P25" s="59">
        <f>Staffing!T75</f>
        <v>4995.8333333333339</v>
      </c>
      <c r="Q25" s="38">
        <f>Staffing!U75</f>
        <v>4995.8333333333339</v>
      </c>
      <c r="R25" s="38">
        <f>Staffing!V75</f>
        <v>4995.8333333333339</v>
      </c>
      <c r="S25" s="38">
        <f>Staffing!W75</f>
        <v>9991.6666666666679</v>
      </c>
      <c r="T25" s="38">
        <f>Staffing!X75</f>
        <v>9991.6666666666679</v>
      </c>
      <c r="U25" s="38">
        <f>Staffing!Y75</f>
        <v>9991.6666666666679</v>
      </c>
      <c r="V25" s="38">
        <f>Staffing!Z75</f>
        <v>9991.6666666666679</v>
      </c>
      <c r="W25" s="38">
        <f>Staffing!AA75</f>
        <v>9991.6666666666679</v>
      </c>
      <c r="X25" s="38">
        <f>Staffing!AB75</f>
        <v>14987.500000000002</v>
      </c>
      <c r="Y25" s="38">
        <f>Staffing!AC75</f>
        <v>19983.333333333336</v>
      </c>
      <c r="Z25" s="38">
        <f>Staffing!AD75</f>
        <v>19983.333333333336</v>
      </c>
      <c r="AA25" s="38">
        <f>Staffing!AE75</f>
        <v>19983.333333333336</v>
      </c>
      <c r="AC25" s="79">
        <f t="shared" si="20"/>
        <v>4995.8333333333339</v>
      </c>
      <c r="AD25" s="79">
        <f t="shared" si="21"/>
        <v>139883.33333333337</v>
      </c>
      <c r="AE25" s="79">
        <f>Staffing!AI75</f>
        <v>299750.00000000006</v>
      </c>
      <c r="AF25" s="79">
        <f>Staffing!AJ75</f>
        <v>299750.00000000006</v>
      </c>
      <c r="AG25" s="79">
        <f>Staffing!AK75</f>
        <v>359700.00000000006</v>
      </c>
    </row>
    <row r="26" spans="2:34">
      <c r="B26" t="s">
        <v>104</v>
      </c>
      <c r="D26" s="38">
        <f>IF(Staffing!H83&lt;5,600*Staffing!H83,IF(Staffing!H83&lt;20,Staffing!H83*400,IF(Staffing!H83&lt;100,Staffing!H83*250)))</f>
        <v>1200</v>
      </c>
      <c r="E26" s="38">
        <f>IF(Staffing!I83&lt;5,600*Staffing!I83,IF(Staffing!I83&lt;20,Staffing!I83*400,IF(Staffing!I83&lt;100,Staffing!I83*250)))</f>
        <v>1200</v>
      </c>
      <c r="F26" s="38">
        <f>IF(Staffing!J83&lt;5,600*Staffing!J83,IF(Staffing!J83&lt;20,Staffing!J83*400,IF(Staffing!J83&lt;100,Staffing!J83*250)))</f>
        <v>1200</v>
      </c>
      <c r="G26" s="38">
        <f>IF(Staffing!K83&lt;5,600*Staffing!K83,IF(Staffing!K83&lt;20,Staffing!K83*400,IF(Staffing!K83&lt;100,Staffing!K83*250)))</f>
        <v>1200</v>
      </c>
      <c r="H26" s="38">
        <f>IF(Staffing!L83&lt;5,600*Staffing!L83,IF(Staffing!L83&lt;20,Staffing!L83*400,IF(Staffing!L83&lt;100,Staffing!L83*250)))</f>
        <v>2400</v>
      </c>
      <c r="I26" s="38">
        <f>IF(Staffing!M83&lt;5,600*Staffing!M83,IF(Staffing!M83&lt;20,Staffing!M83*400,IF(Staffing!M83&lt;100,Staffing!M83*250)))</f>
        <v>2000</v>
      </c>
      <c r="J26" s="38">
        <f>IF(Staffing!N83&lt;5,600*Staffing!N83,IF(Staffing!N83&lt;20,Staffing!N83*400,IF(Staffing!N83&lt;100,Staffing!N83*250)))</f>
        <v>2000</v>
      </c>
      <c r="K26" s="38">
        <f>IF(Staffing!O83&lt;5,600*Staffing!O83,IF(Staffing!O83&lt;20,Staffing!O83*400,IF(Staffing!O83&lt;100,Staffing!O83*250)))</f>
        <v>3200</v>
      </c>
      <c r="L26" s="38">
        <f>IF(Staffing!P83&lt;5,600*Staffing!P83,IF(Staffing!P83&lt;20,Staffing!P83*400,IF(Staffing!P83&lt;100,Staffing!P83*250)))</f>
        <v>3600</v>
      </c>
      <c r="M26" s="38">
        <f>IF(Staffing!Q83&lt;5,600*Staffing!Q83,IF(Staffing!Q83&lt;20,Staffing!Q83*400,IF(Staffing!Q83&lt;100,Staffing!Q83*250)))</f>
        <v>3600</v>
      </c>
      <c r="N26" s="38">
        <f>IF(Staffing!R83&lt;5,600*Staffing!R83,IF(Staffing!R83&lt;20,Staffing!R83*400,IF(Staffing!R83&lt;100,Staffing!R83*250)))</f>
        <v>3600</v>
      </c>
      <c r="O26" s="38">
        <f>IF(Staffing!S83&lt;5,600*Staffing!S83,IF(Staffing!S83&lt;20,Staffing!S83*400,IF(Staffing!S83&lt;100,Staffing!S83*250)))</f>
        <v>6800</v>
      </c>
      <c r="P26" s="59">
        <f>IF(Staffing!T83&lt;5,600*Staffing!T83,IF(Staffing!T83&lt;20,Staffing!T83*400,IF(Staffing!T83&lt;100,Staffing!T83*250)))</f>
        <v>6800</v>
      </c>
      <c r="Q26" s="38">
        <f>IF(Staffing!U83&lt;5,600*Staffing!U83,IF(Staffing!U83&lt;20,Staffing!U83*400,IF(Staffing!U83&lt;100,Staffing!U83*250)))</f>
        <v>7600</v>
      </c>
      <c r="R26" s="38">
        <f>IF(Staffing!V83&lt;5,600*Staffing!V83,IF(Staffing!V83&lt;20,Staffing!V83*400,IF(Staffing!V83&lt;100,Staffing!V83*250)))</f>
        <v>7600</v>
      </c>
      <c r="S26" s="38">
        <f>IF(Staffing!W83&lt;5,600*Staffing!W83,IF(Staffing!W83&lt;20,Staffing!W83*400,IF(Staffing!W83&lt;100,Staffing!W83*250)))</f>
        <v>7250</v>
      </c>
      <c r="T26" s="38">
        <f>IF(Staffing!X83&lt;5,600*Staffing!X83,IF(Staffing!X83&lt;20,Staffing!X83*400,IF(Staffing!X83&lt;100,Staffing!X83*250)))</f>
        <v>7750</v>
      </c>
      <c r="U26" s="38">
        <f>IF(Staffing!Y83&lt;5,600*Staffing!Y83,IF(Staffing!Y83&lt;20,Staffing!Y83*400,IF(Staffing!Y83&lt;100,Staffing!Y83*250)))</f>
        <v>7750</v>
      </c>
      <c r="V26" s="38">
        <f>IF(Staffing!Z83&lt;5,600*Staffing!Z83,IF(Staffing!Z83&lt;20,Staffing!Z83*400,IF(Staffing!Z83&lt;100,Staffing!Z83*250)))</f>
        <v>8500</v>
      </c>
      <c r="W26" s="38">
        <f>IF(Staffing!AA83&lt;5,600*Staffing!AA83,IF(Staffing!AA83&lt;20,Staffing!AA83*400,IF(Staffing!AA83&lt;100,Staffing!AA83*250)))</f>
        <v>8500</v>
      </c>
      <c r="X26" s="38">
        <f>IF(Staffing!AB83&lt;5,600*Staffing!AB83,IF(Staffing!AB83&lt;20,Staffing!AB83*400,IF(Staffing!AB83&lt;100,Staffing!AB83*250)))</f>
        <v>12000</v>
      </c>
      <c r="Y26" s="38">
        <f>IF(Staffing!AC83&lt;5,600*Staffing!AC83,IF(Staffing!AC83&lt;20,Staffing!AC83*400,IF(Staffing!AC83&lt;100,Staffing!AC83*250)))</f>
        <v>14000</v>
      </c>
      <c r="Z26" s="38">
        <f>IF(Staffing!AD83&lt;5,600*Staffing!AD83,IF(Staffing!AD83&lt;20,Staffing!AD83*400,IF(Staffing!AD83&lt;100,Staffing!AD83*250)))</f>
        <v>14000</v>
      </c>
      <c r="AA26" s="38">
        <f>IF(Staffing!AE83&lt;5,600*Staffing!AE83,IF(Staffing!AE83&lt;20,Staffing!AE83*400,IF(Staffing!AE83&lt;100,Staffing!AE83*250)))</f>
        <v>14000</v>
      </c>
      <c r="AC26" s="79">
        <f t="shared" si="20"/>
        <v>32000</v>
      </c>
      <c r="AD26" s="79">
        <f t="shared" si="21"/>
        <v>115750</v>
      </c>
      <c r="AE26" s="79">
        <f>IF(Staffing!AI83&lt;5,600*Staffing!AI83,IF(Staffing!AI83&lt;20,Staffing!AI83*400,IF(Staffing!AI83&lt;100,Staffing!AI83*250)))</f>
        <v>15000</v>
      </c>
      <c r="AF26" s="79">
        <f>IF(Staffing!AJ83&lt;5,600*Staffing!AJ83,IF(Staffing!AJ83&lt;20,Staffing!AJ83*400,IF(Staffing!AJ83&lt;100,Staffing!AJ83*250)))</f>
        <v>16500</v>
      </c>
      <c r="AG26" s="79">
        <f>IF(Staffing!AK83&lt;5,600*Staffing!AK83,IF(Staffing!AK83&lt;20,Staffing!AK83*400,IF(Staffing!AK83&lt;100,Staffing!AK83*250)))</f>
        <v>19250</v>
      </c>
    </row>
    <row r="27" spans="2:34">
      <c r="B27" t="s">
        <v>166</v>
      </c>
      <c r="D27" s="38">
        <f>'Revenue Model'!$F$35*('Pro Forma'!E5-'Pro Forma'!D5)</f>
        <v>625</v>
      </c>
      <c r="E27" s="38">
        <f>'Revenue Model'!$F$35*('Pro Forma'!F5-'Pro Forma'!E5)</f>
        <v>1250</v>
      </c>
      <c r="F27" s="38">
        <f>'Revenue Model'!$F$35*('Pro Forma'!G5-'Pro Forma'!F5)</f>
        <v>2500</v>
      </c>
      <c r="G27" s="38">
        <f>'Revenue Model'!$F$35*('Pro Forma'!H5-'Pro Forma'!G5)</f>
        <v>5000</v>
      </c>
      <c r="H27" s="38">
        <f>'Revenue Model'!$F$35*('Pro Forma'!I5-'Pro Forma'!H5)</f>
        <v>10000</v>
      </c>
      <c r="I27" s="38">
        <f>'Revenue Model'!$F$35*('Pro Forma'!J5-'Pro Forma'!I5)</f>
        <v>17500</v>
      </c>
      <c r="J27" s="38">
        <f>'Revenue Model'!$F$35*('Pro Forma'!K5-'Pro Forma'!J5)</f>
        <v>31250</v>
      </c>
      <c r="K27" s="38">
        <f>'Revenue Model'!$F$35*('Pro Forma'!L5-'Pro Forma'!K5)</f>
        <v>51250</v>
      </c>
      <c r="L27" s="38">
        <f>'Revenue Model'!$F$35*('Pro Forma'!M5-'Pro Forma'!L5)</f>
        <v>80000</v>
      </c>
      <c r="M27" s="38">
        <f>'Revenue Model'!$F$35*('Pro Forma'!N5-'Pro Forma'!M5)</f>
        <v>125000</v>
      </c>
      <c r="N27" s="38">
        <f>'Revenue Model'!$F$35*('Pro Forma'!O5-'Pro Forma'!N5)</f>
        <v>175000</v>
      </c>
      <c r="O27" s="38">
        <f>'Revenue Model'!$F$35*('Pro Forma'!P5-'Pro Forma'!O5)</f>
        <v>270833.33333333337</v>
      </c>
      <c r="P27" s="59">
        <f>'Revenue Model'!$F$35*('Pro Forma'!Q5-'Pro Forma'!P5)</f>
        <v>270833.33333333337</v>
      </c>
      <c r="Q27" s="38">
        <f>'Revenue Model'!$F$35*('Pro Forma'!R5-'Pro Forma'!Q5)</f>
        <v>270833.33333333337</v>
      </c>
      <c r="R27" s="38">
        <f>'Revenue Model'!$F$35*('Pro Forma'!S5-'Pro Forma'!R5)</f>
        <v>270833.33333333337</v>
      </c>
      <c r="S27" s="38">
        <f>'Revenue Model'!$F$35*('Pro Forma'!T5-'Pro Forma'!S5)</f>
        <v>270833.3333333332</v>
      </c>
      <c r="T27" s="38">
        <f>'Revenue Model'!$F$35*('Pro Forma'!U5-'Pro Forma'!T5)</f>
        <v>270833.3333333332</v>
      </c>
      <c r="U27" s="38">
        <f>'Revenue Model'!$F$35*('Pro Forma'!V5-'Pro Forma'!U5)</f>
        <v>270833.3333333332</v>
      </c>
      <c r="V27" s="38">
        <f>'Revenue Model'!$F$35*('Pro Forma'!W5-'Pro Forma'!V5)</f>
        <v>270833.3333333332</v>
      </c>
      <c r="W27" s="38">
        <f>'Revenue Model'!$F$35*('Pro Forma'!X5-'Pro Forma'!W5)</f>
        <v>270833.3333333332</v>
      </c>
      <c r="X27" s="38">
        <f>'Revenue Model'!$F$35*('Pro Forma'!Y5-'Pro Forma'!X5)</f>
        <v>270833.3333333332</v>
      </c>
      <c r="Y27" s="38">
        <f>'Revenue Model'!$F$35*('Pro Forma'!Z5-'Pro Forma'!Y5)</f>
        <v>270833.3333333336</v>
      </c>
      <c r="Z27" s="38">
        <f>'Revenue Model'!$F$35*('Pro Forma'!AA5-'Pro Forma'!Z5)</f>
        <v>270833.3333333336</v>
      </c>
      <c r="AA27" s="38">
        <f>Z27</f>
        <v>270833.3333333336</v>
      </c>
      <c r="AC27" s="79">
        <f t="shared" si="20"/>
        <v>770208.33333333337</v>
      </c>
      <c r="AD27" s="79">
        <f t="shared" si="21"/>
        <v>3249999.9999999995</v>
      </c>
      <c r="AE27" s="79">
        <f>(AE5-AD5)*'Revenue Model'!$F$35</f>
        <v>4342977.0025905119</v>
      </c>
      <c r="AF27" s="79">
        <f>(AF5-AE5)*'Revenue Model'!$F$35</f>
        <v>7283679.3023314606</v>
      </c>
      <c r="AG27" s="79">
        <f>(AG5-AF5)*'Revenue Model'!$F$35</f>
        <v>11532492.228691477</v>
      </c>
    </row>
    <row r="28" spans="2:34">
      <c r="B28" t="s">
        <v>167</v>
      </c>
      <c r="C28" s="34"/>
      <c r="D28" s="38">
        <f>MAX(5000,Staffing!H49*4000)</f>
        <v>5000</v>
      </c>
      <c r="E28" s="38">
        <f>MAX(5000,Staffing!I49*4000)</f>
        <v>5000</v>
      </c>
      <c r="F28" s="38">
        <f>MAX(5000,Staffing!J49*4000)</f>
        <v>5000</v>
      </c>
      <c r="G28" s="38">
        <f>MAX(5000,Staffing!K49*4000)</f>
        <v>5000</v>
      </c>
      <c r="H28" s="38">
        <f>MAX(5000,Staffing!L49*4000)</f>
        <v>5000</v>
      </c>
      <c r="I28" s="38">
        <f>MAX(5000,Staffing!M49*4000)</f>
        <v>5000</v>
      </c>
      <c r="J28" s="38">
        <f>MAX(5000,Staffing!N49*4000)</f>
        <v>5000</v>
      </c>
      <c r="K28" s="38">
        <f>MAX(5000,Staffing!O49*4000)</f>
        <v>5000</v>
      </c>
      <c r="L28" s="38">
        <f>MAX(5000,Staffing!P49*4000)</f>
        <v>5000</v>
      </c>
      <c r="M28" s="38">
        <f>MAX(5000,Staffing!Q49*4000)</f>
        <v>5000</v>
      </c>
      <c r="N28" s="38">
        <f>MAX(5000,Staffing!R49*4000)</f>
        <v>5000</v>
      </c>
      <c r="O28" s="38">
        <f>MAX(5000,Staffing!S49*4000)</f>
        <v>8000</v>
      </c>
      <c r="P28" s="59">
        <f>MAX(5000,Staffing!T49*4000)</f>
        <v>8000</v>
      </c>
      <c r="Q28" s="38">
        <f>MAX(5000,Staffing!U49*4000)</f>
        <v>8000</v>
      </c>
      <c r="R28" s="38">
        <f>MAX(5000,Staffing!V49*4000)</f>
        <v>8000</v>
      </c>
      <c r="S28" s="38">
        <f>MAX(5000,Staffing!W49*4000)</f>
        <v>12000</v>
      </c>
      <c r="T28" s="38">
        <f>MAX(5000,Staffing!X49*4000)</f>
        <v>12000</v>
      </c>
      <c r="U28" s="38">
        <f>MAX(5000,Staffing!Y49*4000)</f>
        <v>12000</v>
      </c>
      <c r="V28" s="38">
        <f>MAX(5000,Staffing!Z49*4000)</f>
        <v>12000</v>
      </c>
      <c r="W28" s="38">
        <f>MAX(5000,Staffing!AA49*4000)</f>
        <v>12000</v>
      </c>
      <c r="X28" s="38">
        <f>MAX(5000,Staffing!AB49*4000)</f>
        <v>16000</v>
      </c>
      <c r="Y28" s="38">
        <f>MAX(5000,Staffing!AC49*4000)</f>
        <v>16000</v>
      </c>
      <c r="Z28" s="38">
        <f>MAX(5000,Staffing!AD49*4000)</f>
        <v>16000</v>
      </c>
      <c r="AA28" s="38">
        <f>MAX(5000,Staffing!AE49*4000)</f>
        <v>16000</v>
      </c>
      <c r="AC28" s="79">
        <f t="shared" si="20"/>
        <v>63000</v>
      </c>
      <c r="AD28" s="79">
        <f t="shared" si="21"/>
        <v>148000</v>
      </c>
      <c r="AE28" s="79">
        <f>MAX(5000,Staffing!AI49*4000)</f>
        <v>16000</v>
      </c>
      <c r="AF28" s="79">
        <f>MAX(5000,Staffing!AJ49*4000)</f>
        <v>16000</v>
      </c>
      <c r="AG28" s="79">
        <f>MAX(5000,Staffing!AK49*4000)</f>
        <v>16000</v>
      </c>
    </row>
    <row r="29" spans="2:34">
      <c r="B29" t="s">
        <v>171</v>
      </c>
      <c r="D29" s="38">
        <f>SUM(D30:D32)</f>
        <v>2000</v>
      </c>
      <c r="E29" s="38">
        <f t="shared" ref="E29:AA29" si="25">SUM(E30:E32)</f>
        <v>2000</v>
      </c>
      <c r="F29" s="38">
        <f t="shared" si="25"/>
        <v>7000</v>
      </c>
      <c r="G29" s="38">
        <f t="shared" si="25"/>
        <v>9500</v>
      </c>
      <c r="H29" s="38">
        <f t="shared" si="25"/>
        <v>12000</v>
      </c>
      <c r="I29" s="38">
        <f t="shared" si="25"/>
        <v>15700</v>
      </c>
      <c r="J29" s="38">
        <f t="shared" si="25"/>
        <v>18200</v>
      </c>
      <c r="K29" s="38">
        <f t="shared" si="25"/>
        <v>3200</v>
      </c>
      <c r="L29" s="38">
        <f t="shared" si="25"/>
        <v>3200</v>
      </c>
      <c r="M29" s="38">
        <f t="shared" si="25"/>
        <v>2000</v>
      </c>
      <c r="N29" s="38">
        <f t="shared" si="25"/>
        <v>2000</v>
      </c>
      <c r="O29" s="38">
        <f t="shared" si="25"/>
        <v>2000</v>
      </c>
      <c r="P29" s="59">
        <f t="shared" si="25"/>
        <v>2000</v>
      </c>
      <c r="Q29" s="38">
        <f t="shared" si="25"/>
        <v>2000</v>
      </c>
      <c r="R29" s="38">
        <f t="shared" si="25"/>
        <v>2000</v>
      </c>
      <c r="S29" s="38">
        <f t="shared" si="25"/>
        <v>2000</v>
      </c>
      <c r="T29" s="38">
        <f t="shared" si="25"/>
        <v>2000</v>
      </c>
      <c r="U29" s="38">
        <f t="shared" si="25"/>
        <v>2000</v>
      </c>
      <c r="V29" s="38">
        <f t="shared" si="25"/>
        <v>25000</v>
      </c>
      <c r="W29" s="38">
        <f t="shared" si="25"/>
        <v>5000</v>
      </c>
      <c r="X29" s="38">
        <f t="shared" si="25"/>
        <v>5000</v>
      </c>
      <c r="Y29" s="38">
        <f t="shared" si="25"/>
        <v>5000</v>
      </c>
      <c r="Z29" s="38">
        <f t="shared" si="25"/>
        <v>5000</v>
      </c>
      <c r="AA29" s="38">
        <f t="shared" si="25"/>
        <v>5000</v>
      </c>
      <c r="AC29" s="79">
        <f t="shared" si="20"/>
        <v>78800</v>
      </c>
      <c r="AD29" s="79">
        <f t="shared" si="21"/>
        <v>62000</v>
      </c>
      <c r="AE29" s="79">
        <f t="shared" ref="AE29" si="26">SUM(AE30:AE32)</f>
        <v>5000</v>
      </c>
      <c r="AF29" s="79">
        <f t="shared" ref="AF29" si="27">SUM(AF30:AF32)</f>
        <v>5000</v>
      </c>
      <c r="AG29" s="79">
        <f t="shared" ref="AG29" si="28">SUM(AG30:AG32)</f>
        <v>5000</v>
      </c>
    </row>
    <row r="30" spans="2:34">
      <c r="C30" t="s">
        <v>109</v>
      </c>
      <c r="D30" s="137">
        <v>0</v>
      </c>
      <c r="E30" s="137">
        <v>0</v>
      </c>
      <c r="F30" s="137">
        <v>5000</v>
      </c>
      <c r="G30" s="137">
        <v>7500</v>
      </c>
      <c r="H30" s="137">
        <v>10000</v>
      </c>
      <c r="I30" s="137">
        <v>12500</v>
      </c>
      <c r="J30" s="137">
        <v>15000</v>
      </c>
      <c r="K30" s="137">
        <v>0</v>
      </c>
      <c r="L30" s="137">
        <v>0</v>
      </c>
      <c r="M30" s="137">
        <v>0</v>
      </c>
      <c r="N30" s="137">
        <v>0</v>
      </c>
      <c r="O30" s="137">
        <v>0</v>
      </c>
      <c r="P30" s="138">
        <v>0</v>
      </c>
      <c r="Q30" s="137">
        <v>0</v>
      </c>
      <c r="R30" s="137">
        <v>0</v>
      </c>
      <c r="S30" s="137">
        <v>0</v>
      </c>
      <c r="T30" s="137">
        <v>0</v>
      </c>
      <c r="U30" s="137">
        <v>0</v>
      </c>
      <c r="V30" s="137">
        <v>0</v>
      </c>
      <c r="W30" s="137">
        <v>0</v>
      </c>
      <c r="X30" s="137">
        <v>0</v>
      </c>
      <c r="Y30" s="137">
        <v>0</v>
      </c>
      <c r="Z30" s="137">
        <v>0</v>
      </c>
      <c r="AA30" s="137">
        <v>0</v>
      </c>
      <c r="AC30" s="79">
        <f t="shared" si="20"/>
        <v>50000</v>
      </c>
      <c r="AD30" s="79">
        <f t="shared" si="21"/>
        <v>0</v>
      </c>
      <c r="AE30" s="79">
        <v>0</v>
      </c>
      <c r="AF30" s="79">
        <v>0</v>
      </c>
      <c r="AG30" s="79">
        <v>0</v>
      </c>
    </row>
    <row r="31" spans="2:34">
      <c r="C31" t="s">
        <v>123</v>
      </c>
      <c r="D31" s="137">
        <v>2000</v>
      </c>
      <c r="E31" s="137">
        <v>2000</v>
      </c>
      <c r="F31" s="137">
        <v>2000</v>
      </c>
      <c r="G31" s="137">
        <v>2000</v>
      </c>
      <c r="H31" s="137">
        <v>2000</v>
      </c>
      <c r="I31" s="137">
        <v>2000</v>
      </c>
      <c r="J31" s="137">
        <v>2000</v>
      </c>
      <c r="K31" s="137">
        <v>2000</v>
      </c>
      <c r="L31" s="137">
        <v>2000</v>
      </c>
      <c r="M31" s="137">
        <v>2000</v>
      </c>
      <c r="N31" s="137">
        <v>2000</v>
      </c>
      <c r="O31" s="137">
        <v>2000</v>
      </c>
      <c r="P31" s="138">
        <v>2000</v>
      </c>
      <c r="Q31" s="137">
        <v>2000</v>
      </c>
      <c r="R31" s="137">
        <v>2000</v>
      </c>
      <c r="S31" s="137">
        <v>2000</v>
      </c>
      <c r="T31" s="137">
        <v>2000</v>
      </c>
      <c r="U31" s="137">
        <v>2000</v>
      </c>
      <c r="V31" s="137">
        <v>25000</v>
      </c>
      <c r="W31" s="137">
        <v>5000</v>
      </c>
      <c r="X31" s="137">
        <v>5000</v>
      </c>
      <c r="Y31" s="137">
        <v>5000</v>
      </c>
      <c r="Z31" s="137">
        <v>5000</v>
      </c>
      <c r="AA31" s="137">
        <v>5000</v>
      </c>
      <c r="AC31" s="79">
        <f t="shared" si="20"/>
        <v>24000</v>
      </c>
      <c r="AD31" s="79">
        <f t="shared" si="21"/>
        <v>62000</v>
      </c>
      <c r="AE31" s="79">
        <v>5000</v>
      </c>
      <c r="AF31" s="79">
        <v>5000</v>
      </c>
      <c r="AG31" s="79">
        <v>5000</v>
      </c>
    </row>
    <row r="32" spans="2:34">
      <c r="C32" t="s">
        <v>148</v>
      </c>
      <c r="D32" s="137">
        <v>0</v>
      </c>
      <c r="E32" s="137">
        <v>0</v>
      </c>
      <c r="F32" s="137">
        <v>0</v>
      </c>
      <c r="G32" s="137">
        <v>0</v>
      </c>
      <c r="H32" s="137">
        <v>0</v>
      </c>
      <c r="I32" s="137">
        <v>1200</v>
      </c>
      <c r="J32" s="137">
        <v>1200</v>
      </c>
      <c r="K32" s="137">
        <v>1200</v>
      </c>
      <c r="L32" s="137">
        <v>1200</v>
      </c>
      <c r="M32" s="137">
        <v>0</v>
      </c>
      <c r="N32" s="137">
        <v>0</v>
      </c>
      <c r="O32" s="137">
        <v>0</v>
      </c>
      <c r="P32" s="138">
        <v>0</v>
      </c>
      <c r="Q32" s="137">
        <v>0</v>
      </c>
      <c r="R32" s="137">
        <v>0</v>
      </c>
      <c r="S32" s="137">
        <v>0</v>
      </c>
      <c r="T32" s="137">
        <v>0</v>
      </c>
      <c r="U32" s="137">
        <v>0</v>
      </c>
      <c r="V32" s="137">
        <v>0</v>
      </c>
      <c r="W32" s="137">
        <v>0</v>
      </c>
      <c r="X32" s="137">
        <v>0</v>
      </c>
      <c r="Y32" s="137">
        <v>0</v>
      </c>
      <c r="Z32" s="137">
        <v>0</v>
      </c>
      <c r="AA32" s="137">
        <v>0</v>
      </c>
      <c r="AC32" s="79">
        <f t="shared" si="20"/>
        <v>4800</v>
      </c>
      <c r="AD32" s="79">
        <f t="shared" si="21"/>
        <v>0</v>
      </c>
      <c r="AE32" s="79">
        <v>0</v>
      </c>
      <c r="AF32" s="79">
        <v>0</v>
      </c>
      <c r="AG32" s="79">
        <v>0</v>
      </c>
    </row>
    <row r="33" spans="2:34">
      <c r="B33" t="s">
        <v>169</v>
      </c>
      <c r="D33" s="38">
        <f>5000/12*Staffing!H83</f>
        <v>833.33333333333337</v>
      </c>
      <c r="E33" s="38">
        <f>5000/12*Staffing!I83</f>
        <v>833.33333333333337</v>
      </c>
      <c r="F33" s="38">
        <f>5000/12*Staffing!J83</f>
        <v>833.33333333333337</v>
      </c>
      <c r="G33" s="38">
        <f>5000/12*Staffing!K83</f>
        <v>833.33333333333337</v>
      </c>
      <c r="H33" s="38">
        <f>5000/12*Staffing!L83</f>
        <v>1666.6666666666667</v>
      </c>
      <c r="I33" s="38">
        <f>5000/12*Staffing!M83</f>
        <v>2083.3333333333335</v>
      </c>
      <c r="J33" s="38">
        <f>5000/12*Staffing!N83</f>
        <v>2083.3333333333335</v>
      </c>
      <c r="K33" s="38">
        <f>5000/12*Staffing!O83</f>
        <v>3333.3333333333335</v>
      </c>
      <c r="L33" s="38">
        <f>5000/12*Staffing!P83</f>
        <v>3750</v>
      </c>
      <c r="M33" s="38">
        <f>5000/12*Staffing!Q83</f>
        <v>3750</v>
      </c>
      <c r="N33" s="38">
        <f>5000/12*Staffing!R83</f>
        <v>3750</v>
      </c>
      <c r="O33" s="38">
        <f>5000/12*Staffing!S83</f>
        <v>7083.3333333333339</v>
      </c>
      <c r="P33" s="59">
        <f>5000/12*Staffing!T83</f>
        <v>7083.3333333333339</v>
      </c>
      <c r="Q33" s="38">
        <f>5000/12*Staffing!U83</f>
        <v>7916.666666666667</v>
      </c>
      <c r="R33" s="38">
        <f>5000/12*Staffing!V83</f>
        <v>7916.666666666667</v>
      </c>
      <c r="S33" s="38">
        <f>5000/12*Staffing!W83</f>
        <v>12083.333333333334</v>
      </c>
      <c r="T33" s="38">
        <f>5000/12*Staffing!X83</f>
        <v>12916.666666666668</v>
      </c>
      <c r="U33" s="38">
        <f>5000/12*Staffing!Y83</f>
        <v>12916.666666666668</v>
      </c>
      <c r="V33" s="38">
        <f>5000/12*Staffing!Z83</f>
        <v>14166.666666666668</v>
      </c>
      <c r="W33" s="38">
        <f>5000/12*Staffing!AA83</f>
        <v>14166.666666666668</v>
      </c>
      <c r="X33" s="38">
        <f>5000/12*Staffing!AB83</f>
        <v>20000</v>
      </c>
      <c r="Y33" s="38">
        <f>5000/12*Staffing!AC83</f>
        <v>23333.333333333336</v>
      </c>
      <c r="Z33" s="38">
        <f>5000/12*Staffing!AD83</f>
        <v>23333.333333333336</v>
      </c>
      <c r="AA33" s="38">
        <f>5000/12*Staffing!AE83</f>
        <v>23333.333333333336</v>
      </c>
      <c r="AC33" s="79">
        <f t="shared" si="20"/>
        <v>30833.333333333336</v>
      </c>
      <c r="AD33" s="79">
        <f t="shared" si="21"/>
        <v>179166.66666666672</v>
      </c>
      <c r="AE33" s="79">
        <f>5000*Staffing!AI83</f>
        <v>300000</v>
      </c>
      <c r="AF33" s="79">
        <f>5000*Staffing!AJ83</f>
        <v>330000</v>
      </c>
      <c r="AG33" s="79">
        <f>5000*Staffing!AK83</f>
        <v>385000</v>
      </c>
    </row>
    <row r="34" spans="2:34">
      <c r="B34" t="s">
        <v>168</v>
      </c>
      <c r="D34" s="38">
        <f>250*Staffing!H83</f>
        <v>500</v>
      </c>
      <c r="E34" s="38">
        <f>250*Staffing!I83</f>
        <v>500</v>
      </c>
      <c r="F34" s="38">
        <f>250*Staffing!J83</f>
        <v>500</v>
      </c>
      <c r="G34" s="38">
        <f>250*Staffing!K83</f>
        <v>500</v>
      </c>
      <c r="H34" s="38">
        <f>250*Staffing!L83</f>
        <v>1000</v>
      </c>
      <c r="I34" s="38">
        <f>250*Staffing!M83</f>
        <v>1250</v>
      </c>
      <c r="J34" s="38">
        <f>250*Staffing!N83</f>
        <v>1250</v>
      </c>
      <c r="K34" s="38">
        <f>250*Staffing!O83</f>
        <v>2000</v>
      </c>
      <c r="L34" s="38">
        <f>250*Staffing!P83</f>
        <v>2250</v>
      </c>
      <c r="M34" s="38">
        <f>250*Staffing!Q83</f>
        <v>2250</v>
      </c>
      <c r="N34" s="38">
        <f>250*Staffing!R83</f>
        <v>2250</v>
      </c>
      <c r="O34" s="38">
        <f>250*Staffing!S83</f>
        <v>4250</v>
      </c>
      <c r="P34" s="59">
        <f>250*Staffing!T83</f>
        <v>4250</v>
      </c>
      <c r="Q34" s="38">
        <f>250*Staffing!U83</f>
        <v>4750</v>
      </c>
      <c r="R34" s="38">
        <f>250*Staffing!V83</f>
        <v>4750</v>
      </c>
      <c r="S34" s="38">
        <f>250*Staffing!W83</f>
        <v>7250</v>
      </c>
      <c r="T34" s="38">
        <f>250*Staffing!X83</f>
        <v>7750</v>
      </c>
      <c r="U34" s="38">
        <f>250*Staffing!Y83</f>
        <v>7750</v>
      </c>
      <c r="V34" s="38">
        <f>250*Staffing!Z83</f>
        <v>8500</v>
      </c>
      <c r="W34" s="38">
        <f>250*Staffing!AA83</f>
        <v>8500</v>
      </c>
      <c r="X34" s="38">
        <f>250*Staffing!AB83</f>
        <v>12000</v>
      </c>
      <c r="Y34" s="38">
        <f>250*Staffing!AC83</f>
        <v>14000</v>
      </c>
      <c r="Z34" s="38">
        <f>250*Staffing!AD83</f>
        <v>14000</v>
      </c>
      <c r="AA34" s="38">
        <f>250*Staffing!AE83</f>
        <v>14000</v>
      </c>
      <c r="AC34" s="79">
        <f t="shared" si="20"/>
        <v>18500</v>
      </c>
      <c r="AD34" s="79">
        <f t="shared" si="21"/>
        <v>107500</v>
      </c>
      <c r="AE34" s="79">
        <f>250*Staffing!AI83</f>
        <v>15000</v>
      </c>
      <c r="AF34" s="79">
        <f>250*Staffing!AJ83</f>
        <v>16500</v>
      </c>
      <c r="AG34" s="79">
        <f>250*Staffing!AK83</f>
        <v>19250</v>
      </c>
    </row>
    <row r="35" spans="2:34" ht="5" customHeight="1">
      <c r="B35" s="37"/>
      <c r="C35" s="37"/>
      <c r="D35" s="46"/>
      <c r="E35" s="46"/>
      <c r="F35" s="46"/>
      <c r="G35" s="46"/>
      <c r="H35" s="46"/>
      <c r="I35" s="46"/>
      <c r="J35" s="46"/>
      <c r="K35" s="46"/>
      <c r="L35" s="46"/>
      <c r="M35" s="46"/>
      <c r="N35" s="46"/>
      <c r="O35" s="46"/>
      <c r="P35" s="57"/>
      <c r="Q35" s="46"/>
      <c r="R35" s="46"/>
      <c r="S35" s="46"/>
      <c r="T35" s="46"/>
      <c r="U35" s="46"/>
      <c r="V35" s="46"/>
      <c r="W35" s="46"/>
      <c r="X35" s="46"/>
      <c r="Y35" s="46"/>
      <c r="Z35" s="46"/>
      <c r="AA35" s="46"/>
      <c r="AC35" s="77"/>
      <c r="AD35" s="77"/>
      <c r="AE35" s="77"/>
      <c r="AF35" s="77"/>
      <c r="AG35" s="77"/>
    </row>
    <row r="36" spans="2:34">
      <c r="B36" t="s">
        <v>111</v>
      </c>
      <c r="D36" s="38">
        <f t="shared" ref="D36:AA36" si="29">D34+D33+D29+D28+D27+D26+D17</f>
        <v>24691.666666666668</v>
      </c>
      <c r="E36" s="38">
        <f t="shared" si="29"/>
        <v>25316.666666666668</v>
      </c>
      <c r="F36" s="38">
        <f t="shared" si="29"/>
        <v>31566.666666666672</v>
      </c>
      <c r="G36" s="38">
        <f t="shared" si="29"/>
        <v>36566.666666666672</v>
      </c>
      <c r="H36" s="38">
        <f t="shared" si="29"/>
        <v>65220.833333333343</v>
      </c>
      <c r="I36" s="38">
        <f t="shared" si="29"/>
        <v>83954.166666666657</v>
      </c>
      <c r="J36" s="38">
        <f t="shared" si="29"/>
        <v>100204.16666666666</v>
      </c>
      <c r="K36" s="38">
        <f t="shared" si="29"/>
        <v>134291.66666666669</v>
      </c>
      <c r="L36" s="38">
        <f t="shared" si="29"/>
        <v>168195.83333333334</v>
      </c>
      <c r="M36" s="38">
        <f t="shared" si="29"/>
        <v>211995.83333333334</v>
      </c>
      <c r="N36" s="38">
        <f t="shared" si="29"/>
        <v>261995.83333333334</v>
      </c>
      <c r="O36" s="38">
        <f t="shared" si="29"/>
        <v>430675</v>
      </c>
      <c r="P36" s="59">
        <f t="shared" si="29"/>
        <v>430675</v>
      </c>
      <c r="Q36" s="38">
        <f t="shared" si="29"/>
        <v>444162.50000000012</v>
      </c>
      <c r="R36" s="38">
        <f t="shared" si="29"/>
        <v>444162.50000000012</v>
      </c>
      <c r="S36" s="38">
        <f t="shared" si="29"/>
        <v>532141.66666666651</v>
      </c>
      <c r="T36" s="38">
        <f t="shared" si="29"/>
        <v>555774.99999999988</v>
      </c>
      <c r="U36" s="38">
        <f t="shared" si="29"/>
        <v>555774.99999999988</v>
      </c>
      <c r="V36" s="38">
        <f t="shared" si="29"/>
        <v>611499.99999999988</v>
      </c>
      <c r="W36" s="38">
        <f t="shared" si="29"/>
        <v>591499.99999999988</v>
      </c>
      <c r="X36" s="38">
        <f t="shared" si="29"/>
        <v>719604.16666666651</v>
      </c>
      <c r="Y36" s="38">
        <f t="shared" si="29"/>
        <v>801420.83333333349</v>
      </c>
      <c r="Z36" s="38">
        <f t="shared" si="29"/>
        <v>801420.83333333349</v>
      </c>
      <c r="AA36" s="38">
        <f t="shared" si="29"/>
        <v>801420.83333333349</v>
      </c>
      <c r="AC36" s="79">
        <f>SUM(D36:O36)</f>
        <v>1574675</v>
      </c>
      <c r="AD36" s="79">
        <f>SUM(P36:AA36)</f>
        <v>7289558.333333334</v>
      </c>
      <c r="AE36" s="79">
        <f>AE34+AE33+AE29+AE28+AE27+AE26+AE17</f>
        <v>10569077.002590511</v>
      </c>
      <c r="AF36" s="79">
        <f>AF34+AF33+AF29+AF28+AF27+AF26+AF17</f>
        <v>14055079.302331461</v>
      </c>
      <c r="AG36" s="79">
        <f>AG34+AG33+AG29+AG28+AG27+AG26+AG17</f>
        <v>19323592.228691477</v>
      </c>
    </row>
    <row r="37" spans="2:34" ht="6" customHeight="1">
      <c r="D37" s="38"/>
      <c r="E37" s="38"/>
      <c r="F37" s="38"/>
      <c r="G37" s="38"/>
      <c r="H37" s="38"/>
      <c r="I37" s="38"/>
      <c r="J37" s="38"/>
      <c r="K37" s="38"/>
      <c r="L37" s="38"/>
      <c r="M37" s="38"/>
      <c r="N37" s="38"/>
      <c r="O37" s="38"/>
      <c r="P37" s="59"/>
      <c r="Q37" s="38"/>
      <c r="R37" s="38"/>
      <c r="S37" s="38"/>
      <c r="T37" s="38"/>
      <c r="U37" s="38"/>
      <c r="V37" s="38"/>
      <c r="W37" s="38"/>
      <c r="X37" s="38"/>
      <c r="Y37" s="38"/>
      <c r="Z37" s="38"/>
      <c r="AA37" s="38"/>
      <c r="AC37" s="79"/>
      <c r="AD37" s="79"/>
      <c r="AE37" s="79"/>
      <c r="AF37" s="79"/>
      <c r="AG37" s="79"/>
    </row>
    <row r="38" spans="2:34">
      <c r="B38" t="s">
        <v>175</v>
      </c>
      <c r="D38" s="38">
        <f t="shared" ref="D38:AA38" si="30">D15-D36</f>
        <v>-24968.75</v>
      </c>
      <c r="E38" s="38">
        <f t="shared" si="30"/>
        <v>-25370.833333333336</v>
      </c>
      <c r="F38" s="38">
        <f t="shared" si="30"/>
        <v>-31175.000000000004</v>
      </c>
      <c r="G38" s="38">
        <f t="shared" si="30"/>
        <v>-35283.333333333336</v>
      </c>
      <c r="H38" s="38">
        <f t="shared" si="30"/>
        <v>-62154.166666666679</v>
      </c>
      <c r="I38" s="38">
        <f t="shared" si="30"/>
        <v>-77320.833333333328</v>
      </c>
      <c r="J38" s="38">
        <f t="shared" si="30"/>
        <v>-87329.166666666657</v>
      </c>
      <c r="K38" s="38">
        <f t="shared" si="30"/>
        <v>-110270.83333333336</v>
      </c>
      <c r="L38" s="38">
        <f t="shared" si="30"/>
        <v>-125895.83333333334</v>
      </c>
      <c r="M38" s="38">
        <f t="shared" si="30"/>
        <v>-141462.5</v>
      </c>
      <c r="N38" s="38">
        <f t="shared" si="30"/>
        <v>-147379.16666666669</v>
      </c>
      <c r="O38" s="38">
        <f t="shared" si="30"/>
        <v>-224341.66666666666</v>
      </c>
      <c r="P38" s="59">
        <f t="shared" si="30"/>
        <v>-112577.77777777775</v>
      </c>
      <c r="Q38" s="38">
        <f t="shared" si="30"/>
        <v>-14301.388888888992</v>
      </c>
      <c r="R38" s="38">
        <f t="shared" si="30"/>
        <v>195900</v>
      </c>
      <c r="S38" s="38">
        <f t="shared" si="30"/>
        <v>239997.22222222248</v>
      </c>
      <c r="T38" s="38">
        <f t="shared" si="30"/>
        <v>348440.27777777798</v>
      </c>
      <c r="U38" s="38">
        <f t="shared" si="30"/>
        <v>480516.66666666674</v>
      </c>
      <c r="V38" s="38">
        <f t="shared" si="30"/>
        <v>556868.05555555585</v>
      </c>
      <c r="W38" s="38">
        <f t="shared" si="30"/>
        <v>708944.44444444438</v>
      </c>
      <c r="X38" s="38">
        <f t="shared" si="30"/>
        <v>712916.66666666651</v>
      </c>
      <c r="Y38" s="38">
        <f t="shared" si="30"/>
        <v>763176.38888888853</v>
      </c>
      <c r="Z38" s="38">
        <f t="shared" si="30"/>
        <v>895252.77777777752</v>
      </c>
      <c r="AA38" s="38">
        <f t="shared" si="30"/>
        <v>1027329.1666666665</v>
      </c>
      <c r="AC38" s="79">
        <f t="shared" ref="AC38:AC43" si="31">SUM(D38:O38)</f>
        <v>-1092952.0833333335</v>
      </c>
      <c r="AD38" s="79">
        <f t="shared" ref="AD38:AD43" si="32">SUM(P38:AA38)</f>
        <v>5802462.5</v>
      </c>
      <c r="AE38" s="79">
        <f>AE15-AE36</f>
        <v>24352705.155051496</v>
      </c>
      <c r="AF38" s="79">
        <f>AF15-AF36</f>
        <v>55165338.954830363</v>
      </c>
      <c r="AG38" s="79">
        <f>AG15-AG36</f>
        <v>105404532.04498802</v>
      </c>
    </row>
    <row r="39" spans="2:34">
      <c r="C39" t="s">
        <v>112</v>
      </c>
      <c r="D39" s="38">
        <f>IF(D38&gt;0,0.35*D38,0)</f>
        <v>0</v>
      </c>
      <c r="E39" s="38">
        <f t="shared" ref="E39:AA39" si="33">IF(E38&gt;0,0.35*E38,0)</f>
        <v>0</v>
      </c>
      <c r="F39" s="38">
        <f t="shared" si="33"/>
        <v>0</v>
      </c>
      <c r="G39" s="38">
        <f t="shared" si="33"/>
        <v>0</v>
      </c>
      <c r="H39" s="38">
        <f t="shared" si="33"/>
        <v>0</v>
      </c>
      <c r="I39" s="38">
        <f t="shared" si="33"/>
        <v>0</v>
      </c>
      <c r="J39" s="38">
        <f t="shared" si="33"/>
        <v>0</v>
      </c>
      <c r="K39" s="38">
        <f t="shared" si="33"/>
        <v>0</v>
      </c>
      <c r="L39" s="38">
        <f t="shared" si="33"/>
        <v>0</v>
      </c>
      <c r="M39" s="38">
        <f t="shared" si="33"/>
        <v>0</v>
      </c>
      <c r="N39" s="38">
        <f t="shared" si="33"/>
        <v>0</v>
      </c>
      <c r="O39" s="38">
        <f t="shared" si="33"/>
        <v>0</v>
      </c>
      <c r="P39" s="59">
        <f t="shared" si="33"/>
        <v>0</v>
      </c>
      <c r="Q39" s="38">
        <f t="shared" si="33"/>
        <v>0</v>
      </c>
      <c r="R39" s="38">
        <f t="shared" si="33"/>
        <v>68565</v>
      </c>
      <c r="S39" s="38">
        <f t="shared" si="33"/>
        <v>83999.027777777868</v>
      </c>
      <c r="T39" s="38">
        <f t="shared" si="33"/>
        <v>121954.09722222229</v>
      </c>
      <c r="U39" s="38">
        <f t="shared" si="33"/>
        <v>168180.83333333334</v>
      </c>
      <c r="V39" s="38">
        <f t="shared" si="33"/>
        <v>194903.81944444453</v>
      </c>
      <c r="W39" s="38">
        <f t="shared" si="33"/>
        <v>248130.5555555555</v>
      </c>
      <c r="X39" s="38">
        <f t="shared" si="33"/>
        <v>249520.83333333326</v>
      </c>
      <c r="Y39" s="38">
        <f t="shared" si="33"/>
        <v>267111.73611111095</v>
      </c>
      <c r="Z39" s="38">
        <f t="shared" si="33"/>
        <v>313338.47222222213</v>
      </c>
      <c r="AA39" s="38">
        <f t="shared" si="33"/>
        <v>359565.20833333326</v>
      </c>
      <c r="AC39" s="79">
        <f t="shared" si="31"/>
        <v>0</v>
      </c>
      <c r="AD39" s="79">
        <f t="shared" si="32"/>
        <v>2075269.5833333333</v>
      </c>
      <c r="AE39" s="79">
        <f t="shared" ref="AE39" si="34">IF(AE38&gt;0,0.35*AE38,0)</f>
        <v>8523446.804268023</v>
      </c>
      <c r="AF39" s="79">
        <f t="shared" ref="AF39" si="35">IF(AF38&gt;0,0.35*AF38,0)</f>
        <v>19307868.634190626</v>
      </c>
      <c r="AG39" s="79">
        <f t="shared" ref="AG39" si="36">IF(AG38&gt;0,0.35*AG38,0)</f>
        <v>36891586.215745807</v>
      </c>
    </row>
    <row r="40" spans="2:34">
      <c r="C40" t="s">
        <v>268</v>
      </c>
      <c r="D40" s="38">
        <f>D33</f>
        <v>833.33333333333337</v>
      </c>
      <c r="E40" s="38">
        <f>E33+D40-E41</f>
        <v>1649.3055555555557</v>
      </c>
      <c r="F40" s="38">
        <f t="shared" ref="F40:AA40" si="37">F33+E40-F41</f>
        <v>2448.2783564814818</v>
      </c>
      <c r="G40" s="38">
        <f t="shared" si="37"/>
        <v>3230.605890721451</v>
      </c>
      <c r="H40" s="38">
        <f t="shared" si="37"/>
        <v>4829.9682679980879</v>
      </c>
      <c r="I40" s="38">
        <f t="shared" si="37"/>
        <v>6812.6772624147943</v>
      </c>
      <c r="J40" s="38">
        <f t="shared" si="37"/>
        <v>8754.0798194478193</v>
      </c>
      <c r="K40" s="38">
        <f t="shared" si="37"/>
        <v>11905.036489875991</v>
      </c>
      <c r="L40" s="38">
        <f t="shared" si="37"/>
        <v>15407.014896336908</v>
      </c>
      <c r="M40" s="38">
        <f t="shared" si="37"/>
        <v>18836.035419329888</v>
      </c>
      <c r="N40" s="38">
        <f t="shared" si="37"/>
        <v>22193.618014760516</v>
      </c>
      <c r="O40" s="38">
        <f t="shared" si="37"/>
        <v>28814.584306119672</v>
      </c>
      <c r="P40" s="38">
        <f t="shared" si="37"/>
        <v>35297.613799742183</v>
      </c>
      <c r="Q40" s="38">
        <f t="shared" si="37"/>
        <v>42478.913512247549</v>
      </c>
      <c r="R40" s="38">
        <f t="shared" si="37"/>
        <v>49510.602814075726</v>
      </c>
      <c r="S40" s="38">
        <f t="shared" si="37"/>
        <v>60562.465255449148</v>
      </c>
      <c r="T40" s="38">
        <f t="shared" si="37"/>
        <v>72217.413895960635</v>
      </c>
      <c r="U40" s="38">
        <f t="shared" si="37"/>
        <v>83629.551106461455</v>
      </c>
      <c r="V40" s="38">
        <f t="shared" si="37"/>
        <v>96053.935458410182</v>
      </c>
      <c r="W40" s="38">
        <f t="shared" si="37"/>
        <v>108219.47846969331</v>
      </c>
      <c r="X40" s="38">
        <f t="shared" si="37"/>
        <v>125964.90600157469</v>
      </c>
      <c r="Y40" s="38">
        <f t="shared" si="37"/>
        <v>146673.97045987521</v>
      </c>
      <c r="Z40" s="38">
        <f t="shared" si="37"/>
        <v>166951.59607529448</v>
      </c>
      <c r="AA40" s="38">
        <f t="shared" si="37"/>
        <v>186806.77115705918</v>
      </c>
      <c r="AC40" s="79">
        <f>O40</f>
        <v>28814.584306119672</v>
      </c>
      <c r="AD40" s="79">
        <f>AA40</f>
        <v>186806.77115705918</v>
      </c>
      <c r="AE40" s="161">
        <f t="shared" ref="AE40:AG40" si="38">AE33+AD40-AE41</f>
        <v>440105.0783677944</v>
      </c>
      <c r="AF40" s="161">
        <f t="shared" si="38"/>
        <v>660078.8087758458</v>
      </c>
      <c r="AG40" s="161">
        <f t="shared" si="38"/>
        <v>880059.10658188432</v>
      </c>
    </row>
    <row r="41" spans="2:34">
      <c r="C41" t="s">
        <v>113</v>
      </c>
      <c r="D41" s="33">
        <v>0</v>
      </c>
      <c r="E41" s="33">
        <f>D40*(0.25/12)</f>
        <v>17.361111111111111</v>
      </c>
      <c r="F41" s="33">
        <f t="shared" ref="F41:AA41" si="39">E40*(0.25/12)</f>
        <v>34.360532407407405</v>
      </c>
      <c r="G41" s="33">
        <f t="shared" si="39"/>
        <v>51.005799093364203</v>
      </c>
      <c r="H41" s="33">
        <f t="shared" si="39"/>
        <v>67.30428939003022</v>
      </c>
      <c r="I41" s="33">
        <f t="shared" si="39"/>
        <v>100.62433891662683</v>
      </c>
      <c r="J41" s="33">
        <f t="shared" si="39"/>
        <v>141.9307763003082</v>
      </c>
      <c r="K41" s="33">
        <f t="shared" si="39"/>
        <v>182.3766629051629</v>
      </c>
      <c r="L41" s="33">
        <f t="shared" si="39"/>
        <v>248.02159353908314</v>
      </c>
      <c r="M41" s="33">
        <f t="shared" si="39"/>
        <v>320.97947700701889</v>
      </c>
      <c r="N41" s="33">
        <f t="shared" si="39"/>
        <v>392.41740456937265</v>
      </c>
      <c r="O41" s="33">
        <f t="shared" si="39"/>
        <v>462.36704197417737</v>
      </c>
      <c r="P41" s="55">
        <f t="shared" si="39"/>
        <v>600.30383971082642</v>
      </c>
      <c r="Q41" s="33">
        <f t="shared" si="39"/>
        <v>735.36695416129544</v>
      </c>
      <c r="R41" s="33">
        <f t="shared" si="39"/>
        <v>884.97736483849053</v>
      </c>
      <c r="S41" s="33">
        <f t="shared" si="39"/>
        <v>1031.4708919599109</v>
      </c>
      <c r="T41" s="33">
        <f t="shared" si="39"/>
        <v>1261.7180261551905</v>
      </c>
      <c r="U41" s="33">
        <f t="shared" si="39"/>
        <v>1504.5294561658466</v>
      </c>
      <c r="V41" s="33">
        <f t="shared" si="39"/>
        <v>1742.282314717947</v>
      </c>
      <c r="W41" s="33">
        <f t="shared" si="39"/>
        <v>2001.1236553835454</v>
      </c>
      <c r="X41" s="33">
        <f t="shared" si="39"/>
        <v>2254.5724681186102</v>
      </c>
      <c r="Y41" s="33">
        <f t="shared" si="39"/>
        <v>2624.2688750328061</v>
      </c>
      <c r="Z41" s="33">
        <f t="shared" si="39"/>
        <v>3055.707717914067</v>
      </c>
      <c r="AA41" s="33">
        <f t="shared" si="39"/>
        <v>3478.158251568635</v>
      </c>
      <c r="AC41" s="75">
        <f t="shared" si="31"/>
        <v>2018.7490272136629</v>
      </c>
      <c r="AD41" s="75">
        <f t="shared" si="32"/>
        <v>21174.479815727169</v>
      </c>
      <c r="AE41" s="84">
        <f>AD40*(0.25)</f>
        <v>46701.692789264795</v>
      </c>
      <c r="AF41" s="84">
        <f>AE40*(0.25)</f>
        <v>110026.2695919486</v>
      </c>
      <c r="AG41" s="84">
        <f>AF40*(0.25)</f>
        <v>165019.70219396145</v>
      </c>
    </row>
    <row r="42" spans="2:34" ht="16" thickBot="1">
      <c r="B42" s="47"/>
      <c r="C42" s="47" t="s">
        <v>114</v>
      </c>
      <c r="D42" s="48">
        <v>0</v>
      </c>
      <c r="E42" s="48">
        <v>0</v>
      </c>
      <c r="F42" s="48">
        <v>0</v>
      </c>
      <c r="G42" s="48">
        <v>0</v>
      </c>
      <c r="H42" s="48">
        <v>0</v>
      </c>
      <c r="I42" s="48">
        <v>0</v>
      </c>
      <c r="J42" s="48">
        <v>0</v>
      </c>
      <c r="K42" s="48">
        <v>0</v>
      </c>
      <c r="L42" s="48">
        <v>0</v>
      </c>
      <c r="M42" s="48">
        <v>0</v>
      </c>
      <c r="N42" s="48">
        <v>0</v>
      </c>
      <c r="O42" s="48">
        <v>0</v>
      </c>
      <c r="P42" s="60">
        <v>0</v>
      </c>
      <c r="Q42" s="48">
        <v>0</v>
      </c>
      <c r="R42" s="48">
        <v>0</v>
      </c>
      <c r="S42" s="48">
        <v>0</v>
      </c>
      <c r="T42" s="48">
        <v>0</v>
      </c>
      <c r="U42" s="48">
        <v>0</v>
      </c>
      <c r="V42" s="48">
        <v>0</v>
      </c>
      <c r="W42" s="48">
        <v>0</v>
      </c>
      <c r="X42" s="48">
        <v>0</v>
      </c>
      <c r="Y42" s="48">
        <v>0</v>
      </c>
      <c r="Z42" s="48">
        <v>0</v>
      </c>
      <c r="AA42" s="48">
        <v>0</v>
      </c>
      <c r="AC42" s="80">
        <f t="shared" si="31"/>
        <v>0</v>
      </c>
      <c r="AD42" s="80">
        <f t="shared" si="32"/>
        <v>0</v>
      </c>
      <c r="AE42" s="80">
        <v>0</v>
      </c>
      <c r="AF42" s="80">
        <v>0</v>
      </c>
      <c r="AG42" s="80">
        <v>0</v>
      </c>
    </row>
    <row r="43" spans="2:34" s="9" customFormat="1" ht="16" thickTop="1">
      <c r="B43" s="9" t="s">
        <v>115</v>
      </c>
      <c r="D43" s="42">
        <f>D38-D39-D41-D42</f>
        <v>-24968.75</v>
      </c>
      <c r="E43" s="42">
        <f t="shared" ref="E43:AA43" si="40">E38-E39-E41-E42</f>
        <v>-25388.194444444445</v>
      </c>
      <c r="F43" s="42">
        <f t="shared" si="40"/>
        <v>-31209.360532407412</v>
      </c>
      <c r="G43" s="42">
        <f t="shared" si="40"/>
        <v>-35334.3391324267</v>
      </c>
      <c r="H43" s="42">
        <f t="shared" si="40"/>
        <v>-62221.470956056706</v>
      </c>
      <c r="I43" s="42">
        <f t="shared" si="40"/>
        <v>-77421.457672249962</v>
      </c>
      <c r="J43" s="42">
        <f t="shared" si="40"/>
        <v>-87471.097442966959</v>
      </c>
      <c r="K43" s="42">
        <f t="shared" si="40"/>
        <v>-110453.20999623853</v>
      </c>
      <c r="L43" s="42">
        <f t="shared" si="40"/>
        <v>-126143.85492687243</v>
      </c>
      <c r="M43" s="42">
        <f t="shared" si="40"/>
        <v>-141783.47947700703</v>
      </c>
      <c r="N43" s="42">
        <f t="shared" si="40"/>
        <v>-147771.58407123605</v>
      </c>
      <c r="O43" s="42">
        <f t="shared" si="40"/>
        <v>-224804.03370864084</v>
      </c>
      <c r="P43" s="162">
        <f t="shared" si="40"/>
        <v>-113178.08161748858</v>
      </c>
      <c r="Q43" s="42">
        <f t="shared" si="40"/>
        <v>-15036.755843050289</v>
      </c>
      <c r="R43" s="42">
        <f t="shared" si="40"/>
        <v>126450.02263516151</v>
      </c>
      <c r="S43" s="42">
        <f t="shared" si="40"/>
        <v>154966.72355248471</v>
      </c>
      <c r="T43" s="42">
        <f t="shared" si="40"/>
        <v>225224.46252940048</v>
      </c>
      <c r="U43" s="42">
        <f t="shared" si="40"/>
        <v>310831.30387716752</v>
      </c>
      <c r="V43" s="42">
        <f t="shared" si="40"/>
        <v>360221.95379639341</v>
      </c>
      <c r="W43" s="42">
        <f t="shared" si="40"/>
        <v>458812.76523350534</v>
      </c>
      <c r="X43" s="42">
        <f t="shared" si="40"/>
        <v>461141.26086521463</v>
      </c>
      <c r="Y43" s="42">
        <f t="shared" si="40"/>
        <v>493440.3839027448</v>
      </c>
      <c r="Z43" s="42">
        <f t="shared" si="40"/>
        <v>578858.59783764137</v>
      </c>
      <c r="AA43" s="42">
        <f t="shared" si="40"/>
        <v>664285.80008176458</v>
      </c>
      <c r="AB43"/>
      <c r="AC43" s="78">
        <f t="shared" si="31"/>
        <v>-1094970.832360547</v>
      </c>
      <c r="AD43" s="78">
        <f t="shared" si="32"/>
        <v>3706018.4368509399</v>
      </c>
      <c r="AE43" s="78">
        <f>AE38-AE39-AE41-AE42</f>
        <v>15782556.657994209</v>
      </c>
      <c r="AF43" s="78">
        <f t="shared" ref="AF43:AG43" si="41">AF38-AF39-AF41-AF42</f>
        <v>35747444.051047787</v>
      </c>
      <c r="AG43" s="78">
        <f t="shared" si="41"/>
        <v>68347926.127048254</v>
      </c>
      <c r="AH43" s="202"/>
    </row>
    <row r="44" spans="2:34">
      <c r="B44" t="s">
        <v>245</v>
      </c>
      <c r="D44" s="112">
        <f>IF(D38&gt;0,D38/D9,0)</f>
        <v>0</v>
      </c>
      <c r="E44" s="112">
        <f t="shared" ref="E44:AG44" si="42">IF(E38&gt;0,E38/E9,0)</f>
        <v>0</v>
      </c>
      <c r="F44" s="112">
        <f t="shared" si="42"/>
        <v>0</v>
      </c>
      <c r="G44" s="112">
        <f t="shared" si="42"/>
        <v>0</v>
      </c>
      <c r="H44" s="112">
        <f t="shared" si="42"/>
        <v>0</v>
      </c>
      <c r="I44" s="112">
        <f t="shared" si="42"/>
        <v>0</v>
      </c>
      <c r="J44" s="112">
        <f t="shared" si="42"/>
        <v>0</v>
      </c>
      <c r="K44" s="112">
        <f t="shared" si="42"/>
        <v>0</v>
      </c>
      <c r="L44" s="112">
        <f t="shared" si="42"/>
        <v>0</v>
      </c>
      <c r="M44" s="112">
        <f t="shared" si="42"/>
        <v>0</v>
      </c>
      <c r="N44" s="112">
        <f t="shared" si="42"/>
        <v>0</v>
      </c>
      <c r="O44" s="112">
        <f t="shared" si="42"/>
        <v>0</v>
      </c>
      <c r="P44" s="163">
        <f t="shared" si="42"/>
        <v>0</v>
      </c>
      <c r="Q44" s="112">
        <f t="shared" si="42"/>
        <v>0</v>
      </c>
      <c r="R44" s="112">
        <f t="shared" si="42"/>
        <v>0.30357384987893454</v>
      </c>
      <c r="S44" s="112">
        <f t="shared" si="42"/>
        <v>0.30829259589652125</v>
      </c>
      <c r="T44" s="112">
        <f t="shared" si="42"/>
        <v>0.38221595886497828</v>
      </c>
      <c r="U44" s="112">
        <f t="shared" si="42"/>
        <v>0.45991625124626129</v>
      </c>
      <c r="V44" s="112">
        <f t="shared" si="42"/>
        <v>0.47274281503316162</v>
      </c>
      <c r="W44" s="112">
        <f t="shared" si="42"/>
        <v>0.54072033898305083</v>
      </c>
      <c r="X44" s="112">
        <f t="shared" si="42"/>
        <v>0.49361702127659574</v>
      </c>
      <c r="Y44" s="112">
        <f t="shared" si="42"/>
        <v>0.48380981730134259</v>
      </c>
      <c r="Z44" s="112">
        <f t="shared" si="42"/>
        <v>0.52335897696133138</v>
      </c>
      <c r="AA44" s="112">
        <f t="shared" si="42"/>
        <v>0.55719548022598864</v>
      </c>
      <c r="AC44" s="114">
        <f t="shared" si="42"/>
        <v>0</v>
      </c>
      <c r="AD44" s="114">
        <f t="shared" si="42"/>
        <v>0.43956314855000983</v>
      </c>
      <c r="AE44" s="114">
        <f t="shared" si="42"/>
        <v>0.69705060543833253</v>
      </c>
      <c r="AF44" s="114">
        <f t="shared" si="42"/>
        <v>0.79677916799648951</v>
      </c>
      <c r="AG44" s="114">
        <f t="shared" si="42"/>
        <v>0.84497268012733373</v>
      </c>
    </row>
  </sheetData>
  <phoneticPr fontId="20" type="noConversion"/>
  <printOptions horizontalCentered="1" verticalCentered="1"/>
  <pageMargins left="0" right="0" top="0" bottom="0" header="0.5" footer="0.5"/>
  <pageSetup scale="28" orientation="landscape" horizontalDpi="4294967292" verticalDpi="4294967292"/>
  <ignoredErrors>
    <ignoredError sqref="AC41:AD42 AC30:AD39 AC12" formulaRange="1"/>
    <ignoredError sqref="AC40:AD40" formula="1"/>
  </ignoredErrors>
  <extLst>
    <ext xmlns:mx="http://schemas.microsoft.com/office/mac/excel/2008/main" uri="{64002731-A6B0-56B0-2670-7721B7C09600}">
      <mx:PLV Mode="0" OnePage="0" WScale="19"/>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K85"/>
  <sheetViews>
    <sheetView showGridLines="0" workbookViewId="0">
      <pane xSplit="7" ySplit="3" topLeftCell="J4" activePane="bottomRight" state="frozen"/>
      <selection pane="topRight" activeCell="G1" sqref="G1"/>
      <selection pane="bottomLeft" activeCell="A4" sqref="A4"/>
      <selection pane="bottomRight" activeCell="S67" sqref="S67"/>
    </sheetView>
  </sheetViews>
  <sheetFormatPr baseColWidth="10" defaultRowHeight="15" x14ac:dyDescent="0"/>
  <cols>
    <col min="1" max="1" width="3" customWidth="1"/>
    <col min="2" max="2" width="2.5" customWidth="1"/>
    <col min="3" max="3" width="13.83203125" customWidth="1"/>
    <col min="4" max="4" width="11.6640625" customWidth="1"/>
    <col min="5" max="5" width="15.83203125" customWidth="1"/>
    <col min="6" max="6" width="44.83203125" customWidth="1"/>
    <col min="7" max="7" width="1.5" customWidth="1"/>
    <col min="8" max="23" width="11" bestFit="1" customWidth="1"/>
    <col min="24" max="31" width="11.5" bestFit="1" customWidth="1"/>
    <col min="32" max="32" width="1.33203125" customWidth="1"/>
    <col min="33" max="34" width="11.5" customWidth="1"/>
    <col min="35" max="35" width="12.83203125" customWidth="1"/>
    <col min="36" max="36" width="13.83203125" customWidth="1"/>
    <col min="37" max="37" width="13.6640625" customWidth="1"/>
  </cols>
  <sheetData>
    <row r="1" spans="1:37" ht="18">
      <c r="A1" s="191" t="s">
        <v>290</v>
      </c>
    </row>
    <row r="2" spans="1:37">
      <c r="H2" s="43">
        <f>'Pro Forma'!D3</f>
        <v>42095</v>
      </c>
      <c r="I2" s="43">
        <f>'Pro Forma'!E3</f>
        <v>42125</v>
      </c>
      <c r="J2" s="43">
        <f>'Pro Forma'!F3</f>
        <v>42156</v>
      </c>
      <c r="K2" s="43">
        <f>'Pro Forma'!G3</f>
        <v>42186</v>
      </c>
      <c r="L2" s="43">
        <f>'Pro Forma'!H3</f>
        <v>42217</v>
      </c>
      <c r="M2" s="43">
        <f>'Pro Forma'!I3</f>
        <v>42248</v>
      </c>
      <c r="N2" s="43">
        <f>'Pro Forma'!J3</f>
        <v>42278</v>
      </c>
      <c r="O2" s="43">
        <f>'Pro Forma'!K3</f>
        <v>42309</v>
      </c>
      <c r="P2" s="43">
        <f>'Pro Forma'!L3</f>
        <v>42339</v>
      </c>
      <c r="Q2" s="43">
        <f>'Pro Forma'!M3</f>
        <v>42370</v>
      </c>
      <c r="R2" s="43">
        <f>'Pro Forma'!N3</f>
        <v>42401</v>
      </c>
      <c r="S2" s="43">
        <f>'Pro Forma'!O3</f>
        <v>42430</v>
      </c>
      <c r="T2" s="43">
        <f>'Pro Forma'!P3</f>
        <v>42461</v>
      </c>
      <c r="U2" s="43">
        <f>'Pro Forma'!Q3</f>
        <v>42491</v>
      </c>
      <c r="V2" s="43">
        <f>'Pro Forma'!R3</f>
        <v>42522</v>
      </c>
      <c r="W2" s="43">
        <f>'Pro Forma'!S3</f>
        <v>42552</v>
      </c>
      <c r="X2" s="143">
        <f>'Pro Forma'!T3</f>
        <v>42583</v>
      </c>
      <c r="Y2" s="43">
        <f>'Pro Forma'!U3</f>
        <v>42614</v>
      </c>
      <c r="Z2" s="143">
        <f>'Pro Forma'!V3</f>
        <v>42644</v>
      </c>
      <c r="AA2" s="43">
        <f>'Pro Forma'!W3</f>
        <v>42675</v>
      </c>
      <c r="AB2" s="43">
        <f>'Pro Forma'!X3</f>
        <v>42705</v>
      </c>
      <c r="AC2" s="43">
        <f>'Pro Forma'!Y3</f>
        <v>42736</v>
      </c>
      <c r="AD2" s="43">
        <f>'Pro Forma'!Z3</f>
        <v>42767</v>
      </c>
      <c r="AE2" s="43">
        <f>'Pro Forma'!AA3</f>
        <v>42795</v>
      </c>
      <c r="AF2" s="9"/>
      <c r="AG2" s="91" t="s">
        <v>181</v>
      </c>
      <c r="AH2" s="91" t="s">
        <v>182</v>
      </c>
      <c r="AI2" s="81" t="s">
        <v>178</v>
      </c>
      <c r="AJ2" s="81" t="s">
        <v>179</v>
      </c>
      <c r="AK2" s="82" t="s">
        <v>180</v>
      </c>
    </row>
    <row r="3" spans="1:37">
      <c r="A3" s="9" t="s">
        <v>97</v>
      </c>
      <c r="H3" s="7">
        <f>'Pro Forma'!D5</f>
        <v>25</v>
      </c>
      <c r="I3" s="7">
        <f>'Pro Forma'!E5</f>
        <v>50</v>
      </c>
      <c r="J3" s="7">
        <f>'Pro Forma'!F5</f>
        <v>100</v>
      </c>
      <c r="K3" s="7">
        <f>'Pro Forma'!G5</f>
        <v>200</v>
      </c>
      <c r="L3" s="7">
        <f>'Pro Forma'!H5</f>
        <v>400</v>
      </c>
      <c r="M3" s="7">
        <f>'Pro Forma'!I5</f>
        <v>800</v>
      </c>
      <c r="N3" s="7">
        <f>'Pro Forma'!J5</f>
        <v>1500</v>
      </c>
      <c r="O3" s="7">
        <f>'Pro Forma'!K5</f>
        <v>2750</v>
      </c>
      <c r="P3" s="7">
        <f>'Pro Forma'!L5</f>
        <v>4800</v>
      </c>
      <c r="Q3" s="7">
        <f>'Pro Forma'!M5</f>
        <v>8000</v>
      </c>
      <c r="R3" s="7">
        <f>'Pro Forma'!N5</f>
        <v>13000</v>
      </c>
      <c r="S3" s="7">
        <f>'Pro Forma'!O5</f>
        <v>20000</v>
      </c>
      <c r="T3" s="7">
        <f>'Pro Forma'!P5</f>
        <v>30833.333333333336</v>
      </c>
      <c r="U3" s="7">
        <f>'Pro Forma'!Q5</f>
        <v>41666.666666666672</v>
      </c>
      <c r="V3" s="7">
        <f>'Pro Forma'!R5</f>
        <v>52500.000000000007</v>
      </c>
      <c r="W3" s="7">
        <f>'Pro Forma'!S5</f>
        <v>63333.333333333343</v>
      </c>
      <c r="X3" s="35">
        <f>'Pro Forma'!T5</f>
        <v>74166.666666666672</v>
      </c>
      <c r="Y3" s="7">
        <f>'Pro Forma'!U5</f>
        <v>85000</v>
      </c>
      <c r="Z3" s="35">
        <f>'Pro Forma'!V5</f>
        <v>95833.333333333328</v>
      </c>
      <c r="AA3" s="7">
        <f>'Pro Forma'!W5</f>
        <v>106666.66666666666</v>
      </c>
      <c r="AB3" s="7">
        <f>'Pro Forma'!X5</f>
        <v>117499.99999999999</v>
      </c>
      <c r="AC3" s="7">
        <f>'Pro Forma'!Y5</f>
        <v>128333.33333333331</v>
      </c>
      <c r="AD3" s="7">
        <f>'Pro Forma'!Z5</f>
        <v>139166.66666666666</v>
      </c>
      <c r="AE3" s="7">
        <f>'Pro Forma'!AA5</f>
        <v>150000</v>
      </c>
      <c r="AG3" s="92">
        <f>S3</f>
        <v>20000</v>
      </c>
      <c r="AH3" s="92">
        <f>AE3</f>
        <v>150000</v>
      </c>
      <c r="AI3" s="83">
        <f>'Pro Forma'!AE5</f>
        <v>323719.08010362048</v>
      </c>
      <c r="AJ3" s="83">
        <f>'Pro Forma'!AF5</f>
        <v>615066.25219687889</v>
      </c>
      <c r="AK3" s="83">
        <f>'Pro Forma'!AG5</f>
        <v>1076365.941344538</v>
      </c>
    </row>
    <row r="4" spans="1:37">
      <c r="A4" s="9" t="s">
        <v>185</v>
      </c>
      <c r="H4" s="7">
        <f>'Pro Forma'!D9</f>
        <v>222.91666666666666</v>
      </c>
      <c r="I4" s="7">
        <f>'Pro Forma'!E9</f>
        <v>445.83333333333331</v>
      </c>
      <c r="J4" s="7">
        <f>'Pro Forma'!F9</f>
        <v>891.66666666666663</v>
      </c>
      <c r="K4" s="7">
        <f>'Pro Forma'!G9</f>
        <v>1783.3333333333333</v>
      </c>
      <c r="L4" s="7">
        <f>'Pro Forma'!H9</f>
        <v>3566.6666666666665</v>
      </c>
      <c r="M4" s="7">
        <f>'Pro Forma'!I9</f>
        <v>7133.333333333333</v>
      </c>
      <c r="N4" s="7">
        <f>'Pro Forma'!J9</f>
        <v>13375</v>
      </c>
      <c r="O4" s="7">
        <f>'Pro Forma'!K9</f>
        <v>24520.833333333332</v>
      </c>
      <c r="P4" s="7">
        <f>'Pro Forma'!L9</f>
        <v>42800</v>
      </c>
      <c r="Q4" s="7">
        <f>'Pro Forma'!M9</f>
        <v>71333.333333333328</v>
      </c>
      <c r="R4" s="7">
        <f>'Pro Forma'!N9</f>
        <v>115916.66666666667</v>
      </c>
      <c r="S4" s="7">
        <f>'Pro Forma'!O9</f>
        <v>208333.33333333334</v>
      </c>
      <c r="T4" s="7">
        <f>'Pro Forma'!P9</f>
        <v>321180.55555555556</v>
      </c>
      <c r="U4" s="7">
        <f>'Pro Forma'!Q9</f>
        <v>434027.77777777781</v>
      </c>
      <c r="V4" s="7">
        <f>'Pro Forma'!R9</f>
        <v>645312.50000000012</v>
      </c>
      <c r="W4" s="7">
        <f>'Pro Forma'!S9</f>
        <v>778472.22222222236</v>
      </c>
      <c r="X4" s="7">
        <f>'Pro Forma'!T9</f>
        <v>911631.9444444445</v>
      </c>
      <c r="Y4" s="7">
        <f>'Pro Forma'!U9</f>
        <v>1044791.6666666666</v>
      </c>
      <c r="Z4" s="7">
        <f>'Pro Forma'!V9</f>
        <v>1177951.388888889</v>
      </c>
      <c r="AA4" s="7">
        <f>'Pro Forma'!W9</f>
        <v>1311111.111111111</v>
      </c>
      <c r="AB4" s="7">
        <f>'Pro Forma'!X9</f>
        <v>1444270.833333333</v>
      </c>
      <c r="AC4" s="7">
        <f>'Pro Forma'!Y9</f>
        <v>1577430.5555555553</v>
      </c>
      <c r="AD4" s="7">
        <f>'Pro Forma'!Z9</f>
        <v>1710590.2777777778</v>
      </c>
      <c r="AE4" s="7">
        <f>'Pro Forma'!AA9</f>
        <v>1843750</v>
      </c>
      <c r="AG4" s="92">
        <f>'Pro Forma'!AC9</f>
        <v>490322.91666666663</v>
      </c>
      <c r="AH4" s="92">
        <f>'Pro Forma'!AD9</f>
        <v>13200520.833333334</v>
      </c>
      <c r="AI4" s="83">
        <f>'Pro Forma'!AE9</f>
        <v>34936782.157642007</v>
      </c>
      <c r="AJ4" s="83">
        <f>'Pro Forma'!AF9</f>
        <v>69235418.257161826</v>
      </c>
      <c r="AK4" s="83">
        <f>'Pro Forma'!AG9</f>
        <v>124743124.27367949</v>
      </c>
    </row>
    <row r="5" spans="1:37" ht="30">
      <c r="A5" t="s">
        <v>106</v>
      </c>
      <c r="D5" s="142" t="s">
        <v>127</v>
      </c>
      <c r="E5" s="142" t="s">
        <v>183</v>
      </c>
      <c r="H5" s="33"/>
      <c r="I5" s="33"/>
      <c r="J5" s="33"/>
      <c r="K5" s="33"/>
      <c r="L5" s="33"/>
      <c r="M5" s="33"/>
      <c r="N5" s="33"/>
      <c r="O5" s="33"/>
      <c r="P5" s="33"/>
      <c r="Q5" s="33"/>
      <c r="R5" s="33"/>
      <c r="S5" s="33"/>
      <c r="T5" s="33"/>
      <c r="U5" s="33"/>
      <c r="V5" s="33"/>
      <c r="W5" s="33"/>
      <c r="X5" s="39"/>
      <c r="Y5" s="33"/>
      <c r="Z5" s="39"/>
      <c r="AA5" s="33"/>
      <c r="AB5" s="33"/>
      <c r="AC5" s="33"/>
      <c r="AD5" s="33"/>
      <c r="AE5" s="33"/>
      <c r="AG5" s="93"/>
      <c r="AH5" s="93"/>
      <c r="AI5" s="85"/>
      <c r="AJ5" s="85"/>
      <c r="AK5" s="85"/>
    </row>
    <row r="6" spans="1:37">
      <c r="B6" t="s">
        <v>116</v>
      </c>
      <c r="D6" s="132">
        <v>80000</v>
      </c>
      <c r="E6" s="7">
        <f>1.09*D6</f>
        <v>87200</v>
      </c>
      <c r="H6" s="33">
        <f>$E6/12</f>
        <v>7266.666666666667</v>
      </c>
      <c r="I6" s="33">
        <f t="shared" ref="I6:Y7" si="0">$E6/12</f>
        <v>7266.666666666667</v>
      </c>
      <c r="J6" s="33">
        <f t="shared" si="0"/>
        <v>7266.666666666667</v>
      </c>
      <c r="K6" s="33">
        <f t="shared" si="0"/>
        <v>7266.666666666667</v>
      </c>
      <c r="L6" s="33">
        <f t="shared" si="0"/>
        <v>7266.666666666667</v>
      </c>
      <c r="M6" s="33">
        <f t="shared" si="0"/>
        <v>7266.666666666667</v>
      </c>
      <c r="N6" s="33">
        <f t="shared" si="0"/>
        <v>7266.666666666667</v>
      </c>
      <c r="O6" s="33">
        <f t="shared" si="0"/>
        <v>7266.666666666667</v>
      </c>
      <c r="P6" s="33">
        <f t="shared" si="0"/>
        <v>7266.666666666667</v>
      </c>
      <c r="Q6" s="33">
        <f t="shared" si="0"/>
        <v>7266.666666666667</v>
      </c>
      <c r="R6" s="33">
        <f t="shared" si="0"/>
        <v>7266.666666666667</v>
      </c>
      <c r="S6" s="33">
        <f t="shared" si="0"/>
        <v>7266.666666666667</v>
      </c>
      <c r="T6" s="33">
        <f t="shared" si="0"/>
        <v>7266.666666666667</v>
      </c>
      <c r="U6" s="33">
        <f t="shared" si="0"/>
        <v>7266.666666666667</v>
      </c>
      <c r="V6" s="33">
        <f t="shared" si="0"/>
        <v>7266.666666666667</v>
      </c>
      <c r="W6" s="33">
        <f t="shared" si="0"/>
        <v>7266.666666666667</v>
      </c>
      <c r="X6" s="39">
        <f t="shared" si="0"/>
        <v>7266.666666666667</v>
      </c>
      <c r="Y6" s="33">
        <f t="shared" si="0"/>
        <v>7266.666666666667</v>
      </c>
      <c r="Z6" s="39">
        <f>100000*1.09/12</f>
        <v>9083.3333333333339</v>
      </c>
      <c r="AA6" s="39">
        <f t="shared" ref="AA6:AE7" si="1">100000*1.09/12</f>
        <v>9083.3333333333339</v>
      </c>
      <c r="AB6" s="39">
        <f t="shared" si="1"/>
        <v>9083.3333333333339</v>
      </c>
      <c r="AC6" s="39">
        <f t="shared" si="1"/>
        <v>9083.3333333333339</v>
      </c>
      <c r="AD6" s="39">
        <f t="shared" si="1"/>
        <v>9083.3333333333339</v>
      </c>
      <c r="AE6" s="39">
        <f t="shared" si="1"/>
        <v>9083.3333333333339</v>
      </c>
      <c r="AG6" s="94">
        <f>SUM(H6:S6)</f>
        <v>87200</v>
      </c>
      <c r="AH6" s="94">
        <f>SUM(T6:AE6)</f>
        <v>98099.999999999985</v>
      </c>
      <c r="AI6" s="86">
        <f>100000*1.09</f>
        <v>109000.00000000001</v>
      </c>
      <c r="AJ6" s="86">
        <f t="shared" ref="AJ6:AK7" si="2">100000*1.09</f>
        <v>109000.00000000001</v>
      </c>
      <c r="AK6" s="86">
        <f t="shared" si="2"/>
        <v>109000.00000000001</v>
      </c>
    </row>
    <row r="7" spans="1:37">
      <c r="B7" t="s">
        <v>117</v>
      </c>
      <c r="D7" s="132">
        <v>80000</v>
      </c>
      <c r="E7" s="7">
        <f>1.09*D7</f>
        <v>87200</v>
      </c>
      <c r="H7" s="33">
        <f>$E7/12</f>
        <v>7266.666666666667</v>
      </c>
      <c r="I7" s="33">
        <f t="shared" si="0"/>
        <v>7266.666666666667</v>
      </c>
      <c r="J7" s="33">
        <f t="shared" si="0"/>
        <v>7266.666666666667</v>
      </c>
      <c r="K7" s="33">
        <f t="shared" si="0"/>
        <v>7266.666666666667</v>
      </c>
      <c r="L7" s="33">
        <f t="shared" si="0"/>
        <v>7266.666666666667</v>
      </c>
      <c r="M7" s="33">
        <f t="shared" si="0"/>
        <v>7266.666666666667</v>
      </c>
      <c r="N7" s="33">
        <f t="shared" si="0"/>
        <v>7266.666666666667</v>
      </c>
      <c r="O7" s="33">
        <f t="shared" si="0"/>
        <v>7266.666666666667</v>
      </c>
      <c r="P7" s="33">
        <f t="shared" si="0"/>
        <v>7266.666666666667</v>
      </c>
      <c r="Q7" s="33">
        <f t="shared" si="0"/>
        <v>7266.666666666667</v>
      </c>
      <c r="R7" s="33">
        <f t="shared" si="0"/>
        <v>7266.666666666667</v>
      </c>
      <c r="S7" s="33">
        <f t="shared" si="0"/>
        <v>7266.666666666667</v>
      </c>
      <c r="T7" s="33">
        <f t="shared" si="0"/>
        <v>7266.666666666667</v>
      </c>
      <c r="U7" s="33">
        <f t="shared" si="0"/>
        <v>7266.666666666667</v>
      </c>
      <c r="V7" s="33">
        <f t="shared" si="0"/>
        <v>7266.666666666667</v>
      </c>
      <c r="W7" s="33">
        <f t="shared" si="0"/>
        <v>7266.666666666667</v>
      </c>
      <c r="X7" s="39">
        <f t="shared" si="0"/>
        <v>7266.666666666667</v>
      </c>
      <c r="Y7" s="33">
        <f t="shared" si="0"/>
        <v>7266.666666666667</v>
      </c>
      <c r="Z7" s="39">
        <f>100000*1.09/12</f>
        <v>9083.3333333333339</v>
      </c>
      <c r="AA7" s="39">
        <f t="shared" si="1"/>
        <v>9083.3333333333339</v>
      </c>
      <c r="AB7" s="39">
        <f t="shared" si="1"/>
        <v>9083.3333333333339</v>
      </c>
      <c r="AC7" s="39">
        <f t="shared" si="1"/>
        <v>9083.3333333333339</v>
      </c>
      <c r="AD7" s="39">
        <f t="shared" si="1"/>
        <v>9083.3333333333339</v>
      </c>
      <c r="AE7" s="39">
        <f t="shared" si="1"/>
        <v>9083.3333333333339</v>
      </c>
      <c r="AG7" s="94">
        <f t="shared" ref="AG7:AG69" si="3">SUM(H7:S7)</f>
        <v>87200</v>
      </c>
      <c r="AH7" s="94">
        <f t="shared" ref="AH7:AH69" si="4">SUM(T7:AE7)</f>
        <v>98099.999999999985</v>
      </c>
      <c r="AI7" s="86">
        <f>100000*1.09</f>
        <v>109000.00000000001</v>
      </c>
      <c r="AJ7" s="86">
        <f t="shared" si="2"/>
        <v>109000.00000000001</v>
      </c>
      <c r="AK7" s="86">
        <f t="shared" si="2"/>
        <v>109000.00000000001</v>
      </c>
    </row>
    <row r="8" spans="1:37">
      <c r="A8" t="s">
        <v>134</v>
      </c>
      <c r="D8" s="132"/>
      <c r="E8" s="7"/>
      <c r="H8" s="33"/>
      <c r="I8" s="33"/>
      <c r="J8" s="33"/>
      <c r="K8" s="33"/>
      <c r="L8" s="33"/>
      <c r="M8" s="33"/>
      <c r="N8" s="39"/>
      <c r="O8" s="39"/>
      <c r="P8" s="39"/>
      <c r="Q8" s="39"/>
      <c r="R8" s="39"/>
      <c r="S8" s="39"/>
      <c r="T8" s="39"/>
      <c r="U8" s="39"/>
      <c r="V8" s="39"/>
      <c r="W8" s="39"/>
      <c r="X8" s="39"/>
      <c r="Y8" s="39"/>
      <c r="Z8" s="39"/>
      <c r="AA8" s="39"/>
      <c r="AB8" s="39"/>
      <c r="AC8" s="39"/>
      <c r="AD8" s="39"/>
      <c r="AE8" s="39"/>
      <c r="AG8" s="94"/>
      <c r="AH8" s="94"/>
      <c r="AI8" s="86"/>
      <c r="AJ8" s="86"/>
      <c r="AK8" s="86"/>
    </row>
    <row r="9" spans="1:37">
      <c r="B9" t="s">
        <v>135</v>
      </c>
      <c r="D9" s="132">
        <v>125000</v>
      </c>
      <c r="E9" s="7">
        <f>1.09*D9</f>
        <v>136250</v>
      </c>
      <c r="H9" s="33">
        <f>$E9/12*H10</f>
        <v>0</v>
      </c>
      <c r="I9" s="33">
        <f t="shared" ref="I9:AE9" si="5">$E9/12*I10</f>
        <v>0</v>
      </c>
      <c r="J9" s="33">
        <f t="shared" si="5"/>
        <v>0</v>
      </c>
      <c r="K9" s="33">
        <f t="shared" si="5"/>
        <v>0</v>
      </c>
      <c r="L9" s="33">
        <f t="shared" si="5"/>
        <v>0</v>
      </c>
      <c r="M9" s="33">
        <f t="shared" si="5"/>
        <v>0</v>
      </c>
      <c r="N9" s="33">
        <f t="shared" si="5"/>
        <v>0</v>
      </c>
      <c r="O9" s="33">
        <f t="shared" si="5"/>
        <v>0</v>
      </c>
      <c r="P9" s="33">
        <f t="shared" si="5"/>
        <v>0</v>
      </c>
      <c r="Q9" s="33">
        <f t="shared" si="5"/>
        <v>0</v>
      </c>
      <c r="R9" s="33">
        <f t="shared" si="5"/>
        <v>0</v>
      </c>
      <c r="S9" s="33">
        <f t="shared" si="5"/>
        <v>11354.166666666666</v>
      </c>
      <c r="T9" s="33">
        <f t="shared" si="5"/>
        <v>11354.166666666666</v>
      </c>
      <c r="U9" s="33">
        <f t="shared" si="5"/>
        <v>11354.166666666666</v>
      </c>
      <c r="V9" s="33">
        <f t="shared" si="5"/>
        <v>11354.166666666666</v>
      </c>
      <c r="W9" s="33">
        <f t="shared" si="5"/>
        <v>11354.166666666666</v>
      </c>
      <c r="X9" s="33">
        <f t="shared" si="5"/>
        <v>11354.166666666666</v>
      </c>
      <c r="Y9" s="33">
        <f t="shared" si="5"/>
        <v>11354.166666666666</v>
      </c>
      <c r="Z9" s="39">
        <f t="shared" si="5"/>
        <v>11354.166666666666</v>
      </c>
      <c r="AA9" s="33">
        <f t="shared" si="5"/>
        <v>11354.166666666666</v>
      </c>
      <c r="AB9" s="33">
        <f t="shared" si="5"/>
        <v>11354.166666666666</v>
      </c>
      <c r="AC9" s="33">
        <f t="shared" si="5"/>
        <v>11354.166666666666</v>
      </c>
      <c r="AD9" s="33">
        <f t="shared" si="5"/>
        <v>11354.166666666666</v>
      </c>
      <c r="AE9" s="33">
        <f t="shared" si="5"/>
        <v>11354.166666666666</v>
      </c>
      <c r="AG9" s="95">
        <f t="shared" si="3"/>
        <v>11354.166666666666</v>
      </c>
      <c r="AH9" s="95">
        <f t="shared" si="4"/>
        <v>136250.00000000003</v>
      </c>
      <c r="AI9" s="84">
        <f>$E9*AI10</f>
        <v>136250</v>
      </c>
      <c r="AJ9" s="84">
        <f t="shared" ref="AJ9:AK9" si="6">$E9*AJ10</f>
        <v>136250</v>
      </c>
      <c r="AK9" s="84">
        <f t="shared" si="6"/>
        <v>136250</v>
      </c>
    </row>
    <row r="10" spans="1:37" s="61" customFormat="1">
      <c r="C10" s="61" t="s">
        <v>130</v>
      </c>
      <c r="D10" s="204"/>
      <c r="E10" s="139"/>
      <c r="F10" s="63" t="s">
        <v>187</v>
      </c>
      <c r="H10" s="62">
        <f>+H12+H14</f>
        <v>0</v>
      </c>
      <c r="I10" s="62">
        <f t="shared" ref="I10:AK10" si="7">IF(H3&gt;10000,1,0)</f>
        <v>0</v>
      </c>
      <c r="J10" s="62">
        <f t="shared" si="7"/>
        <v>0</v>
      </c>
      <c r="K10" s="62">
        <f t="shared" si="7"/>
        <v>0</v>
      </c>
      <c r="L10" s="62">
        <f t="shared" si="7"/>
        <v>0</v>
      </c>
      <c r="M10" s="62">
        <f t="shared" si="7"/>
        <v>0</v>
      </c>
      <c r="N10" s="62">
        <f t="shared" si="7"/>
        <v>0</v>
      </c>
      <c r="O10" s="62">
        <f t="shared" si="7"/>
        <v>0</v>
      </c>
      <c r="P10" s="62">
        <f t="shared" si="7"/>
        <v>0</v>
      </c>
      <c r="Q10" s="62">
        <f t="shared" si="7"/>
        <v>0</v>
      </c>
      <c r="R10" s="62">
        <f t="shared" si="7"/>
        <v>0</v>
      </c>
      <c r="S10" s="62">
        <f t="shared" si="7"/>
        <v>1</v>
      </c>
      <c r="T10" s="62">
        <f t="shared" si="7"/>
        <v>1</v>
      </c>
      <c r="U10" s="62">
        <f t="shared" si="7"/>
        <v>1</v>
      </c>
      <c r="V10" s="62">
        <f t="shared" si="7"/>
        <v>1</v>
      </c>
      <c r="W10" s="62">
        <f t="shared" si="7"/>
        <v>1</v>
      </c>
      <c r="X10" s="62">
        <f t="shared" si="7"/>
        <v>1</v>
      </c>
      <c r="Y10" s="62">
        <f t="shared" si="7"/>
        <v>1</v>
      </c>
      <c r="Z10" s="62">
        <f t="shared" si="7"/>
        <v>1</v>
      </c>
      <c r="AA10" s="62">
        <f t="shared" si="7"/>
        <v>1</v>
      </c>
      <c r="AB10" s="62">
        <f t="shared" si="7"/>
        <v>1</v>
      </c>
      <c r="AC10" s="62">
        <f t="shared" si="7"/>
        <v>1</v>
      </c>
      <c r="AD10" s="62">
        <f t="shared" si="7"/>
        <v>1</v>
      </c>
      <c r="AE10" s="62">
        <f t="shared" si="7"/>
        <v>1</v>
      </c>
      <c r="AF10"/>
      <c r="AG10" s="96">
        <f>S10</f>
        <v>1</v>
      </c>
      <c r="AH10" s="96">
        <f>AE10</f>
        <v>1</v>
      </c>
      <c r="AI10" s="89">
        <f t="shared" si="7"/>
        <v>1</v>
      </c>
      <c r="AJ10" s="89">
        <f t="shared" si="7"/>
        <v>1</v>
      </c>
      <c r="AK10" s="89">
        <f t="shared" si="7"/>
        <v>1</v>
      </c>
    </row>
    <row r="11" spans="1:37">
      <c r="B11" t="s">
        <v>136</v>
      </c>
      <c r="D11" s="132">
        <v>125000</v>
      </c>
      <c r="E11" s="7">
        <f t="shared" ref="E11:E13" si="8">1.09*D11</f>
        <v>136250</v>
      </c>
      <c r="H11" s="33">
        <f>$E11/12*H12</f>
        <v>0</v>
      </c>
      <c r="I11" s="33">
        <f t="shared" ref="I11:AE11" si="9">$E11/12*I12</f>
        <v>0</v>
      </c>
      <c r="J11" s="33">
        <f t="shared" si="9"/>
        <v>0</v>
      </c>
      <c r="K11" s="33">
        <f t="shared" si="9"/>
        <v>0</v>
      </c>
      <c r="L11" s="33">
        <f t="shared" si="9"/>
        <v>0</v>
      </c>
      <c r="M11" s="33">
        <f t="shared" si="9"/>
        <v>0</v>
      </c>
      <c r="N11" s="33">
        <f t="shared" si="9"/>
        <v>0</v>
      </c>
      <c r="O11" s="33">
        <f t="shared" si="9"/>
        <v>0</v>
      </c>
      <c r="P11" s="33">
        <f t="shared" si="9"/>
        <v>0</v>
      </c>
      <c r="Q11" s="33">
        <f t="shared" si="9"/>
        <v>0</v>
      </c>
      <c r="R11" s="33">
        <f t="shared" si="9"/>
        <v>0</v>
      </c>
      <c r="S11" s="33">
        <f t="shared" si="9"/>
        <v>0</v>
      </c>
      <c r="T11" s="33">
        <f t="shared" si="9"/>
        <v>0</v>
      </c>
      <c r="U11" s="33">
        <f t="shared" si="9"/>
        <v>0</v>
      </c>
      <c r="V11" s="33">
        <f t="shared" si="9"/>
        <v>0</v>
      </c>
      <c r="W11" s="33">
        <f t="shared" si="9"/>
        <v>0</v>
      </c>
      <c r="X11" s="33">
        <f t="shared" si="9"/>
        <v>0</v>
      </c>
      <c r="Y11" s="33">
        <f t="shared" si="9"/>
        <v>0</v>
      </c>
      <c r="Z11" s="39">
        <f t="shared" si="9"/>
        <v>0</v>
      </c>
      <c r="AA11" s="33">
        <f t="shared" si="9"/>
        <v>0</v>
      </c>
      <c r="AB11" s="33">
        <f t="shared" si="9"/>
        <v>0</v>
      </c>
      <c r="AC11" s="33">
        <f t="shared" si="9"/>
        <v>0</v>
      </c>
      <c r="AD11" s="33">
        <f t="shared" si="9"/>
        <v>0</v>
      </c>
      <c r="AE11" s="33">
        <f t="shared" si="9"/>
        <v>0</v>
      </c>
      <c r="AG11" s="95">
        <f t="shared" si="3"/>
        <v>0</v>
      </c>
      <c r="AH11" s="95">
        <f t="shared" si="4"/>
        <v>0</v>
      </c>
      <c r="AI11" s="84">
        <f>$E11*AI12</f>
        <v>136250</v>
      </c>
      <c r="AJ11" s="84">
        <f t="shared" ref="AJ11:AK11" si="10">$E11*AJ12</f>
        <v>136250</v>
      </c>
      <c r="AK11" s="84">
        <f t="shared" si="10"/>
        <v>136250</v>
      </c>
    </row>
    <row r="12" spans="1:37" s="61" customFormat="1">
      <c r="C12" s="61" t="s">
        <v>130</v>
      </c>
      <c r="D12" s="204"/>
      <c r="E12" s="139"/>
      <c r="F12" s="63" t="s">
        <v>184</v>
      </c>
      <c r="H12" s="62">
        <f>IF(G4&gt;10000000,1,0)</f>
        <v>0</v>
      </c>
      <c r="I12" s="62">
        <f t="shared" ref="I12:AK12" si="11">IF(H4&gt;10000000,1,0)</f>
        <v>0</v>
      </c>
      <c r="J12" s="62">
        <f t="shared" si="11"/>
        <v>0</v>
      </c>
      <c r="K12" s="62">
        <f t="shared" si="11"/>
        <v>0</v>
      </c>
      <c r="L12" s="62">
        <f t="shared" si="11"/>
        <v>0</v>
      </c>
      <c r="M12" s="62">
        <f t="shared" si="11"/>
        <v>0</v>
      </c>
      <c r="N12" s="62">
        <f t="shared" si="11"/>
        <v>0</v>
      </c>
      <c r="O12" s="62">
        <f t="shared" si="11"/>
        <v>0</v>
      </c>
      <c r="P12" s="62">
        <f t="shared" si="11"/>
        <v>0</v>
      </c>
      <c r="Q12" s="62">
        <f t="shared" si="11"/>
        <v>0</v>
      </c>
      <c r="R12" s="62">
        <f t="shared" si="11"/>
        <v>0</v>
      </c>
      <c r="S12" s="62">
        <f t="shared" si="11"/>
        <v>0</v>
      </c>
      <c r="T12" s="62">
        <f t="shared" si="11"/>
        <v>0</v>
      </c>
      <c r="U12" s="62">
        <f t="shared" si="11"/>
        <v>0</v>
      </c>
      <c r="V12" s="62">
        <f t="shared" si="11"/>
        <v>0</v>
      </c>
      <c r="W12" s="62">
        <f t="shared" si="11"/>
        <v>0</v>
      </c>
      <c r="X12" s="62">
        <f t="shared" si="11"/>
        <v>0</v>
      </c>
      <c r="Y12" s="62">
        <f t="shared" si="11"/>
        <v>0</v>
      </c>
      <c r="Z12" s="62">
        <f t="shared" si="11"/>
        <v>0</v>
      </c>
      <c r="AA12" s="62">
        <f t="shared" si="11"/>
        <v>0</v>
      </c>
      <c r="AB12" s="62">
        <f t="shared" si="11"/>
        <v>0</v>
      </c>
      <c r="AC12" s="62">
        <f t="shared" si="11"/>
        <v>0</v>
      </c>
      <c r="AD12" s="62">
        <f t="shared" si="11"/>
        <v>0</v>
      </c>
      <c r="AE12" s="62">
        <f t="shared" si="11"/>
        <v>0</v>
      </c>
      <c r="AF12"/>
      <c r="AG12" s="96">
        <f>S12</f>
        <v>0</v>
      </c>
      <c r="AH12" s="96">
        <f>AE12</f>
        <v>0</v>
      </c>
      <c r="AI12" s="89">
        <f t="shared" si="11"/>
        <v>1</v>
      </c>
      <c r="AJ12" s="89">
        <f t="shared" si="11"/>
        <v>1</v>
      </c>
      <c r="AK12" s="89">
        <f t="shared" si="11"/>
        <v>1</v>
      </c>
    </row>
    <row r="13" spans="1:37">
      <c r="A13" s="36"/>
      <c r="B13" s="36" t="s">
        <v>147</v>
      </c>
      <c r="C13" s="36"/>
      <c r="D13" s="205">
        <v>125000</v>
      </c>
      <c r="E13" s="35">
        <f t="shared" si="8"/>
        <v>136250</v>
      </c>
      <c r="F13" s="36"/>
      <c r="G13" s="36"/>
      <c r="H13" s="33">
        <f>$E13/12*H14</f>
        <v>0</v>
      </c>
      <c r="I13" s="33">
        <f t="shared" ref="I13:AE13" si="12">$E13/12*I14</f>
        <v>0</v>
      </c>
      <c r="J13" s="33">
        <f t="shared" si="12"/>
        <v>0</v>
      </c>
      <c r="K13" s="33">
        <f t="shared" si="12"/>
        <v>0</v>
      </c>
      <c r="L13" s="33">
        <f t="shared" si="12"/>
        <v>0</v>
      </c>
      <c r="M13" s="33">
        <f t="shared" si="12"/>
        <v>0</v>
      </c>
      <c r="N13" s="33">
        <f t="shared" si="12"/>
        <v>0</v>
      </c>
      <c r="O13" s="33">
        <f t="shared" si="12"/>
        <v>11354.166666666666</v>
      </c>
      <c r="P13" s="33">
        <f t="shared" si="12"/>
        <v>11354.166666666666</v>
      </c>
      <c r="Q13" s="33">
        <f t="shared" si="12"/>
        <v>11354.166666666666</v>
      </c>
      <c r="R13" s="33">
        <f t="shared" si="12"/>
        <v>11354.166666666666</v>
      </c>
      <c r="S13" s="33">
        <f t="shared" si="12"/>
        <v>11354.166666666666</v>
      </c>
      <c r="T13" s="33">
        <f t="shared" si="12"/>
        <v>11354.166666666666</v>
      </c>
      <c r="U13" s="33">
        <f t="shared" si="12"/>
        <v>11354.166666666666</v>
      </c>
      <c r="V13" s="33">
        <f t="shared" si="12"/>
        <v>11354.166666666666</v>
      </c>
      <c r="W13" s="33">
        <f t="shared" si="12"/>
        <v>11354.166666666666</v>
      </c>
      <c r="X13" s="33">
        <f t="shared" si="12"/>
        <v>11354.166666666666</v>
      </c>
      <c r="Y13" s="33">
        <f t="shared" si="12"/>
        <v>11354.166666666666</v>
      </c>
      <c r="Z13" s="39">
        <f t="shared" si="12"/>
        <v>11354.166666666666</v>
      </c>
      <c r="AA13" s="33">
        <f t="shared" si="12"/>
        <v>11354.166666666666</v>
      </c>
      <c r="AB13" s="33">
        <f t="shared" si="12"/>
        <v>11354.166666666666</v>
      </c>
      <c r="AC13" s="33">
        <f t="shared" si="12"/>
        <v>11354.166666666666</v>
      </c>
      <c r="AD13" s="33">
        <f t="shared" si="12"/>
        <v>11354.166666666666</v>
      </c>
      <c r="AE13" s="33">
        <f t="shared" si="12"/>
        <v>11354.166666666666</v>
      </c>
      <c r="AG13" s="95">
        <f t="shared" si="3"/>
        <v>56770.833333333328</v>
      </c>
      <c r="AH13" s="95">
        <f t="shared" si="4"/>
        <v>136250.00000000003</v>
      </c>
      <c r="AI13" s="84">
        <f>$E13*AI14</f>
        <v>136250</v>
      </c>
      <c r="AJ13" s="84">
        <f t="shared" ref="AJ13:AK13" si="13">$E13*AJ14</f>
        <v>136250</v>
      </c>
      <c r="AK13" s="84">
        <f t="shared" si="13"/>
        <v>136250</v>
      </c>
    </row>
    <row r="14" spans="1:37" s="61" customFormat="1">
      <c r="A14" s="63"/>
      <c r="B14" s="63"/>
      <c r="C14" s="63" t="s">
        <v>130</v>
      </c>
      <c r="D14" s="206"/>
      <c r="E14" s="140"/>
      <c r="F14" s="63" t="s">
        <v>186</v>
      </c>
      <c r="G14" s="63"/>
      <c r="H14" s="64">
        <f>IF(G3&gt;1000,1,0)</f>
        <v>0</v>
      </c>
      <c r="I14" s="64">
        <f t="shared" ref="I14:AK14" si="14">IF(H3&gt;1000,1,0)</f>
        <v>0</v>
      </c>
      <c r="J14" s="64">
        <f t="shared" si="14"/>
        <v>0</v>
      </c>
      <c r="K14" s="64">
        <f t="shared" si="14"/>
        <v>0</v>
      </c>
      <c r="L14" s="64">
        <f t="shared" si="14"/>
        <v>0</v>
      </c>
      <c r="M14" s="64">
        <f t="shared" si="14"/>
        <v>0</v>
      </c>
      <c r="N14" s="64">
        <f t="shared" si="14"/>
        <v>0</v>
      </c>
      <c r="O14" s="64">
        <f t="shared" si="14"/>
        <v>1</v>
      </c>
      <c r="P14" s="64">
        <f t="shared" si="14"/>
        <v>1</v>
      </c>
      <c r="Q14" s="64">
        <f t="shared" si="14"/>
        <v>1</v>
      </c>
      <c r="R14" s="64">
        <f t="shared" si="14"/>
        <v>1</v>
      </c>
      <c r="S14" s="64">
        <f t="shared" si="14"/>
        <v>1</v>
      </c>
      <c r="T14" s="64">
        <f t="shared" si="14"/>
        <v>1</v>
      </c>
      <c r="U14" s="64">
        <f t="shared" si="14"/>
        <v>1</v>
      </c>
      <c r="V14" s="64">
        <f t="shared" si="14"/>
        <v>1</v>
      </c>
      <c r="W14" s="64">
        <f t="shared" si="14"/>
        <v>1</v>
      </c>
      <c r="X14" s="64">
        <f t="shared" si="14"/>
        <v>1</v>
      </c>
      <c r="Y14" s="64">
        <f t="shared" si="14"/>
        <v>1</v>
      </c>
      <c r="Z14" s="64">
        <f t="shared" si="14"/>
        <v>1</v>
      </c>
      <c r="AA14" s="64">
        <f t="shared" si="14"/>
        <v>1</v>
      </c>
      <c r="AB14" s="64">
        <f t="shared" si="14"/>
        <v>1</v>
      </c>
      <c r="AC14" s="64">
        <f t="shared" si="14"/>
        <v>1</v>
      </c>
      <c r="AD14" s="64">
        <f t="shared" si="14"/>
        <v>1</v>
      </c>
      <c r="AE14" s="64">
        <f t="shared" si="14"/>
        <v>1</v>
      </c>
      <c r="AF14"/>
      <c r="AG14" s="97">
        <f>S14</f>
        <v>1</v>
      </c>
      <c r="AH14" s="97">
        <f>AE14</f>
        <v>1</v>
      </c>
      <c r="AI14" s="87">
        <f t="shared" si="14"/>
        <v>1</v>
      </c>
      <c r="AJ14" s="87">
        <f t="shared" si="14"/>
        <v>1</v>
      </c>
      <c r="AK14" s="87">
        <f t="shared" si="14"/>
        <v>1</v>
      </c>
    </row>
    <row r="15" spans="1:37" s="37" customFormat="1" ht="9" customHeight="1">
      <c r="D15" s="207"/>
      <c r="E15" s="109"/>
      <c r="H15" s="40"/>
      <c r="I15" s="40"/>
      <c r="J15" s="40"/>
      <c r="K15" s="40"/>
      <c r="L15" s="40"/>
      <c r="M15" s="40"/>
      <c r="N15" s="40"/>
      <c r="O15" s="40"/>
      <c r="P15" s="40"/>
      <c r="Q15" s="40"/>
      <c r="R15" s="40"/>
      <c r="S15" s="40"/>
      <c r="T15" s="40"/>
      <c r="U15" s="40"/>
      <c r="V15" s="40"/>
      <c r="W15" s="40"/>
      <c r="X15" s="40"/>
      <c r="Y15" s="40"/>
      <c r="Z15" s="40"/>
      <c r="AA15" s="40"/>
      <c r="AB15" s="40"/>
      <c r="AC15" s="40"/>
      <c r="AD15" s="40"/>
      <c r="AE15" s="40"/>
      <c r="AF15"/>
      <c r="AG15" s="98"/>
      <c r="AH15" s="98"/>
      <c r="AI15" s="88"/>
      <c r="AJ15" s="88"/>
      <c r="AK15" s="88"/>
    </row>
    <row r="16" spans="1:37">
      <c r="A16" t="s">
        <v>143</v>
      </c>
      <c r="D16" s="132"/>
      <c r="E16" s="7"/>
      <c r="H16" s="33">
        <f>2+H10+H12+H14</f>
        <v>2</v>
      </c>
      <c r="I16" s="33">
        <f t="shared" ref="I16:AK16" si="15">2+I10+I12+I14</f>
        <v>2</v>
      </c>
      <c r="J16" s="33">
        <f t="shared" si="15"/>
        <v>2</v>
      </c>
      <c r="K16" s="33">
        <f t="shared" si="15"/>
        <v>2</v>
      </c>
      <c r="L16" s="33">
        <f t="shared" si="15"/>
        <v>2</v>
      </c>
      <c r="M16" s="33">
        <f t="shared" si="15"/>
        <v>2</v>
      </c>
      <c r="N16" s="33">
        <f t="shared" si="15"/>
        <v>2</v>
      </c>
      <c r="O16" s="33">
        <f t="shared" si="15"/>
        <v>3</v>
      </c>
      <c r="P16" s="33">
        <f t="shared" si="15"/>
        <v>3</v>
      </c>
      <c r="Q16" s="33">
        <f t="shared" si="15"/>
        <v>3</v>
      </c>
      <c r="R16" s="33">
        <f t="shared" si="15"/>
        <v>3</v>
      </c>
      <c r="S16" s="33">
        <f t="shared" si="15"/>
        <v>4</v>
      </c>
      <c r="T16" s="33">
        <f t="shared" si="15"/>
        <v>4</v>
      </c>
      <c r="U16" s="33">
        <f t="shared" si="15"/>
        <v>4</v>
      </c>
      <c r="V16" s="33">
        <f t="shared" si="15"/>
        <v>4</v>
      </c>
      <c r="W16" s="33">
        <f t="shared" si="15"/>
        <v>4</v>
      </c>
      <c r="X16" s="33">
        <f t="shared" si="15"/>
        <v>4</v>
      </c>
      <c r="Y16" s="33">
        <f t="shared" si="15"/>
        <v>4</v>
      </c>
      <c r="Z16" s="33">
        <f t="shared" si="15"/>
        <v>4</v>
      </c>
      <c r="AA16" s="33">
        <f t="shared" si="15"/>
        <v>4</v>
      </c>
      <c r="AB16" s="33">
        <f t="shared" si="15"/>
        <v>4</v>
      </c>
      <c r="AC16" s="33">
        <f t="shared" si="15"/>
        <v>4</v>
      </c>
      <c r="AD16" s="33">
        <f t="shared" si="15"/>
        <v>4</v>
      </c>
      <c r="AE16" s="33">
        <f t="shared" si="15"/>
        <v>4</v>
      </c>
      <c r="AG16" s="95">
        <f t="shared" si="15"/>
        <v>4</v>
      </c>
      <c r="AH16" s="95">
        <f t="shared" si="15"/>
        <v>4</v>
      </c>
      <c r="AI16" s="84">
        <f t="shared" si="15"/>
        <v>5</v>
      </c>
      <c r="AJ16" s="84">
        <f t="shared" si="15"/>
        <v>5</v>
      </c>
      <c r="AK16" s="84">
        <f t="shared" si="15"/>
        <v>5</v>
      </c>
    </row>
    <row r="17" spans="1:37">
      <c r="A17" t="s">
        <v>151</v>
      </c>
      <c r="D17" s="132"/>
      <c r="E17" s="7"/>
      <c r="H17" s="33">
        <f>H13+H11+H9+H7+H6</f>
        <v>14533.333333333334</v>
      </c>
      <c r="I17" s="33">
        <f t="shared" ref="I17:AK17" si="16">I13+I11+I9+I7+I6</f>
        <v>14533.333333333334</v>
      </c>
      <c r="J17" s="33">
        <f t="shared" si="16"/>
        <v>14533.333333333334</v>
      </c>
      <c r="K17" s="33">
        <f t="shared" si="16"/>
        <v>14533.333333333334</v>
      </c>
      <c r="L17" s="33">
        <f t="shared" si="16"/>
        <v>14533.333333333334</v>
      </c>
      <c r="M17" s="33">
        <f t="shared" si="16"/>
        <v>14533.333333333334</v>
      </c>
      <c r="N17" s="33">
        <f t="shared" si="16"/>
        <v>14533.333333333334</v>
      </c>
      <c r="O17" s="33">
        <f t="shared" si="16"/>
        <v>25887.5</v>
      </c>
      <c r="P17" s="33">
        <f t="shared" si="16"/>
        <v>25887.5</v>
      </c>
      <c r="Q17" s="33">
        <f t="shared" si="16"/>
        <v>25887.5</v>
      </c>
      <c r="R17" s="33">
        <f t="shared" si="16"/>
        <v>25887.5</v>
      </c>
      <c r="S17" s="33">
        <f t="shared" si="16"/>
        <v>37241.666666666664</v>
      </c>
      <c r="T17" s="33">
        <f t="shared" si="16"/>
        <v>37241.666666666664</v>
      </c>
      <c r="U17" s="33">
        <f t="shared" si="16"/>
        <v>37241.666666666664</v>
      </c>
      <c r="V17" s="33">
        <f t="shared" si="16"/>
        <v>37241.666666666664</v>
      </c>
      <c r="W17" s="33">
        <f t="shared" si="16"/>
        <v>37241.666666666664</v>
      </c>
      <c r="X17" s="33">
        <f t="shared" si="16"/>
        <v>37241.666666666664</v>
      </c>
      <c r="Y17" s="33">
        <f t="shared" si="16"/>
        <v>37241.666666666664</v>
      </c>
      <c r="Z17" s="33">
        <f t="shared" si="16"/>
        <v>40875</v>
      </c>
      <c r="AA17" s="33">
        <f t="shared" si="16"/>
        <v>40875</v>
      </c>
      <c r="AB17" s="33">
        <f t="shared" si="16"/>
        <v>40875</v>
      </c>
      <c r="AC17" s="33">
        <f t="shared" si="16"/>
        <v>40875</v>
      </c>
      <c r="AD17" s="33">
        <f t="shared" si="16"/>
        <v>40875</v>
      </c>
      <c r="AE17" s="33">
        <f t="shared" si="16"/>
        <v>40875</v>
      </c>
      <c r="AG17" s="95">
        <f t="shared" si="3"/>
        <v>242524.99999999997</v>
      </c>
      <c r="AH17" s="95">
        <f t="shared" si="4"/>
        <v>468700</v>
      </c>
      <c r="AI17" s="84">
        <f t="shared" si="16"/>
        <v>626750</v>
      </c>
      <c r="AJ17" s="84">
        <f t="shared" si="16"/>
        <v>626750</v>
      </c>
      <c r="AK17" s="84">
        <f t="shared" si="16"/>
        <v>626750</v>
      </c>
    </row>
    <row r="18" spans="1:37">
      <c r="D18" s="132"/>
      <c r="E18" s="7"/>
      <c r="H18" s="33"/>
      <c r="I18" s="33"/>
      <c r="J18" s="33"/>
      <c r="K18" s="33"/>
      <c r="L18" s="33"/>
      <c r="M18" s="33"/>
      <c r="N18" s="33"/>
      <c r="O18" s="33"/>
      <c r="P18" s="33"/>
      <c r="Q18" s="33"/>
      <c r="R18" s="33"/>
      <c r="S18" s="33"/>
      <c r="T18" s="33"/>
      <c r="U18" s="33"/>
      <c r="V18" s="33"/>
      <c r="W18" s="33"/>
      <c r="X18" s="39"/>
      <c r="Y18" s="33"/>
      <c r="Z18" s="39"/>
      <c r="AA18" s="33"/>
      <c r="AB18" s="33"/>
      <c r="AC18" s="33"/>
      <c r="AD18" s="33"/>
      <c r="AE18" s="33"/>
      <c r="AG18" s="95"/>
      <c r="AH18" s="95"/>
      <c r="AI18" s="84"/>
      <c r="AJ18" s="84"/>
      <c r="AK18" s="84"/>
    </row>
    <row r="19" spans="1:37">
      <c r="A19" t="s">
        <v>107</v>
      </c>
      <c r="D19" s="132"/>
      <c r="E19" s="7"/>
      <c r="H19" s="33"/>
      <c r="I19" s="33"/>
      <c r="J19" s="33"/>
      <c r="K19" s="33"/>
      <c r="L19" s="33"/>
      <c r="M19" s="33"/>
      <c r="N19" s="33"/>
      <c r="O19" s="33"/>
      <c r="P19" s="33"/>
      <c r="Q19" s="33"/>
      <c r="R19" s="33"/>
      <c r="S19" s="33"/>
      <c r="T19" s="33"/>
      <c r="U19" s="33"/>
      <c r="V19" s="33"/>
      <c r="W19" s="33"/>
      <c r="X19" s="39"/>
      <c r="Y19" s="33"/>
      <c r="Z19" s="39"/>
      <c r="AA19" s="33"/>
      <c r="AB19" s="33"/>
      <c r="AC19" s="33"/>
      <c r="AD19" s="33"/>
      <c r="AE19" s="33"/>
      <c r="AG19" s="95"/>
      <c r="AH19" s="95"/>
      <c r="AI19" s="84"/>
      <c r="AJ19" s="84"/>
      <c r="AK19" s="84"/>
    </row>
    <row r="20" spans="1:37">
      <c r="B20" t="s">
        <v>126</v>
      </c>
      <c r="D20" s="132">
        <v>115000</v>
      </c>
      <c r="E20" s="7">
        <f>1.09*D20</f>
        <v>125350.00000000001</v>
      </c>
      <c r="H20" s="33">
        <f>$E20/12*H21</f>
        <v>0</v>
      </c>
      <c r="I20" s="33">
        <f t="shared" ref="I20:AE20" si="17">$E20/12*I21</f>
        <v>0</v>
      </c>
      <c r="J20" s="33">
        <f t="shared" si="17"/>
        <v>0</v>
      </c>
      <c r="K20" s="33">
        <f t="shared" si="17"/>
        <v>0</v>
      </c>
      <c r="L20" s="33">
        <f t="shared" si="17"/>
        <v>10445.833333333334</v>
      </c>
      <c r="M20" s="33">
        <f t="shared" si="17"/>
        <v>10445.833333333334</v>
      </c>
      <c r="N20" s="33">
        <f t="shared" si="17"/>
        <v>10445.833333333334</v>
      </c>
      <c r="O20" s="33">
        <f t="shared" si="17"/>
        <v>10445.833333333334</v>
      </c>
      <c r="P20" s="33">
        <f t="shared" si="17"/>
        <v>10445.833333333334</v>
      </c>
      <c r="Q20" s="33">
        <f t="shared" si="17"/>
        <v>10445.833333333334</v>
      </c>
      <c r="R20" s="33">
        <f t="shared" si="17"/>
        <v>10445.833333333334</v>
      </c>
      <c r="S20" s="33">
        <f t="shared" si="17"/>
        <v>20891.666666666668</v>
      </c>
      <c r="T20" s="33">
        <f t="shared" si="17"/>
        <v>20891.666666666668</v>
      </c>
      <c r="U20" s="33">
        <f t="shared" si="17"/>
        <v>20891.666666666668</v>
      </c>
      <c r="V20" s="33">
        <f t="shared" si="17"/>
        <v>20891.666666666668</v>
      </c>
      <c r="W20" s="33">
        <f t="shared" si="17"/>
        <v>31337.5</v>
      </c>
      <c r="X20" s="33">
        <f t="shared" si="17"/>
        <v>31337.5</v>
      </c>
      <c r="Y20" s="33">
        <f t="shared" si="17"/>
        <v>31337.5</v>
      </c>
      <c r="Z20" s="39">
        <f t="shared" si="17"/>
        <v>31337.5</v>
      </c>
      <c r="AA20" s="33">
        <f t="shared" si="17"/>
        <v>31337.5</v>
      </c>
      <c r="AB20" s="33">
        <f t="shared" si="17"/>
        <v>52229.166666666672</v>
      </c>
      <c r="AC20" s="33">
        <f t="shared" si="17"/>
        <v>52229.166666666672</v>
      </c>
      <c r="AD20" s="33">
        <f t="shared" si="17"/>
        <v>52229.166666666672</v>
      </c>
      <c r="AE20" s="33">
        <f t="shared" si="17"/>
        <v>52229.166666666672</v>
      </c>
      <c r="AG20" s="95">
        <f t="shared" si="3"/>
        <v>94012.500000000015</v>
      </c>
      <c r="AH20" s="95">
        <f t="shared" si="4"/>
        <v>428279.16666666674</v>
      </c>
      <c r="AI20" s="84">
        <f>$E20*AI21</f>
        <v>626750.00000000012</v>
      </c>
      <c r="AJ20" s="84">
        <f t="shared" ref="AJ20:AK20" si="18">$E20*AJ21</f>
        <v>626750.00000000012</v>
      </c>
      <c r="AK20" s="84">
        <f t="shared" si="18"/>
        <v>752100.00000000012</v>
      </c>
    </row>
    <row r="21" spans="1:37" s="61" customFormat="1">
      <c r="C21" s="61" t="s">
        <v>130</v>
      </c>
      <c r="D21" s="204"/>
      <c r="E21" s="139"/>
      <c r="F21" s="61" t="s">
        <v>198</v>
      </c>
      <c r="H21" s="62">
        <f>IF(G$3&gt;100000,(4+CEILING((G$3-100000)/300000,1)),IF(G$3&gt;50000,3,IF(G$3&gt;10000,2,IF(G$3&gt;100,1,0))))</f>
        <v>0</v>
      </c>
      <c r="I21" s="62">
        <f t="shared" ref="I21:AK21" si="19">IF(H$3&gt;100000,(4+CEILING((H$3-100000)/300000,1)),IF(H$3&gt;50000,3,IF(H$3&gt;10000,2,IF(H$3&gt;100,1,0))))</f>
        <v>0</v>
      </c>
      <c r="J21" s="62">
        <f t="shared" si="19"/>
        <v>0</v>
      </c>
      <c r="K21" s="62">
        <f t="shared" si="19"/>
        <v>0</v>
      </c>
      <c r="L21" s="62">
        <f t="shared" si="19"/>
        <v>1</v>
      </c>
      <c r="M21" s="62">
        <f t="shared" si="19"/>
        <v>1</v>
      </c>
      <c r="N21" s="62">
        <f t="shared" si="19"/>
        <v>1</v>
      </c>
      <c r="O21" s="62">
        <f t="shared" si="19"/>
        <v>1</v>
      </c>
      <c r="P21" s="62">
        <f t="shared" si="19"/>
        <v>1</v>
      </c>
      <c r="Q21" s="62">
        <f t="shared" si="19"/>
        <v>1</v>
      </c>
      <c r="R21" s="62">
        <f t="shared" si="19"/>
        <v>1</v>
      </c>
      <c r="S21" s="62">
        <f t="shared" si="19"/>
        <v>2</v>
      </c>
      <c r="T21" s="62">
        <f t="shared" si="19"/>
        <v>2</v>
      </c>
      <c r="U21" s="62">
        <f t="shared" si="19"/>
        <v>2</v>
      </c>
      <c r="V21" s="62">
        <f t="shared" si="19"/>
        <v>2</v>
      </c>
      <c r="W21" s="62">
        <f t="shared" si="19"/>
        <v>3</v>
      </c>
      <c r="X21" s="62">
        <f t="shared" si="19"/>
        <v>3</v>
      </c>
      <c r="Y21" s="62">
        <f t="shared" si="19"/>
        <v>3</v>
      </c>
      <c r="Z21" s="62">
        <f t="shared" si="19"/>
        <v>3</v>
      </c>
      <c r="AA21" s="62">
        <f t="shared" si="19"/>
        <v>3</v>
      </c>
      <c r="AB21" s="62">
        <f t="shared" si="19"/>
        <v>5</v>
      </c>
      <c r="AC21" s="62">
        <f t="shared" si="19"/>
        <v>5</v>
      </c>
      <c r="AD21" s="62">
        <f t="shared" si="19"/>
        <v>5</v>
      </c>
      <c r="AE21" s="62">
        <f t="shared" si="19"/>
        <v>5</v>
      </c>
      <c r="AF21"/>
      <c r="AG21" s="96">
        <f>S21</f>
        <v>2</v>
      </c>
      <c r="AH21" s="96">
        <f>AE21</f>
        <v>5</v>
      </c>
      <c r="AI21" s="89">
        <f t="shared" si="19"/>
        <v>5</v>
      </c>
      <c r="AJ21" s="89">
        <f t="shared" si="19"/>
        <v>5</v>
      </c>
      <c r="AK21" s="89">
        <f t="shared" si="19"/>
        <v>6</v>
      </c>
    </row>
    <row r="22" spans="1:37">
      <c r="B22" t="s">
        <v>298</v>
      </c>
      <c r="D22" s="132">
        <v>115000</v>
      </c>
      <c r="E22" s="7">
        <f t="shared" ref="E22:E50" si="20">1.09*D22</f>
        <v>125350.00000000001</v>
      </c>
      <c r="H22" s="33">
        <f>$E22/12*H23</f>
        <v>0</v>
      </c>
      <c r="I22" s="33">
        <f t="shared" ref="I22:AE22" si="21">$E22/12*I23</f>
        <v>0</v>
      </c>
      <c r="J22" s="33">
        <f t="shared" si="21"/>
        <v>0</v>
      </c>
      <c r="K22" s="33">
        <f t="shared" si="21"/>
        <v>0</v>
      </c>
      <c r="L22" s="33">
        <f t="shared" si="21"/>
        <v>0</v>
      </c>
      <c r="M22" s="33">
        <f t="shared" si="21"/>
        <v>0</v>
      </c>
      <c r="N22" s="33">
        <f t="shared" si="21"/>
        <v>0</v>
      </c>
      <c r="O22" s="33">
        <f t="shared" si="21"/>
        <v>0</v>
      </c>
      <c r="P22" s="33">
        <f t="shared" si="21"/>
        <v>0</v>
      </c>
      <c r="Q22" s="33">
        <f t="shared" si="21"/>
        <v>0</v>
      </c>
      <c r="R22" s="33">
        <f t="shared" si="21"/>
        <v>0</v>
      </c>
      <c r="S22" s="33">
        <f t="shared" si="21"/>
        <v>0</v>
      </c>
      <c r="T22" s="33">
        <f t="shared" si="21"/>
        <v>0</v>
      </c>
      <c r="U22" s="33">
        <f t="shared" si="21"/>
        <v>0</v>
      </c>
      <c r="V22" s="33">
        <f t="shared" si="21"/>
        <v>0</v>
      </c>
      <c r="W22" s="33">
        <f t="shared" si="21"/>
        <v>0</v>
      </c>
      <c r="X22" s="33">
        <f t="shared" si="21"/>
        <v>10445.833333333334</v>
      </c>
      <c r="Y22" s="33">
        <f t="shared" si="21"/>
        <v>10445.833333333334</v>
      </c>
      <c r="Z22" s="39">
        <f t="shared" si="21"/>
        <v>10445.833333333334</v>
      </c>
      <c r="AA22" s="33">
        <f t="shared" si="21"/>
        <v>10445.833333333334</v>
      </c>
      <c r="AB22" s="33">
        <f t="shared" si="21"/>
        <v>10445.833333333334</v>
      </c>
      <c r="AC22" s="33">
        <f t="shared" si="21"/>
        <v>31337.5</v>
      </c>
      <c r="AD22" s="33">
        <f t="shared" si="21"/>
        <v>31337.5</v>
      </c>
      <c r="AE22" s="33">
        <f t="shared" si="21"/>
        <v>31337.5</v>
      </c>
      <c r="AG22" s="95">
        <f t="shared" si="3"/>
        <v>0</v>
      </c>
      <c r="AH22" s="95">
        <f t="shared" si="4"/>
        <v>146241.66666666669</v>
      </c>
      <c r="AI22" s="84">
        <f>$E22*AI23</f>
        <v>376050.00000000006</v>
      </c>
      <c r="AJ22" s="84">
        <f t="shared" ref="AJ22:AK22" si="22">$E22*AJ23</f>
        <v>376050.00000000006</v>
      </c>
      <c r="AK22" s="84">
        <f t="shared" si="22"/>
        <v>376050.00000000006</v>
      </c>
    </row>
    <row r="23" spans="1:37" s="61" customFormat="1">
      <c r="C23" s="61" t="s">
        <v>130</v>
      </c>
      <c r="D23" s="204"/>
      <c r="E23" s="139"/>
      <c r="F23" s="61" t="s">
        <v>188</v>
      </c>
      <c r="H23" s="62">
        <f>FLOOR((G$21+G$25+G$27+G$29+G$31)/5,1)</f>
        <v>0</v>
      </c>
      <c r="I23" s="62">
        <f t="shared" ref="I23:AE23" si="23">FLOOR((H$21+H$25+H$27+H$29+H$31)/5,1)</f>
        <v>0</v>
      </c>
      <c r="J23" s="62">
        <f t="shared" si="23"/>
        <v>0</v>
      </c>
      <c r="K23" s="62">
        <f t="shared" si="23"/>
        <v>0</v>
      </c>
      <c r="L23" s="62">
        <f t="shared" si="23"/>
        <v>0</v>
      </c>
      <c r="M23" s="62">
        <f t="shared" si="23"/>
        <v>0</v>
      </c>
      <c r="N23" s="62">
        <f t="shared" si="23"/>
        <v>0</v>
      </c>
      <c r="O23" s="62">
        <f t="shared" si="23"/>
        <v>0</v>
      </c>
      <c r="P23" s="62">
        <f t="shared" si="23"/>
        <v>0</v>
      </c>
      <c r="Q23" s="62">
        <f t="shared" si="23"/>
        <v>0</v>
      </c>
      <c r="R23" s="62">
        <f t="shared" si="23"/>
        <v>0</v>
      </c>
      <c r="S23" s="62">
        <f t="shared" si="23"/>
        <v>0</v>
      </c>
      <c r="T23" s="62">
        <f t="shared" si="23"/>
        <v>0</v>
      </c>
      <c r="U23" s="62">
        <f t="shared" si="23"/>
        <v>0</v>
      </c>
      <c r="V23" s="62">
        <f t="shared" si="23"/>
        <v>0</v>
      </c>
      <c r="W23" s="62">
        <f t="shared" si="23"/>
        <v>0</v>
      </c>
      <c r="X23" s="62">
        <f t="shared" si="23"/>
        <v>1</v>
      </c>
      <c r="Y23" s="62">
        <f t="shared" si="23"/>
        <v>1</v>
      </c>
      <c r="Z23" s="62">
        <f t="shared" si="23"/>
        <v>1</v>
      </c>
      <c r="AA23" s="62">
        <f t="shared" si="23"/>
        <v>1</v>
      </c>
      <c r="AB23" s="62">
        <f t="shared" si="23"/>
        <v>1</v>
      </c>
      <c r="AC23" s="62">
        <f t="shared" si="23"/>
        <v>3</v>
      </c>
      <c r="AD23" s="62">
        <f t="shared" si="23"/>
        <v>3</v>
      </c>
      <c r="AE23" s="62">
        <f t="shared" si="23"/>
        <v>3</v>
      </c>
      <c r="AF23"/>
      <c r="AG23" s="96">
        <f>S23</f>
        <v>0</v>
      </c>
      <c r="AH23" s="96">
        <f>AE23</f>
        <v>3</v>
      </c>
      <c r="AI23" s="89">
        <f>FLOOR((AH21+AH25+AH27+AH29+AH31)/5,1)</f>
        <v>3</v>
      </c>
      <c r="AJ23" s="89">
        <f t="shared" ref="AJ23:AK23" si="24">FLOOR((AI21+AI25+AI27+AI29+AI31)/5,1)</f>
        <v>3</v>
      </c>
      <c r="AK23" s="89">
        <f t="shared" si="24"/>
        <v>3</v>
      </c>
    </row>
    <row r="24" spans="1:37">
      <c r="B24" t="s">
        <v>118</v>
      </c>
      <c r="D24" s="132">
        <v>90000</v>
      </c>
      <c r="E24" s="7">
        <f t="shared" si="20"/>
        <v>98100</v>
      </c>
      <c r="H24" s="33">
        <f>$E24/12*H25</f>
        <v>0</v>
      </c>
      <c r="I24" s="33">
        <f t="shared" ref="I24:AE24" si="25">$E24/12*I25</f>
        <v>0</v>
      </c>
      <c r="J24" s="33">
        <f t="shared" si="25"/>
        <v>0</v>
      </c>
      <c r="K24" s="33">
        <f t="shared" si="25"/>
        <v>0</v>
      </c>
      <c r="L24" s="33">
        <f t="shared" si="25"/>
        <v>8175</v>
      </c>
      <c r="M24" s="33">
        <f t="shared" si="25"/>
        <v>8175</v>
      </c>
      <c r="N24" s="33">
        <f t="shared" si="25"/>
        <v>8175</v>
      </c>
      <c r="O24" s="33">
        <f t="shared" si="25"/>
        <v>8175</v>
      </c>
      <c r="P24" s="33">
        <f t="shared" si="25"/>
        <v>8175</v>
      </c>
      <c r="Q24" s="33">
        <f t="shared" si="25"/>
        <v>8175</v>
      </c>
      <c r="R24" s="33">
        <f t="shared" si="25"/>
        <v>8175</v>
      </c>
      <c r="S24" s="33">
        <f t="shared" si="25"/>
        <v>16350</v>
      </c>
      <c r="T24" s="33">
        <f t="shared" si="25"/>
        <v>16350</v>
      </c>
      <c r="U24" s="33">
        <f t="shared" si="25"/>
        <v>16350</v>
      </c>
      <c r="V24" s="33">
        <f t="shared" si="25"/>
        <v>16350</v>
      </c>
      <c r="W24" s="33">
        <f t="shared" si="25"/>
        <v>24525</v>
      </c>
      <c r="X24" s="33">
        <f t="shared" si="25"/>
        <v>24525</v>
      </c>
      <c r="Y24" s="33">
        <f t="shared" si="25"/>
        <v>24525</v>
      </c>
      <c r="Z24" s="39">
        <f t="shared" si="25"/>
        <v>24525</v>
      </c>
      <c r="AA24" s="33">
        <f t="shared" si="25"/>
        <v>24525</v>
      </c>
      <c r="AB24" s="33">
        <f t="shared" si="25"/>
        <v>40875</v>
      </c>
      <c r="AC24" s="33">
        <f t="shared" si="25"/>
        <v>40875</v>
      </c>
      <c r="AD24" s="33">
        <f t="shared" si="25"/>
        <v>40875</v>
      </c>
      <c r="AE24" s="33">
        <f t="shared" si="25"/>
        <v>40875</v>
      </c>
      <c r="AG24" s="95">
        <f t="shared" si="3"/>
        <v>73575</v>
      </c>
      <c r="AH24" s="95">
        <f t="shared" si="4"/>
        <v>335175</v>
      </c>
      <c r="AI24" s="84">
        <f>$E24*AI25</f>
        <v>490500</v>
      </c>
      <c r="AJ24" s="84">
        <f t="shared" ref="AJ24:AK24" si="26">$E24*AJ25</f>
        <v>490500</v>
      </c>
      <c r="AK24" s="84">
        <f t="shared" si="26"/>
        <v>588600</v>
      </c>
    </row>
    <row r="25" spans="1:37" s="61" customFormat="1">
      <c r="C25" s="61" t="s">
        <v>130</v>
      </c>
      <c r="D25" s="204"/>
      <c r="E25" s="139"/>
      <c r="F25" s="61" t="s">
        <v>198</v>
      </c>
      <c r="H25" s="62">
        <f>IF(G$3&gt;100000,(4+CEILING((G$3-100000)/300000,1)),IF(G$3&gt;50000,3,IF(G$3&gt;10000,2,IF(G$3&gt;100,1,0))))</f>
        <v>0</v>
      </c>
      <c r="I25" s="62">
        <f t="shared" ref="I25:AK25" si="27">IF(H$3&gt;100000,(4+CEILING((H$3-100000)/300000,1)),IF(H$3&gt;50000,3,IF(H$3&gt;10000,2,IF(H$3&gt;100,1,0))))</f>
        <v>0</v>
      </c>
      <c r="J25" s="62">
        <f t="shared" si="27"/>
        <v>0</v>
      </c>
      <c r="K25" s="62">
        <f t="shared" si="27"/>
        <v>0</v>
      </c>
      <c r="L25" s="62">
        <f t="shared" si="27"/>
        <v>1</v>
      </c>
      <c r="M25" s="62">
        <f t="shared" si="27"/>
        <v>1</v>
      </c>
      <c r="N25" s="62">
        <f t="shared" si="27"/>
        <v>1</v>
      </c>
      <c r="O25" s="62">
        <f t="shared" si="27"/>
        <v>1</v>
      </c>
      <c r="P25" s="62">
        <f t="shared" si="27"/>
        <v>1</v>
      </c>
      <c r="Q25" s="62">
        <f t="shared" si="27"/>
        <v>1</v>
      </c>
      <c r="R25" s="62">
        <f t="shared" si="27"/>
        <v>1</v>
      </c>
      <c r="S25" s="62">
        <f t="shared" si="27"/>
        <v>2</v>
      </c>
      <c r="T25" s="62">
        <f t="shared" si="27"/>
        <v>2</v>
      </c>
      <c r="U25" s="62">
        <f t="shared" si="27"/>
        <v>2</v>
      </c>
      <c r="V25" s="62">
        <f t="shared" si="27"/>
        <v>2</v>
      </c>
      <c r="W25" s="62">
        <f t="shared" si="27"/>
        <v>3</v>
      </c>
      <c r="X25" s="62">
        <f t="shared" si="27"/>
        <v>3</v>
      </c>
      <c r="Y25" s="62">
        <f t="shared" si="27"/>
        <v>3</v>
      </c>
      <c r="Z25" s="62">
        <f t="shared" si="27"/>
        <v>3</v>
      </c>
      <c r="AA25" s="62">
        <f t="shared" si="27"/>
        <v>3</v>
      </c>
      <c r="AB25" s="62">
        <f t="shared" si="27"/>
        <v>5</v>
      </c>
      <c r="AC25" s="62">
        <f t="shared" si="27"/>
        <v>5</v>
      </c>
      <c r="AD25" s="62">
        <f t="shared" si="27"/>
        <v>5</v>
      </c>
      <c r="AE25" s="62">
        <f t="shared" si="27"/>
        <v>5</v>
      </c>
      <c r="AF25"/>
      <c r="AG25" s="96">
        <f>S25</f>
        <v>2</v>
      </c>
      <c r="AH25" s="96">
        <f>AE25</f>
        <v>5</v>
      </c>
      <c r="AI25" s="89">
        <f t="shared" si="27"/>
        <v>5</v>
      </c>
      <c r="AJ25" s="89">
        <f t="shared" si="27"/>
        <v>5</v>
      </c>
      <c r="AK25" s="89">
        <f t="shared" si="27"/>
        <v>6</v>
      </c>
    </row>
    <row r="26" spans="1:37">
      <c r="B26" t="s">
        <v>119</v>
      </c>
      <c r="D26" s="132">
        <v>100000</v>
      </c>
      <c r="E26" s="7">
        <f t="shared" si="20"/>
        <v>109000.00000000001</v>
      </c>
      <c r="H26" s="33">
        <f>$E26/12*H27</f>
        <v>0</v>
      </c>
      <c r="I26" s="33">
        <f t="shared" ref="I26:AE26" si="28">$E26/12*I27</f>
        <v>0</v>
      </c>
      <c r="J26" s="33">
        <f t="shared" si="28"/>
        <v>0</v>
      </c>
      <c r="K26" s="33">
        <f t="shared" si="28"/>
        <v>0</v>
      </c>
      <c r="L26" s="33">
        <f t="shared" si="28"/>
        <v>0</v>
      </c>
      <c r="M26" s="33">
        <f t="shared" si="28"/>
        <v>0</v>
      </c>
      <c r="N26" s="33">
        <f t="shared" si="28"/>
        <v>0</v>
      </c>
      <c r="O26" s="33">
        <f t="shared" si="28"/>
        <v>0</v>
      </c>
      <c r="P26" s="33">
        <f t="shared" si="28"/>
        <v>0</v>
      </c>
      <c r="Q26" s="33">
        <f t="shared" si="28"/>
        <v>0</v>
      </c>
      <c r="R26" s="33">
        <f t="shared" si="28"/>
        <v>0</v>
      </c>
      <c r="S26" s="33">
        <f t="shared" si="28"/>
        <v>0</v>
      </c>
      <c r="T26" s="33">
        <f t="shared" si="28"/>
        <v>0</v>
      </c>
      <c r="U26" s="33">
        <f t="shared" si="28"/>
        <v>0</v>
      </c>
      <c r="V26" s="33">
        <f t="shared" si="28"/>
        <v>0</v>
      </c>
      <c r="W26" s="33">
        <f t="shared" si="28"/>
        <v>9083.3333333333339</v>
      </c>
      <c r="X26" s="33">
        <f t="shared" si="28"/>
        <v>9083.3333333333339</v>
      </c>
      <c r="Y26" s="33">
        <f t="shared" si="28"/>
        <v>9083.3333333333339</v>
      </c>
      <c r="Z26" s="39">
        <f t="shared" si="28"/>
        <v>9083.3333333333339</v>
      </c>
      <c r="AA26" s="33">
        <f t="shared" si="28"/>
        <v>9083.3333333333339</v>
      </c>
      <c r="AB26" s="33">
        <f t="shared" si="28"/>
        <v>18166.666666666668</v>
      </c>
      <c r="AC26" s="33">
        <f t="shared" si="28"/>
        <v>18166.666666666668</v>
      </c>
      <c r="AD26" s="33">
        <f t="shared" si="28"/>
        <v>18166.666666666668</v>
      </c>
      <c r="AE26" s="33">
        <f t="shared" si="28"/>
        <v>18166.666666666668</v>
      </c>
      <c r="AG26" s="95">
        <f t="shared" si="3"/>
        <v>0</v>
      </c>
      <c r="AH26" s="95">
        <f t="shared" si="4"/>
        <v>118083.33333333336</v>
      </c>
      <c r="AI26" s="84">
        <f>$E26*AI27</f>
        <v>218000.00000000003</v>
      </c>
      <c r="AJ26" s="84">
        <f t="shared" ref="AJ26:AK26" si="29">$E26*AJ27</f>
        <v>327000.00000000006</v>
      </c>
      <c r="AK26" s="84">
        <f t="shared" si="29"/>
        <v>436000.00000000006</v>
      </c>
    </row>
    <row r="27" spans="1:37" s="61" customFormat="1">
      <c r="C27" s="61" t="s">
        <v>130</v>
      </c>
      <c r="D27" s="204"/>
      <c r="E27" s="139"/>
      <c r="F27" s="61" t="s">
        <v>189</v>
      </c>
      <c r="H27" s="62">
        <f>IF(G$3&gt;1000000,5,IF(G$3&gt;500000,4,IF(G$3&gt;250000,3,IF(G$3&gt;100000,2,IF(G$3&gt;50000,1,0)))))</f>
        <v>0</v>
      </c>
      <c r="I27" s="62">
        <f t="shared" ref="I27:AK27" si="30">IF(H$3&gt;1000000,5,IF(H$3&gt;500000,4,IF(H$3&gt;250000,3,IF(H$3&gt;100000,2,IF(H$3&gt;50000,1,0)))))</f>
        <v>0</v>
      </c>
      <c r="J27" s="62">
        <f t="shared" si="30"/>
        <v>0</v>
      </c>
      <c r="K27" s="62">
        <f t="shared" si="30"/>
        <v>0</v>
      </c>
      <c r="L27" s="62">
        <f t="shared" si="30"/>
        <v>0</v>
      </c>
      <c r="M27" s="62">
        <f t="shared" si="30"/>
        <v>0</v>
      </c>
      <c r="N27" s="62">
        <f t="shared" si="30"/>
        <v>0</v>
      </c>
      <c r="O27" s="62">
        <f t="shared" si="30"/>
        <v>0</v>
      </c>
      <c r="P27" s="62">
        <f t="shared" si="30"/>
        <v>0</v>
      </c>
      <c r="Q27" s="62">
        <f t="shared" si="30"/>
        <v>0</v>
      </c>
      <c r="R27" s="62">
        <f t="shared" si="30"/>
        <v>0</v>
      </c>
      <c r="S27" s="62">
        <f t="shared" si="30"/>
        <v>0</v>
      </c>
      <c r="T27" s="62">
        <f t="shared" si="30"/>
        <v>0</v>
      </c>
      <c r="U27" s="62">
        <f t="shared" si="30"/>
        <v>0</v>
      </c>
      <c r="V27" s="62">
        <f t="shared" si="30"/>
        <v>0</v>
      </c>
      <c r="W27" s="62">
        <f t="shared" si="30"/>
        <v>1</v>
      </c>
      <c r="X27" s="62">
        <f t="shared" si="30"/>
        <v>1</v>
      </c>
      <c r="Y27" s="62">
        <f t="shared" si="30"/>
        <v>1</v>
      </c>
      <c r="Z27" s="62">
        <f t="shared" si="30"/>
        <v>1</v>
      </c>
      <c r="AA27" s="62">
        <f t="shared" si="30"/>
        <v>1</v>
      </c>
      <c r="AB27" s="62">
        <f t="shared" si="30"/>
        <v>2</v>
      </c>
      <c r="AC27" s="62">
        <f t="shared" si="30"/>
        <v>2</v>
      </c>
      <c r="AD27" s="62">
        <f t="shared" si="30"/>
        <v>2</v>
      </c>
      <c r="AE27" s="62">
        <f t="shared" si="30"/>
        <v>2</v>
      </c>
      <c r="AF27"/>
      <c r="AG27" s="96">
        <f>S27</f>
        <v>0</v>
      </c>
      <c r="AH27" s="96">
        <f>AE27</f>
        <v>2</v>
      </c>
      <c r="AI27" s="89">
        <f t="shared" si="30"/>
        <v>2</v>
      </c>
      <c r="AJ27" s="89">
        <f t="shared" si="30"/>
        <v>3</v>
      </c>
      <c r="AK27" s="89">
        <f t="shared" si="30"/>
        <v>4</v>
      </c>
    </row>
    <row r="28" spans="1:37">
      <c r="B28" t="s">
        <v>120</v>
      </c>
      <c r="D28" s="132">
        <v>100000</v>
      </c>
      <c r="E28" s="7">
        <f t="shared" si="20"/>
        <v>109000.00000000001</v>
      </c>
      <c r="H28" s="33">
        <f>$E28/12*H29</f>
        <v>0</v>
      </c>
      <c r="I28" s="33">
        <f t="shared" ref="I28:AE28" si="31">$E28/12*I29</f>
        <v>0</v>
      </c>
      <c r="J28" s="33">
        <f t="shared" si="31"/>
        <v>0</v>
      </c>
      <c r="K28" s="33">
        <f t="shared" si="31"/>
        <v>0</v>
      </c>
      <c r="L28" s="33">
        <f t="shared" si="31"/>
        <v>0</v>
      </c>
      <c r="M28" s="33">
        <f t="shared" si="31"/>
        <v>0</v>
      </c>
      <c r="N28" s="33">
        <f t="shared" si="31"/>
        <v>0</v>
      </c>
      <c r="O28" s="33">
        <f t="shared" si="31"/>
        <v>0</v>
      </c>
      <c r="P28" s="33">
        <f t="shared" si="31"/>
        <v>0</v>
      </c>
      <c r="Q28" s="33">
        <f t="shared" si="31"/>
        <v>0</v>
      </c>
      <c r="R28" s="33">
        <f t="shared" si="31"/>
        <v>0</v>
      </c>
      <c r="S28" s="33">
        <f t="shared" si="31"/>
        <v>0</v>
      </c>
      <c r="T28" s="33">
        <f t="shared" si="31"/>
        <v>0</v>
      </c>
      <c r="U28" s="33">
        <f t="shared" si="31"/>
        <v>0</v>
      </c>
      <c r="V28" s="33">
        <f t="shared" si="31"/>
        <v>0</v>
      </c>
      <c r="W28" s="33">
        <f t="shared" si="31"/>
        <v>9083.3333333333339</v>
      </c>
      <c r="X28" s="33">
        <f t="shared" si="31"/>
        <v>9083.3333333333339</v>
      </c>
      <c r="Y28" s="33">
        <f t="shared" si="31"/>
        <v>9083.3333333333339</v>
      </c>
      <c r="Z28" s="39">
        <f t="shared" si="31"/>
        <v>9083.3333333333339</v>
      </c>
      <c r="AA28" s="33">
        <f t="shared" si="31"/>
        <v>9083.3333333333339</v>
      </c>
      <c r="AB28" s="33">
        <f t="shared" si="31"/>
        <v>18166.666666666668</v>
      </c>
      <c r="AC28" s="33">
        <f t="shared" si="31"/>
        <v>18166.666666666668</v>
      </c>
      <c r="AD28" s="33">
        <f t="shared" si="31"/>
        <v>18166.666666666668</v>
      </c>
      <c r="AE28" s="33">
        <f t="shared" si="31"/>
        <v>18166.666666666668</v>
      </c>
      <c r="AG28" s="95">
        <f t="shared" si="3"/>
        <v>0</v>
      </c>
      <c r="AH28" s="95">
        <f t="shared" si="4"/>
        <v>118083.33333333336</v>
      </c>
      <c r="AI28" s="84">
        <f>$E28*AI29</f>
        <v>218000.00000000003</v>
      </c>
      <c r="AJ28" s="84">
        <f t="shared" ref="AJ28:AK28" si="32">$E28*AJ29</f>
        <v>327000.00000000006</v>
      </c>
      <c r="AK28" s="84">
        <f t="shared" si="32"/>
        <v>436000.00000000006</v>
      </c>
    </row>
    <row r="29" spans="1:37" s="61" customFormat="1">
      <c r="C29" s="61" t="s">
        <v>130</v>
      </c>
      <c r="D29" s="204"/>
      <c r="E29" s="139"/>
      <c r="F29" s="61" t="s">
        <v>189</v>
      </c>
      <c r="H29" s="62">
        <f>IF(G$3&gt;1000000,5,IF(G$3&gt;500000,4,IF(G$3&gt;250000,3,IF(G$3&gt;100000,2,IF(G$3&gt;50000,1,0)))))</f>
        <v>0</v>
      </c>
      <c r="I29" s="62">
        <f t="shared" ref="I29:AK29" si="33">IF(H$3&gt;1000000,5,IF(H$3&gt;500000,4,IF(H$3&gt;250000,3,IF(H$3&gt;100000,2,IF(H$3&gt;50000,1,0)))))</f>
        <v>0</v>
      </c>
      <c r="J29" s="62">
        <f t="shared" si="33"/>
        <v>0</v>
      </c>
      <c r="K29" s="62">
        <f t="shared" si="33"/>
        <v>0</v>
      </c>
      <c r="L29" s="62">
        <f t="shared" si="33"/>
        <v>0</v>
      </c>
      <c r="M29" s="62">
        <f t="shared" si="33"/>
        <v>0</v>
      </c>
      <c r="N29" s="62">
        <f t="shared" si="33"/>
        <v>0</v>
      </c>
      <c r="O29" s="62">
        <f t="shared" si="33"/>
        <v>0</v>
      </c>
      <c r="P29" s="62">
        <f t="shared" si="33"/>
        <v>0</v>
      </c>
      <c r="Q29" s="62">
        <f t="shared" si="33"/>
        <v>0</v>
      </c>
      <c r="R29" s="62">
        <f t="shared" si="33"/>
        <v>0</v>
      </c>
      <c r="S29" s="62">
        <f t="shared" si="33"/>
        <v>0</v>
      </c>
      <c r="T29" s="62">
        <f t="shared" si="33"/>
        <v>0</v>
      </c>
      <c r="U29" s="62">
        <f t="shared" si="33"/>
        <v>0</v>
      </c>
      <c r="V29" s="62">
        <f t="shared" si="33"/>
        <v>0</v>
      </c>
      <c r="W29" s="62">
        <f t="shared" si="33"/>
        <v>1</v>
      </c>
      <c r="X29" s="62">
        <f t="shared" si="33"/>
        <v>1</v>
      </c>
      <c r="Y29" s="62">
        <f t="shared" si="33"/>
        <v>1</v>
      </c>
      <c r="Z29" s="62">
        <f t="shared" si="33"/>
        <v>1</v>
      </c>
      <c r="AA29" s="62">
        <f t="shared" si="33"/>
        <v>1</v>
      </c>
      <c r="AB29" s="62">
        <f t="shared" si="33"/>
        <v>2</v>
      </c>
      <c r="AC29" s="62">
        <f t="shared" si="33"/>
        <v>2</v>
      </c>
      <c r="AD29" s="62">
        <f t="shared" si="33"/>
        <v>2</v>
      </c>
      <c r="AE29" s="62">
        <f t="shared" si="33"/>
        <v>2</v>
      </c>
      <c r="AF29"/>
      <c r="AG29" s="96">
        <f>S29</f>
        <v>0</v>
      </c>
      <c r="AH29" s="96">
        <f>AE29</f>
        <v>2</v>
      </c>
      <c r="AI29" s="89">
        <f t="shared" si="33"/>
        <v>2</v>
      </c>
      <c r="AJ29" s="89">
        <f t="shared" si="33"/>
        <v>3</v>
      </c>
      <c r="AK29" s="89">
        <f t="shared" si="33"/>
        <v>4</v>
      </c>
    </row>
    <row r="30" spans="1:37">
      <c r="B30" t="s">
        <v>124</v>
      </c>
      <c r="D30" s="132">
        <v>115000</v>
      </c>
      <c r="E30" s="7">
        <f t="shared" si="20"/>
        <v>125350.00000000001</v>
      </c>
      <c r="H30" s="33">
        <f>$E30/12*H31</f>
        <v>0</v>
      </c>
      <c r="I30" s="33">
        <f t="shared" ref="I30:AE30" si="34">$E30/12*I31</f>
        <v>0</v>
      </c>
      <c r="J30" s="33">
        <f t="shared" si="34"/>
        <v>0</v>
      </c>
      <c r="K30" s="33">
        <f t="shared" si="34"/>
        <v>0</v>
      </c>
      <c r="L30" s="33">
        <f t="shared" si="34"/>
        <v>0</v>
      </c>
      <c r="M30" s="33">
        <f t="shared" si="34"/>
        <v>0</v>
      </c>
      <c r="N30" s="33">
        <f t="shared" si="34"/>
        <v>0</v>
      </c>
      <c r="O30" s="33">
        <f t="shared" si="34"/>
        <v>0</v>
      </c>
      <c r="P30" s="33">
        <f t="shared" si="34"/>
        <v>0</v>
      </c>
      <c r="Q30" s="33">
        <f t="shared" si="34"/>
        <v>0</v>
      </c>
      <c r="R30" s="33">
        <f t="shared" si="34"/>
        <v>0</v>
      </c>
      <c r="S30" s="33">
        <f t="shared" si="34"/>
        <v>0</v>
      </c>
      <c r="T30" s="33">
        <f t="shared" si="34"/>
        <v>0</v>
      </c>
      <c r="U30" s="33">
        <f t="shared" si="34"/>
        <v>0</v>
      </c>
      <c r="V30" s="33">
        <f t="shared" si="34"/>
        <v>0</v>
      </c>
      <c r="W30" s="33">
        <f t="shared" si="34"/>
        <v>10445.833333333334</v>
      </c>
      <c r="X30" s="33">
        <f t="shared" si="34"/>
        <v>10445.833333333334</v>
      </c>
      <c r="Y30" s="33">
        <f t="shared" si="34"/>
        <v>10445.833333333334</v>
      </c>
      <c r="Z30" s="39">
        <f t="shared" si="34"/>
        <v>10445.833333333334</v>
      </c>
      <c r="AA30" s="33">
        <f t="shared" si="34"/>
        <v>10445.833333333334</v>
      </c>
      <c r="AB30" s="33">
        <f t="shared" si="34"/>
        <v>20891.666666666668</v>
      </c>
      <c r="AC30" s="33">
        <f t="shared" si="34"/>
        <v>20891.666666666668</v>
      </c>
      <c r="AD30" s="33">
        <f t="shared" si="34"/>
        <v>20891.666666666668</v>
      </c>
      <c r="AE30" s="33">
        <f t="shared" si="34"/>
        <v>20891.666666666668</v>
      </c>
      <c r="AG30" s="95">
        <f t="shared" si="3"/>
        <v>0</v>
      </c>
      <c r="AH30" s="95">
        <f t="shared" si="4"/>
        <v>135795.83333333334</v>
      </c>
      <c r="AI30" s="84">
        <f>$E30*AI31</f>
        <v>250700.00000000003</v>
      </c>
      <c r="AJ30" s="84">
        <f t="shared" ref="AJ30:AK30" si="35">$E30*AJ31</f>
        <v>250700.00000000003</v>
      </c>
      <c r="AK30" s="84">
        <f t="shared" si="35"/>
        <v>376050.00000000006</v>
      </c>
    </row>
    <row r="31" spans="1:37" s="61" customFormat="1">
      <c r="C31" s="61" t="s">
        <v>130</v>
      </c>
      <c r="D31" s="204"/>
      <c r="E31" s="139"/>
      <c r="F31" s="61" t="s">
        <v>299</v>
      </c>
      <c r="H31" s="62">
        <f>IF(G$3&gt;500000,3,IF(G$3&gt;100000,2,IF(G$3&gt;50000,1,0)))</f>
        <v>0</v>
      </c>
      <c r="I31" s="62">
        <f t="shared" ref="I31:AE31" si="36">IF(H$3&gt;500000,3,IF(H$3&gt;100000,2,IF(H$3&gt;50000,1,0)))</f>
        <v>0</v>
      </c>
      <c r="J31" s="62">
        <f t="shared" si="36"/>
        <v>0</v>
      </c>
      <c r="K31" s="62">
        <f t="shared" si="36"/>
        <v>0</v>
      </c>
      <c r="L31" s="62">
        <f t="shared" si="36"/>
        <v>0</v>
      </c>
      <c r="M31" s="62">
        <f t="shared" si="36"/>
        <v>0</v>
      </c>
      <c r="N31" s="62">
        <f t="shared" si="36"/>
        <v>0</v>
      </c>
      <c r="O31" s="62">
        <f t="shared" si="36"/>
        <v>0</v>
      </c>
      <c r="P31" s="62">
        <f t="shared" si="36"/>
        <v>0</v>
      </c>
      <c r="Q31" s="62">
        <f t="shared" si="36"/>
        <v>0</v>
      </c>
      <c r="R31" s="62">
        <f t="shared" si="36"/>
        <v>0</v>
      </c>
      <c r="S31" s="62">
        <f t="shared" si="36"/>
        <v>0</v>
      </c>
      <c r="T31" s="62">
        <f t="shared" si="36"/>
        <v>0</v>
      </c>
      <c r="U31" s="62">
        <f t="shared" si="36"/>
        <v>0</v>
      </c>
      <c r="V31" s="62">
        <f t="shared" si="36"/>
        <v>0</v>
      </c>
      <c r="W31" s="62">
        <f t="shared" si="36"/>
        <v>1</v>
      </c>
      <c r="X31" s="62">
        <f t="shared" si="36"/>
        <v>1</v>
      </c>
      <c r="Y31" s="62">
        <f t="shared" si="36"/>
        <v>1</v>
      </c>
      <c r="Z31" s="62">
        <f t="shared" si="36"/>
        <v>1</v>
      </c>
      <c r="AA31" s="62">
        <f t="shared" si="36"/>
        <v>1</v>
      </c>
      <c r="AB31" s="62">
        <f t="shared" si="36"/>
        <v>2</v>
      </c>
      <c r="AC31" s="62">
        <f t="shared" si="36"/>
        <v>2</v>
      </c>
      <c r="AD31" s="62">
        <f t="shared" si="36"/>
        <v>2</v>
      </c>
      <c r="AE31" s="62">
        <f t="shared" si="36"/>
        <v>2</v>
      </c>
      <c r="AF31"/>
      <c r="AG31" s="96">
        <f>S31</f>
        <v>0</v>
      </c>
      <c r="AH31" s="96">
        <f>AE31</f>
        <v>2</v>
      </c>
      <c r="AI31" s="89">
        <f>IF(AH$3&gt;500000,3,IF(AH$3&gt;100000,2,IF(AH$3&gt;50000,1,0)))</f>
        <v>2</v>
      </c>
      <c r="AJ31" s="89">
        <f t="shared" ref="AJ31:AK31" si="37">IF(AI$3&gt;500000,3,IF(AI$3&gt;100000,2,IF(AI$3&gt;50000,1,0)))</f>
        <v>2</v>
      </c>
      <c r="AK31" s="89">
        <f t="shared" si="37"/>
        <v>3</v>
      </c>
    </row>
    <row r="32" spans="1:37">
      <c r="B32" t="s">
        <v>125</v>
      </c>
      <c r="D32" s="132">
        <v>125000</v>
      </c>
      <c r="E32" s="7">
        <f t="shared" si="20"/>
        <v>136250</v>
      </c>
      <c r="H32" s="33">
        <f>$E32/12*H33</f>
        <v>0</v>
      </c>
      <c r="I32" s="33">
        <f t="shared" ref="I32:AE32" si="38">$E32/12*I33</f>
        <v>0</v>
      </c>
      <c r="J32" s="33">
        <f t="shared" si="38"/>
        <v>0</v>
      </c>
      <c r="K32" s="33">
        <f t="shared" si="38"/>
        <v>0</v>
      </c>
      <c r="L32" s="33">
        <f t="shared" si="38"/>
        <v>0</v>
      </c>
      <c r="M32" s="33">
        <f t="shared" si="38"/>
        <v>0</v>
      </c>
      <c r="N32" s="33">
        <f t="shared" si="38"/>
        <v>0</v>
      </c>
      <c r="O32" s="33">
        <f t="shared" si="38"/>
        <v>0</v>
      </c>
      <c r="P32" s="33">
        <f t="shared" si="38"/>
        <v>0</v>
      </c>
      <c r="Q32" s="33">
        <f t="shared" si="38"/>
        <v>0</v>
      </c>
      <c r="R32" s="33">
        <f t="shared" si="38"/>
        <v>0</v>
      </c>
      <c r="S32" s="33">
        <f t="shared" si="38"/>
        <v>0</v>
      </c>
      <c r="T32" s="33">
        <f t="shared" si="38"/>
        <v>0</v>
      </c>
      <c r="U32" s="33">
        <f t="shared" si="38"/>
        <v>0</v>
      </c>
      <c r="V32" s="33">
        <f t="shared" si="38"/>
        <v>0</v>
      </c>
      <c r="W32" s="33">
        <f t="shared" si="38"/>
        <v>0</v>
      </c>
      <c r="X32" s="33">
        <f t="shared" si="38"/>
        <v>11354.166666666666</v>
      </c>
      <c r="Y32" s="33">
        <f t="shared" si="38"/>
        <v>11354.166666666666</v>
      </c>
      <c r="Z32" s="39">
        <f t="shared" si="38"/>
        <v>11354.166666666666</v>
      </c>
      <c r="AA32" s="33">
        <f t="shared" si="38"/>
        <v>11354.166666666666</v>
      </c>
      <c r="AB32" s="33">
        <f t="shared" si="38"/>
        <v>11354.166666666666</v>
      </c>
      <c r="AC32" s="33">
        <f t="shared" si="38"/>
        <v>34062.5</v>
      </c>
      <c r="AD32" s="33">
        <f t="shared" si="38"/>
        <v>34062.5</v>
      </c>
      <c r="AE32" s="33">
        <f t="shared" si="38"/>
        <v>34062.5</v>
      </c>
      <c r="AG32" s="95">
        <f t="shared" si="3"/>
        <v>0</v>
      </c>
      <c r="AH32" s="95">
        <f t="shared" si="4"/>
        <v>158958.33333333331</v>
      </c>
      <c r="AI32" s="84">
        <f>$E32*AI33</f>
        <v>408750</v>
      </c>
      <c r="AJ32" s="84">
        <f t="shared" ref="AJ32:AK32" si="39">$E32*AJ33</f>
        <v>408750</v>
      </c>
      <c r="AK32" s="84">
        <f t="shared" si="39"/>
        <v>408750</v>
      </c>
    </row>
    <row r="33" spans="1:37" s="61" customFormat="1">
      <c r="A33" s="65"/>
      <c r="B33" s="65"/>
      <c r="C33" s="65" t="s">
        <v>130</v>
      </c>
      <c r="D33" s="208"/>
      <c r="E33" s="141"/>
      <c r="F33" s="65" t="s">
        <v>188</v>
      </c>
      <c r="G33" s="65"/>
      <c r="H33" s="66">
        <f>FLOOR((G$21+G$25+G$27+G$29+G$31)/5,1)</f>
        <v>0</v>
      </c>
      <c r="I33" s="66">
        <f t="shared" ref="I33:AK33" si="40">FLOOR((H$21+H$25+H$27+H$29+H$31)/5,1)</f>
        <v>0</v>
      </c>
      <c r="J33" s="66">
        <f t="shared" si="40"/>
        <v>0</v>
      </c>
      <c r="K33" s="66">
        <f t="shared" si="40"/>
        <v>0</v>
      </c>
      <c r="L33" s="66">
        <f t="shared" si="40"/>
        <v>0</v>
      </c>
      <c r="M33" s="66">
        <f t="shared" si="40"/>
        <v>0</v>
      </c>
      <c r="N33" s="66">
        <f t="shared" si="40"/>
        <v>0</v>
      </c>
      <c r="O33" s="66">
        <f t="shared" si="40"/>
        <v>0</v>
      </c>
      <c r="P33" s="66">
        <f t="shared" si="40"/>
        <v>0</v>
      </c>
      <c r="Q33" s="66">
        <f t="shared" si="40"/>
        <v>0</v>
      </c>
      <c r="R33" s="66">
        <f t="shared" si="40"/>
        <v>0</v>
      </c>
      <c r="S33" s="66">
        <f t="shared" si="40"/>
        <v>0</v>
      </c>
      <c r="T33" s="66">
        <f t="shared" si="40"/>
        <v>0</v>
      </c>
      <c r="U33" s="66">
        <f t="shared" si="40"/>
        <v>0</v>
      </c>
      <c r="V33" s="66">
        <f t="shared" si="40"/>
        <v>0</v>
      </c>
      <c r="W33" s="66">
        <f t="shared" si="40"/>
        <v>0</v>
      </c>
      <c r="X33" s="66">
        <f t="shared" si="40"/>
        <v>1</v>
      </c>
      <c r="Y33" s="66">
        <f t="shared" si="40"/>
        <v>1</v>
      </c>
      <c r="Z33" s="66">
        <f t="shared" si="40"/>
        <v>1</v>
      </c>
      <c r="AA33" s="66">
        <f t="shared" si="40"/>
        <v>1</v>
      </c>
      <c r="AB33" s="66">
        <f t="shared" si="40"/>
        <v>1</v>
      </c>
      <c r="AC33" s="66">
        <f t="shared" si="40"/>
        <v>3</v>
      </c>
      <c r="AD33" s="66">
        <f t="shared" si="40"/>
        <v>3</v>
      </c>
      <c r="AE33" s="66">
        <f t="shared" si="40"/>
        <v>3</v>
      </c>
      <c r="AF33"/>
      <c r="AG33" s="99">
        <f>S33</f>
        <v>0</v>
      </c>
      <c r="AH33" s="99">
        <f>AE33</f>
        <v>3</v>
      </c>
      <c r="AI33" s="90">
        <f t="shared" si="40"/>
        <v>3</v>
      </c>
      <c r="AJ33" s="90">
        <f t="shared" si="40"/>
        <v>3</v>
      </c>
      <c r="AK33" s="90">
        <f t="shared" si="40"/>
        <v>3</v>
      </c>
    </row>
    <row r="34" spans="1:37">
      <c r="A34" t="s">
        <v>138</v>
      </c>
      <c r="D34" s="132"/>
      <c r="E34" s="7"/>
      <c r="H34" s="33">
        <f>SUM(H33+H31+H29+H27+H25+H23+H21)</f>
        <v>0</v>
      </c>
      <c r="I34" s="33">
        <f t="shared" ref="I34:AC34" si="41">SUM(I33+I31+I29+I27+I25+I23+I21)</f>
        <v>0</v>
      </c>
      <c r="J34" s="33">
        <f t="shared" si="41"/>
        <v>0</v>
      </c>
      <c r="K34" s="33">
        <f t="shared" si="41"/>
        <v>0</v>
      </c>
      <c r="L34" s="33">
        <f t="shared" si="41"/>
        <v>2</v>
      </c>
      <c r="M34" s="33">
        <f t="shared" si="41"/>
        <v>2</v>
      </c>
      <c r="N34" s="33">
        <f t="shared" si="41"/>
        <v>2</v>
      </c>
      <c r="O34" s="33">
        <f t="shared" si="41"/>
        <v>2</v>
      </c>
      <c r="P34" s="33">
        <f t="shared" si="41"/>
        <v>2</v>
      </c>
      <c r="Q34" s="33">
        <f t="shared" si="41"/>
        <v>2</v>
      </c>
      <c r="R34" s="33">
        <f t="shared" si="41"/>
        <v>2</v>
      </c>
      <c r="S34" s="33">
        <f t="shared" si="41"/>
        <v>4</v>
      </c>
      <c r="T34" s="33">
        <f t="shared" si="41"/>
        <v>4</v>
      </c>
      <c r="U34" s="33">
        <f t="shared" si="41"/>
        <v>4</v>
      </c>
      <c r="V34" s="33">
        <f t="shared" si="41"/>
        <v>4</v>
      </c>
      <c r="W34" s="33">
        <f t="shared" si="41"/>
        <v>9</v>
      </c>
      <c r="X34" s="39">
        <f t="shared" si="41"/>
        <v>11</v>
      </c>
      <c r="Y34" s="33">
        <f t="shared" si="41"/>
        <v>11</v>
      </c>
      <c r="Z34" s="39">
        <f t="shared" si="41"/>
        <v>11</v>
      </c>
      <c r="AA34" s="33">
        <f t="shared" si="41"/>
        <v>11</v>
      </c>
      <c r="AB34" s="33">
        <f t="shared" si="41"/>
        <v>18</v>
      </c>
      <c r="AC34" s="33">
        <f t="shared" si="41"/>
        <v>22</v>
      </c>
      <c r="AD34" s="33">
        <f t="shared" ref="AD34" si="42">SUM(AD33+AD31+AD29+AD27+AD25+AD23+AD21)</f>
        <v>22</v>
      </c>
      <c r="AE34" s="33">
        <f t="shared" ref="AE34:AI34" si="43">SUM(AE33+AE31+AE29+AE27+AE25+AE23+AE21)</f>
        <v>22</v>
      </c>
      <c r="AG34" s="95">
        <f>S34</f>
        <v>4</v>
      </c>
      <c r="AH34" s="95">
        <f>AE34</f>
        <v>22</v>
      </c>
      <c r="AI34" s="84">
        <f t="shared" si="43"/>
        <v>22</v>
      </c>
      <c r="AJ34" s="84">
        <f t="shared" ref="AJ34:AK34" si="44">SUM(AJ33+AJ31+AJ29+AJ27+AJ25+AJ23+AJ21)</f>
        <v>24</v>
      </c>
      <c r="AK34" s="84">
        <f t="shared" si="44"/>
        <v>29</v>
      </c>
    </row>
    <row r="35" spans="1:37">
      <c r="A35" t="s">
        <v>152</v>
      </c>
      <c r="D35" s="132"/>
      <c r="E35" s="7"/>
      <c r="H35" s="33">
        <f>H32+H30+H28+H26+H24+H22+H20</f>
        <v>0</v>
      </c>
      <c r="I35" s="33">
        <f t="shared" ref="I35:AE35" si="45">I32+I30+I28+I26+I24+I22+I20</f>
        <v>0</v>
      </c>
      <c r="J35" s="33">
        <f t="shared" si="45"/>
        <v>0</v>
      </c>
      <c r="K35" s="33">
        <f t="shared" si="45"/>
        <v>0</v>
      </c>
      <c r="L35" s="33">
        <f t="shared" si="45"/>
        <v>18620.833333333336</v>
      </c>
      <c r="M35" s="33">
        <f t="shared" si="45"/>
        <v>18620.833333333336</v>
      </c>
      <c r="N35" s="33">
        <f t="shared" si="45"/>
        <v>18620.833333333336</v>
      </c>
      <c r="O35" s="33">
        <f t="shared" si="45"/>
        <v>18620.833333333336</v>
      </c>
      <c r="P35" s="33">
        <f t="shared" si="45"/>
        <v>18620.833333333336</v>
      </c>
      <c r="Q35" s="33">
        <f t="shared" si="45"/>
        <v>18620.833333333336</v>
      </c>
      <c r="R35" s="33">
        <f t="shared" si="45"/>
        <v>18620.833333333336</v>
      </c>
      <c r="S35" s="33">
        <f t="shared" si="45"/>
        <v>37241.666666666672</v>
      </c>
      <c r="T35" s="33">
        <f t="shared" si="45"/>
        <v>37241.666666666672</v>
      </c>
      <c r="U35" s="33">
        <f t="shared" si="45"/>
        <v>37241.666666666672</v>
      </c>
      <c r="V35" s="33">
        <f t="shared" si="45"/>
        <v>37241.666666666672</v>
      </c>
      <c r="W35" s="33">
        <f t="shared" si="45"/>
        <v>84475</v>
      </c>
      <c r="X35" s="33">
        <f t="shared" si="45"/>
        <v>106275</v>
      </c>
      <c r="Y35" s="33">
        <f t="shared" si="45"/>
        <v>106275</v>
      </c>
      <c r="Z35" s="39">
        <f t="shared" si="45"/>
        <v>106275</v>
      </c>
      <c r="AA35" s="33">
        <f t="shared" si="45"/>
        <v>106275</v>
      </c>
      <c r="AB35" s="33">
        <f t="shared" si="45"/>
        <v>172129.16666666669</v>
      </c>
      <c r="AC35" s="33">
        <f t="shared" si="45"/>
        <v>215729.16666666669</v>
      </c>
      <c r="AD35" s="33">
        <f t="shared" si="45"/>
        <v>215729.16666666669</v>
      </c>
      <c r="AE35" s="33">
        <f t="shared" si="45"/>
        <v>215729.16666666669</v>
      </c>
      <c r="AG35" s="95">
        <f t="shared" si="3"/>
        <v>167587.50000000006</v>
      </c>
      <c r="AH35" s="95">
        <f t="shared" si="4"/>
        <v>1440616.666666667</v>
      </c>
      <c r="AI35" s="84">
        <f t="shared" ref="AI35" si="46">AI32+AI30+AI28+AI26+AI24+AI22+AI20</f>
        <v>2588750</v>
      </c>
      <c r="AJ35" s="84">
        <f t="shared" ref="AJ35:AK35" si="47">AJ32+AJ30+AJ28+AJ26+AJ24+AJ22+AJ20</f>
        <v>2806750</v>
      </c>
      <c r="AK35" s="84">
        <f t="shared" si="47"/>
        <v>3373550</v>
      </c>
    </row>
    <row r="36" spans="1:37">
      <c r="D36" s="132"/>
      <c r="E36" s="7"/>
      <c r="H36" s="33"/>
      <c r="I36" s="33"/>
      <c r="J36" s="33"/>
      <c r="K36" s="33"/>
      <c r="L36" s="33"/>
      <c r="M36" s="33"/>
      <c r="N36" s="33"/>
      <c r="O36" s="33"/>
      <c r="P36" s="33"/>
      <c r="Q36" s="33"/>
      <c r="R36" s="33"/>
      <c r="S36" s="33"/>
      <c r="T36" s="33"/>
      <c r="U36" s="33"/>
      <c r="V36" s="33"/>
      <c r="W36" s="33"/>
      <c r="X36" s="39"/>
      <c r="Y36" s="33"/>
      <c r="Z36" s="39"/>
      <c r="AA36" s="33"/>
      <c r="AB36" s="33"/>
      <c r="AC36" s="33"/>
      <c r="AD36" s="33"/>
      <c r="AE36" s="33"/>
      <c r="AG36" s="95"/>
      <c r="AH36" s="95"/>
      <c r="AI36" s="84"/>
      <c r="AJ36" s="84"/>
      <c r="AK36" s="84"/>
    </row>
    <row r="37" spans="1:37">
      <c r="A37" t="s">
        <v>109</v>
      </c>
      <c r="D37" s="132"/>
      <c r="E37" s="7"/>
      <c r="H37" s="33"/>
      <c r="I37" s="33"/>
      <c r="J37" s="33"/>
      <c r="K37" s="33"/>
      <c r="L37" s="33"/>
      <c r="M37" s="33"/>
      <c r="N37" s="33"/>
      <c r="O37" s="33"/>
      <c r="P37" s="33"/>
      <c r="Q37" s="33"/>
      <c r="R37" s="33"/>
      <c r="S37" s="33"/>
      <c r="T37" s="33"/>
      <c r="U37" s="33"/>
      <c r="V37" s="33"/>
      <c r="W37" s="33"/>
      <c r="X37" s="39"/>
      <c r="Y37" s="33"/>
      <c r="Z37" s="39"/>
      <c r="AA37" s="33"/>
      <c r="AB37" s="33"/>
      <c r="AC37" s="33"/>
      <c r="AD37" s="33"/>
      <c r="AE37" s="33"/>
      <c r="AG37" s="95"/>
      <c r="AH37" s="95"/>
      <c r="AI37" s="84"/>
      <c r="AJ37" s="84"/>
      <c r="AK37" s="84"/>
    </row>
    <row r="38" spans="1:37">
      <c r="B38" t="s">
        <v>144</v>
      </c>
      <c r="D38" s="132">
        <v>120000</v>
      </c>
      <c r="E38" s="7">
        <f>1.09*D38</f>
        <v>130800.00000000001</v>
      </c>
      <c r="H38" s="33">
        <f>$E38/12*H39</f>
        <v>0</v>
      </c>
      <c r="I38" s="33">
        <f t="shared" ref="I38:AE38" si="48">$E38/12*I39</f>
        <v>0</v>
      </c>
      <c r="J38" s="33">
        <f t="shared" si="48"/>
        <v>0</v>
      </c>
      <c r="K38" s="33">
        <f t="shared" si="48"/>
        <v>0</v>
      </c>
      <c r="L38" s="33">
        <f t="shared" si="48"/>
        <v>0</v>
      </c>
      <c r="M38" s="33">
        <f t="shared" si="48"/>
        <v>0</v>
      </c>
      <c r="N38" s="33">
        <f t="shared" si="48"/>
        <v>0</v>
      </c>
      <c r="O38" s="33">
        <f t="shared" si="48"/>
        <v>0</v>
      </c>
      <c r="P38" s="33">
        <f t="shared" si="48"/>
        <v>0</v>
      </c>
      <c r="Q38" s="33">
        <f t="shared" si="48"/>
        <v>0</v>
      </c>
      <c r="R38" s="33">
        <f t="shared" si="48"/>
        <v>0</v>
      </c>
      <c r="S38" s="33">
        <f t="shared" si="48"/>
        <v>0</v>
      </c>
      <c r="T38" s="33">
        <f t="shared" si="48"/>
        <v>0</v>
      </c>
      <c r="U38" s="33">
        <f t="shared" si="48"/>
        <v>0</v>
      </c>
      <c r="V38" s="33">
        <f t="shared" si="48"/>
        <v>0</v>
      </c>
      <c r="W38" s="33">
        <f t="shared" si="48"/>
        <v>0</v>
      </c>
      <c r="X38" s="33">
        <f t="shared" si="48"/>
        <v>0</v>
      </c>
      <c r="Y38" s="33">
        <f t="shared" si="48"/>
        <v>0</v>
      </c>
      <c r="Z38" s="39">
        <f t="shared" si="48"/>
        <v>0</v>
      </c>
      <c r="AA38" s="33">
        <f t="shared" si="48"/>
        <v>0</v>
      </c>
      <c r="AB38" s="33">
        <f t="shared" si="48"/>
        <v>0</v>
      </c>
      <c r="AC38" s="33">
        <f t="shared" si="48"/>
        <v>10900.000000000002</v>
      </c>
      <c r="AD38" s="33">
        <f t="shared" si="48"/>
        <v>10900.000000000002</v>
      </c>
      <c r="AE38" s="33">
        <f t="shared" si="48"/>
        <v>10900.000000000002</v>
      </c>
      <c r="AG38" s="95">
        <f t="shared" si="3"/>
        <v>0</v>
      </c>
      <c r="AH38" s="95">
        <f t="shared" si="4"/>
        <v>32700.000000000007</v>
      </c>
      <c r="AI38" s="84">
        <f>$E38*AI39</f>
        <v>130800.00000000001</v>
      </c>
      <c r="AJ38" s="84">
        <f t="shared" ref="AJ38:AK38" si="49">$E38*AJ39</f>
        <v>130800.00000000001</v>
      </c>
      <c r="AK38" s="84">
        <f t="shared" si="49"/>
        <v>130800.00000000001</v>
      </c>
    </row>
    <row r="39" spans="1:37" s="61" customFormat="1">
      <c r="C39" s="61" t="s">
        <v>130</v>
      </c>
      <c r="D39" s="204"/>
      <c r="E39" s="139"/>
      <c r="F39" s="61" t="s">
        <v>191</v>
      </c>
      <c r="H39" s="62">
        <f>IF(G41&gt;3,1,0)</f>
        <v>0</v>
      </c>
      <c r="I39" s="62">
        <f t="shared" ref="I39:AK39" si="50">IF(H41&gt;3,1,0)</f>
        <v>0</v>
      </c>
      <c r="J39" s="62">
        <f t="shared" si="50"/>
        <v>0</v>
      </c>
      <c r="K39" s="62">
        <f t="shared" si="50"/>
        <v>0</v>
      </c>
      <c r="L39" s="62">
        <f t="shared" si="50"/>
        <v>0</v>
      </c>
      <c r="M39" s="62">
        <f t="shared" si="50"/>
        <v>0</v>
      </c>
      <c r="N39" s="62">
        <f t="shared" si="50"/>
        <v>0</v>
      </c>
      <c r="O39" s="62">
        <f t="shared" si="50"/>
        <v>0</v>
      </c>
      <c r="P39" s="62">
        <f t="shared" si="50"/>
        <v>0</v>
      </c>
      <c r="Q39" s="62">
        <f t="shared" si="50"/>
        <v>0</v>
      </c>
      <c r="R39" s="62">
        <f t="shared" si="50"/>
        <v>0</v>
      </c>
      <c r="S39" s="62">
        <f t="shared" si="50"/>
        <v>0</v>
      </c>
      <c r="T39" s="62">
        <f t="shared" si="50"/>
        <v>0</v>
      </c>
      <c r="U39" s="62">
        <f t="shared" si="50"/>
        <v>0</v>
      </c>
      <c r="V39" s="62">
        <f t="shared" si="50"/>
        <v>0</v>
      </c>
      <c r="W39" s="62">
        <f t="shared" si="50"/>
        <v>0</v>
      </c>
      <c r="X39" s="62">
        <f t="shared" si="50"/>
        <v>0</v>
      </c>
      <c r="Y39" s="62">
        <f t="shared" si="50"/>
        <v>0</v>
      </c>
      <c r="Z39" s="62">
        <f t="shared" si="50"/>
        <v>0</v>
      </c>
      <c r="AA39" s="62">
        <f t="shared" si="50"/>
        <v>0</v>
      </c>
      <c r="AB39" s="62">
        <f t="shared" si="50"/>
        <v>0</v>
      </c>
      <c r="AC39" s="62">
        <f t="shared" si="50"/>
        <v>1</v>
      </c>
      <c r="AD39" s="62">
        <f t="shared" si="50"/>
        <v>1</v>
      </c>
      <c r="AE39" s="62">
        <f t="shared" si="50"/>
        <v>1</v>
      </c>
      <c r="AF39"/>
      <c r="AG39" s="96">
        <f>S39</f>
        <v>0</v>
      </c>
      <c r="AH39" s="96">
        <f>AE39</f>
        <v>1</v>
      </c>
      <c r="AI39" s="89">
        <f t="shared" si="50"/>
        <v>1</v>
      </c>
      <c r="AJ39" s="89">
        <f t="shared" si="50"/>
        <v>1</v>
      </c>
      <c r="AK39" s="89">
        <f t="shared" si="50"/>
        <v>1</v>
      </c>
    </row>
    <row r="40" spans="1:37">
      <c r="B40" t="s">
        <v>128</v>
      </c>
      <c r="D40" s="132">
        <v>85000</v>
      </c>
      <c r="E40" s="7">
        <f>1.09*D40</f>
        <v>92650</v>
      </c>
      <c r="H40" s="33">
        <f>$E40/12*H41</f>
        <v>0</v>
      </c>
      <c r="I40" s="33">
        <f t="shared" ref="I40:AE40" si="51">$E40/12*I41</f>
        <v>0</v>
      </c>
      <c r="J40" s="33">
        <f t="shared" si="51"/>
        <v>0</v>
      </c>
      <c r="K40" s="33">
        <f t="shared" si="51"/>
        <v>0</v>
      </c>
      <c r="L40" s="33">
        <f t="shared" si="51"/>
        <v>0</v>
      </c>
      <c r="M40" s="33">
        <f t="shared" si="51"/>
        <v>0</v>
      </c>
      <c r="N40" s="33">
        <f t="shared" si="51"/>
        <v>0</v>
      </c>
      <c r="O40" s="33">
        <f t="shared" si="51"/>
        <v>0</v>
      </c>
      <c r="P40" s="33">
        <f t="shared" si="51"/>
        <v>0</v>
      </c>
      <c r="Q40" s="33">
        <f t="shared" si="51"/>
        <v>0</v>
      </c>
      <c r="R40" s="33">
        <f t="shared" si="51"/>
        <v>0</v>
      </c>
      <c r="S40" s="33">
        <f t="shared" si="51"/>
        <v>7720.833333333333</v>
      </c>
      <c r="T40" s="33">
        <f t="shared" si="51"/>
        <v>7720.833333333333</v>
      </c>
      <c r="U40" s="33">
        <f t="shared" si="51"/>
        <v>7720.833333333333</v>
      </c>
      <c r="V40" s="33">
        <f t="shared" si="51"/>
        <v>7720.833333333333</v>
      </c>
      <c r="W40" s="33">
        <f t="shared" si="51"/>
        <v>15441.666666666666</v>
      </c>
      <c r="X40" s="33">
        <f t="shared" si="51"/>
        <v>15441.666666666666</v>
      </c>
      <c r="Y40" s="33">
        <f t="shared" si="51"/>
        <v>15441.666666666666</v>
      </c>
      <c r="Z40" s="39">
        <f t="shared" si="51"/>
        <v>15441.666666666666</v>
      </c>
      <c r="AA40" s="33">
        <f t="shared" si="51"/>
        <v>15441.666666666666</v>
      </c>
      <c r="AB40" s="33">
        <f t="shared" si="51"/>
        <v>30883.333333333332</v>
      </c>
      <c r="AC40" s="33">
        <f t="shared" si="51"/>
        <v>30883.333333333332</v>
      </c>
      <c r="AD40" s="33">
        <f t="shared" si="51"/>
        <v>30883.333333333332</v>
      </c>
      <c r="AE40" s="33">
        <f t="shared" si="51"/>
        <v>30883.333333333332</v>
      </c>
      <c r="AG40" s="95">
        <f t="shared" si="3"/>
        <v>7720.833333333333</v>
      </c>
      <c r="AH40" s="95">
        <f t="shared" si="4"/>
        <v>223904.16666666672</v>
      </c>
      <c r="AI40" s="84">
        <f>$E40*AI41</f>
        <v>370600</v>
      </c>
      <c r="AJ40" s="84">
        <f t="shared" ref="AJ40:AK40" si="52">$E40*AJ41</f>
        <v>463250</v>
      </c>
      <c r="AK40" s="84">
        <f t="shared" si="52"/>
        <v>648550</v>
      </c>
    </row>
    <row r="41" spans="1:37" s="61" customFormat="1">
      <c r="C41" s="61" t="s">
        <v>130</v>
      </c>
      <c r="D41" s="204"/>
      <c r="E41" s="139"/>
      <c r="F41" s="61" t="s">
        <v>190</v>
      </c>
      <c r="H41" s="62">
        <f>FLOOR((H29+H27+H25)/2,1)</f>
        <v>0</v>
      </c>
      <c r="I41" s="62">
        <f t="shared" ref="I41:AK41" si="53">FLOOR((I29+I27+I25)/2,1)</f>
        <v>0</v>
      </c>
      <c r="J41" s="62">
        <f t="shared" si="53"/>
        <v>0</v>
      </c>
      <c r="K41" s="62">
        <f t="shared" si="53"/>
        <v>0</v>
      </c>
      <c r="L41" s="62">
        <f t="shared" si="53"/>
        <v>0</v>
      </c>
      <c r="M41" s="62">
        <f t="shared" si="53"/>
        <v>0</v>
      </c>
      <c r="N41" s="62">
        <f t="shared" si="53"/>
        <v>0</v>
      </c>
      <c r="O41" s="62">
        <f t="shared" si="53"/>
        <v>0</v>
      </c>
      <c r="P41" s="62">
        <f t="shared" si="53"/>
        <v>0</v>
      </c>
      <c r="Q41" s="62">
        <f t="shared" si="53"/>
        <v>0</v>
      </c>
      <c r="R41" s="62">
        <f t="shared" si="53"/>
        <v>0</v>
      </c>
      <c r="S41" s="62">
        <f t="shared" si="53"/>
        <v>1</v>
      </c>
      <c r="T41" s="62">
        <f t="shared" si="53"/>
        <v>1</v>
      </c>
      <c r="U41" s="62">
        <f t="shared" si="53"/>
        <v>1</v>
      </c>
      <c r="V41" s="62">
        <f t="shared" si="53"/>
        <v>1</v>
      </c>
      <c r="W41" s="62">
        <f t="shared" si="53"/>
        <v>2</v>
      </c>
      <c r="X41" s="62">
        <f t="shared" si="53"/>
        <v>2</v>
      </c>
      <c r="Y41" s="62">
        <f t="shared" si="53"/>
        <v>2</v>
      </c>
      <c r="Z41" s="62">
        <f t="shared" si="53"/>
        <v>2</v>
      </c>
      <c r="AA41" s="62">
        <f t="shared" si="53"/>
        <v>2</v>
      </c>
      <c r="AB41" s="62">
        <f t="shared" si="53"/>
        <v>4</v>
      </c>
      <c r="AC41" s="62">
        <f t="shared" si="53"/>
        <v>4</v>
      </c>
      <c r="AD41" s="62">
        <f t="shared" si="53"/>
        <v>4</v>
      </c>
      <c r="AE41" s="62">
        <f t="shared" si="53"/>
        <v>4</v>
      </c>
      <c r="AF41"/>
      <c r="AG41" s="96">
        <f>S41</f>
        <v>1</v>
      </c>
      <c r="AH41" s="96">
        <f>AE41</f>
        <v>4</v>
      </c>
      <c r="AI41" s="89">
        <f t="shared" si="53"/>
        <v>4</v>
      </c>
      <c r="AJ41" s="89">
        <f t="shared" si="53"/>
        <v>5</v>
      </c>
      <c r="AK41" s="89">
        <f t="shared" si="53"/>
        <v>7</v>
      </c>
    </row>
    <row r="42" spans="1:37">
      <c r="B42" t="s">
        <v>145</v>
      </c>
      <c r="D42" s="132">
        <v>70000</v>
      </c>
      <c r="E42" s="7">
        <f>1.09*D42</f>
        <v>76300</v>
      </c>
      <c r="H42" s="33">
        <f>$E42/12*H43</f>
        <v>0</v>
      </c>
      <c r="I42" s="33">
        <f t="shared" ref="I42:AE42" si="54">$E42/12*I43</f>
        <v>0</v>
      </c>
      <c r="J42" s="33">
        <f t="shared" si="54"/>
        <v>0</v>
      </c>
      <c r="K42" s="33">
        <f t="shared" si="54"/>
        <v>0</v>
      </c>
      <c r="L42" s="33">
        <f t="shared" si="54"/>
        <v>0</v>
      </c>
      <c r="M42" s="33">
        <f t="shared" si="54"/>
        <v>0</v>
      </c>
      <c r="N42" s="33">
        <f t="shared" si="54"/>
        <v>0</v>
      </c>
      <c r="O42" s="33">
        <f t="shared" si="54"/>
        <v>0</v>
      </c>
      <c r="P42" s="33">
        <f t="shared" si="54"/>
        <v>0</v>
      </c>
      <c r="Q42" s="33">
        <f t="shared" si="54"/>
        <v>0</v>
      </c>
      <c r="R42" s="33">
        <f t="shared" si="54"/>
        <v>0</v>
      </c>
      <c r="S42" s="33">
        <f t="shared" si="54"/>
        <v>0</v>
      </c>
      <c r="T42" s="33">
        <f t="shared" si="54"/>
        <v>0</v>
      </c>
      <c r="U42" s="33">
        <f t="shared" si="54"/>
        <v>0</v>
      </c>
      <c r="V42" s="33">
        <f t="shared" si="54"/>
        <v>0</v>
      </c>
      <c r="W42" s="33">
        <f t="shared" si="54"/>
        <v>6358.333333333333</v>
      </c>
      <c r="X42" s="33">
        <f t="shared" si="54"/>
        <v>6358.333333333333</v>
      </c>
      <c r="Y42" s="33">
        <f t="shared" si="54"/>
        <v>6358.333333333333</v>
      </c>
      <c r="Z42" s="39">
        <f t="shared" si="54"/>
        <v>6358.333333333333</v>
      </c>
      <c r="AA42" s="33">
        <f t="shared" si="54"/>
        <v>6358.333333333333</v>
      </c>
      <c r="AB42" s="33">
        <f t="shared" si="54"/>
        <v>12716.666666666666</v>
      </c>
      <c r="AC42" s="33">
        <f t="shared" si="54"/>
        <v>12716.666666666666</v>
      </c>
      <c r="AD42" s="33">
        <f t="shared" si="54"/>
        <v>12716.666666666666</v>
      </c>
      <c r="AE42" s="33">
        <f t="shared" si="54"/>
        <v>12716.666666666666</v>
      </c>
      <c r="AG42" s="95">
        <f t="shared" si="3"/>
        <v>0</v>
      </c>
      <c r="AH42" s="95">
        <f t="shared" si="4"/>
        <v>82658.333333333328</v>
      </c>
      <c r="AI42" s="84">
        <f>$E42*AI43</f>
        <v>228900</v>
      </c>
      <c r="AJ42" s="84">
        <f t="shared" ref="AJ42:AK42" si="55">$E42*AJ43</f>
        <v>228900</v>
      </c>
      <c r="AK42" s="84">
        <f t="shared" si="55"/>
        <v>228900</v>
      </c>
    </row>
    <row r="43" spans="1:37" s="61" customFormat="1">
      <c r="A43" s="65"/>
      <c r="B43" s="65"/>
      <c r="C43" s="65" t="s">
        <v>130</v>
      </c>
      <c r="D43" s="208"/>
      <c r="E43" s="141"/>
      <c r="F43" s="65" t="s">
        <v>192</v>
      </c>
      <c r="G43" s="65"/>
      <c r="H43" s="66">
        <f>FLOOR(H41/2,1)</f>
        <v>0</v>
      </c>
      <c r="I43" s="66">
        <f t="shared" ref="I43:AE43" si="56">FLOOR(I41/2,1)</f>
        <v>0</v>
      </c>
      <c r="J43" s="66">
        <f t="shared" si="56"/>
        <v>0</v>
      </c>
      <c r="K43" s="66">
        <f t="shared" si="56"/>
        <v>0</v>
      </c>
      <c r="L43" s="66">
        <f t="shared" si="56"/>
        <v>0</v>
      </c>
      <c r="M43" s="66">
        <f t="shared" si="56"/>
        <v>0</v>
      </c>
      <c r="N43" s="66">
        <f t="shared" si="56"/>
        <v>0</v>
      </c>
      <c r="O43" s="66">
        <f t="shared" si="56"/>
        <v>0</v>
      </c>
      <c r="P43" s="66">
        <f t="shared" si="56"/>
        <v>0</v>
      </c>
      <c r="Q43" s="66">
        <f t="shared" si="56"/>
        <v>0</v>
      </c>
      <c r="R43" s="66">
        <f t="shared" si="56"/>
        <v>0</v>
      </c>
      <c r="S43" s="66">
        <f t="shared" si="56"/>
        <v>0</v>
      </c>
      <c r="T43" s="66">
        <f t="shared" si="56"/>
        <v>0</v>
      </c>
      <c r="U43" s="66">
        <f t="shared" si="56"/>
        <v>0</v>
      </c>
      <c r="V43" s="66">
        <f t="shared" si="56"/>
        <v>0</v>
      </c>
      <c r="W43" s="66">
        <f t="shared" si="56"/>
        <v>1</v>
      </c>
      <c r="X43" s="66">
        <f t="shared" si="56"/>
        <v>1</v>
      </c>
      <c r="Y43" s="66">
        <f t="shared" si="56"/>
        <v>1</v>
      </c>
      <c r="Z43" s="66">
        <f t="shared" si="56"/>
        <v>1</v>
      </c>
      <c r="AA43" s="66">
        <f t="shared" si="56"/>
        <v>1</v>
      </c>
      <c r="AB43" s="66">
        <f t="shared" si="56"/>
        <v>2</v>
      </c>
      <c r="AC43" s="66">
        <f t="shared" si="56"/>
        <v>2</v>
      </c>
      <c r="AD43" s="66">
        <f t="shared" si="56"/>
        <v>2</v>
      </c>
      <c r="AE43" s="66">
        <f t="shared" si="56"/>
        <v>2</v>
      </c>
      <c r="AF43"/>
      <c r="AG43" s="99">
        <f>S43</f>
        <v>0</v>
      </c>
      <c r="AH43" s="99">
        <f>AE43</f>
        <v>2</v>
      </c>
      <c r="AI43" s="90">
        <v>3</v>
      </c>
      <c r="AJ43" s="90">
        <v>3</v>
      </c>
      <c r="AK43" s="90">
        <v>3</v>
      </c>
    </row>
    <row r="44" spans="1:37">
      <c r="A44" t="s">
        <v>139</v>
      </c>
      <c r="D44" s="132"/>
      <c r="E44" s="7"/>
      <c r="H44" s="33">
        <f>H43+H41+H39</f>
        <v>0</v>
      </c>
      <c r="I44" s="33">
        <f t="shared" ref="I44:AE44" si="57">I43+I41+I39</f>
        <v>0</v>
      </c>
      <c r="J44" s="33">
        <f t="shared" si="57"/>
        <v>0</v>
      </c>
      <c r="K44" s="33">
        <f t="shared" si="57"/>
        <v>0</v>
      </c>
      <c r="L44" s="33">
        <f t="shared" si="57"/>
        <v>0</v>
      </c>
      <c r="M44" s="33">
        <f t="shared" si="57"/>
        <v>0</v>
      </c>
      <c r="N44" s="33">
        <f t="shared" si="57"/>
        <v>0</v>
      </c>
      <c r="O44" s="33">
        <f t="shared" si="57"/>
        <v>0</v>
      </c>
      <c r="P44" s="33">
        <f t="shared" si="57"/>
        <v>0</v>
      </c>
      <c r="Q44" s="33">
        <f t="shared" si="57"/>
        <v>0</v>
      </c>
      <c r="R44" s="33">
        <f t="shared" si="57"/>
        <v>0</v>
      </c>
      <c r="S44" s="33">
        <f t="shared" si="57"/>
        <v>1</v>
      </c>
      <c r="T44" s="33">
        <f t="shared" si="57"/>
        <v>1</v>
      </c>
      <c r="U44" s="33">
        <f t="shared" si="57"/>
        <v>1</v>
      </c>
      <c r="V44" s="33">
        <f t="shared" si="57"/>
        <v>1</v>
      </c>
      <c r="W44" s="33">
        <f t="shared" si="57"/>
        <v>3</v>
      </c>
      <c r="X44" s="39">
        <f t="shared" si="57"/>
        <v>3</v>
      </c>
      <c r="Y44" s="33">
        <f t="shared" si="57"/>
        <v>3</v>
      </c>
      <c r="Z44" s="39">
        <f t="shared" si="57"/>
        <v>3</v>
      </c>
      <c r="AA44" s="33">
        <f t="shared" si="57"/>
        <v>3</v>
      </c>
      <c r="AB44" s="33">
        <f t="shared" si="57"/>
        <v>6</v>
      </c>
      <c r="AC44" s="33">
        <f t="shared" si="57"/>
        <v>7</v>
      </c>
      <c r="AD44" s="33">
        <f t="shared" si="57"/>
        <v>7</v>
      </c>
      <c r="AE44" s="33">
        <f t="shared" si="57"/>
        <v>7</v>
      </c>
      <c r="AG44" s="95">
        <f>S44</f>
        <v>1</v>
      </c>
      <c r="AH44" s="95">
        <f>AE44</f>
        <v>7</v>
      </c>
      <c r="AI44" s="84">
        <f t="shared" ref="AI44" si="58">AI43+AI41+AI39</f>
        <v>8</v>
      </c>
      <c r="AJ44" s="84">
        <f t="shared" ref="AJ44:AK44" si="59">AJ43+AJ41+AJ39</f>
        <v>9</v>
      </c>
      <c r="AK44" s="84">
        <f t="shared" si="59"/>
        <v>11</v>
      </c>
    </row>
    <row r="45" spans="1:37">
      <c r="A45" t="s">
        <v>153</v>
      </c>
      <c r="D45" s="132"/>
      <c r="E45" s="7"/>
      <c r="H45" s="33">
        <f>H42+H40+H38</f>
        <v>0</v>
      </c>
      <c r="I45" s="33">
        <f t="shared" ref="I45:AE45" si="60">I42+I40+I38</f>
        <v>0</v>
      </c>
      <c r="J45" s="33">
        <f t="shared" si="60"/>
        <v>0</v>
      </c>
      <c r="K45" s="33">
        <f t="shared" si="60"/>
        <v>0</v>
      </c>
      <c r="L45" s="33">
        <f t="shared" si="60"/>
        <v>0</v>
      </c>
      <c r="M45" s="33">
        <f t="shared" si="60"/>
        <v>0</v>
      </c>
      <c r="N45" s="33">
        <f t="shared" si="60"/>
        <v>0</v>
      </c>
      <c r="O45" s="33">
        <f t="shared" si="60"/>
        <v>0</v>
      </c>
      <c r="P45" s="33">
        <f t="shared" si="60"/>
        <v>0</v>
      </c>
      <c r="Q45" s="33">
        <f t="shared" si="60"/>
        <v>0</v>
      </c>
      <c r="R45" s="33">
        <f t="shared" si="60"/>
        <v>0</v>
      </c>
      <c r="S45" s="33">
        <f t="shared" si="60"/>
        <v>7720.833333333333</v>
      </c>
      <c r="T45" s="33">
        <f t="shared" si="60"/>
        <v>7720.833333333333</v>
      </c>
      <c r="U45" s="33">
        <f t="shared" si="60"/>
        <v>7720.833333333333</v>
      </c>
      <c r="V45" s="33">
        <f t="shared" si="60"/>
        <v>7720.833333333333</v>
      </c>
      <c r="W45" s="33">
        <f t="shared" si="60"/>
        <v>21800</v>
      </c>
      <c r="X45" s="33">
        <f t="shared" si="60"/>
        <v>21800</v>
      </c>
      <c r="Y45" s="33">
        <f t="shared" si="60"/>
        <v>21800</v>
      </c>
      <c r="Z45" s="39">
        <f t="shared" si="60"/>
        <v>21800</v>
      </c>
      <c r="AA45" s="33">
        <f t="shared" si="60"/>
        <v>21800</v>
      </c>
      <c r="AB45" s="33">
        <f t="shared" si="60"/>
        <v>43600</v>
      </c>
      <c r="AC45" s="33">
        <f t="shared" si="60"/>
        <v>54500</v>
      </c>
      <c r="AD45" s="33">
        <f t="shared" si="60"/>
        <v>54500</v>
      </c>
      <c r="AE45" s="33">
        <f t="shared" si="60"/>
        <v>54500</v>
      </c>
      <c r="AG45" s="95">
        <f t="shared" si="3"/>
        <v>7720.833333333333</v>
      </c>
      <c r="AH45" s="95">
        <f t="shared" si="4"/>
        <v>339262.5</v>
      </c>
      <c r="AI45" s="84">
        <f t="shared" ref="AI45" si="61">AI42+AI40+AI38</f>
        <v>730300</v>
      </c>
      <c r="AJ45" s="84">
        <f t="shared" ref="AJ45:AK45" si="62">AJ42+AJ40+AJ38</f>
        <v>822950</v>
      </c>
      <c r="AK45" s="84">
        <f t="shared" si="62"/>
        <v>1008250</v>
      </c>
    </row>
    <row r="46" spans="1:37">
      <c r="D46" s="132"/>
      <c r="E46" s="7"/>
      <c r="H46" s="33"/>
      <c r="I46" s="33"/>
      <c r="J46" s="33"/>
      <c r="K46" s="33"/>
      <c r="L46" s="33"/>
      <c r="M46" s="33"/>
      <c r="N46" s="33"/>
      <c r="O46" s="33"/>
      <c r="P46" s="33"/>
      <c r="Q46" s="33"/>
      <c r="R46" s="33"/>
      <c r="S46" s="33"/>
      <c r="T46" s="33"/>
      <c r="U46" s="33"/>
      <c r="V46" s="33"/>
      <c r="W46" s="33"/>
      <c r="X46" s="39"/>
      <c r="Y46" s="33"/>
      <c r="Z46" s="39"/>
      <c r="AA46" s="33"/>
      <c r="AB46" s="33"/>
      <c r="AC46" s="33"/>
      <c r="AD46" s="33"/>
      <c r="AE46" s="33"/>
      <c r="AG46" s="95"/>
      <c r="AH46" s="95"/>
      <c r="AI46" s="84"/>
      <c r="AJ46" s="84"/>
      <c r="AK46" s="84"/>
    </row>
    <row r="47" spans="1:37">
      <c r="A47" t="s">
        <v>105</v>
      </c>
      <c r="D47" s="132"/>
      <c r="E47" s="7"/>
      <c r="H47" s="33"/>
      <c r="I47" s="33"/>
      <c r="J47" s="33"/>
      <c r="K47" s="33"/>
      <c r="L47" s="33"/>
      <c r="M47" s="33"/>
      <c r="N47" s="33"/>
      <c r="O47" s="33"/>
      <c r="P47" s="33"/>
      <c r="Q47" s="33"/>
      <c r="R47" s="33"/>
      <c r="S47" s="33"/>
      <c r="T47" s="33"/>
      <c r="U47" s="33"/>
      <c r="V47" s="33"/>
      <c r="W47" s="33"/>
      <c r="X47" s="39"/>
      <c r="Y47" s="33"/>
      <c r="Z47" s="39"/>
      <c r="AA47" s="33"/>
      <c r="AB47" s="33"/>
      <c r="AC47" s="33"/>
      <c r="AD47" s="33"/>
      <c r="AE47" s="33"/>
      <c r="AG47" s="95"/>
      <c r="AH47" s="95"/>
      <c r="AI47" s="84"/>
      <c r="AJ47" s="84"/>
      <c r="AK47" s="84"/>
    </row>
    <row r="48" spans="1:37">
      <c r="B48" t="s">
        <v>121</v>
      </c>
      <c r="D48" s="132">
        <v>80000</v>
      </c>
      <c r="E48" s="7">
        <f t="shared" si="20"/>
        <v>87200</v>
      </c>
      <c r="H48" s="33">
        <f>$E48/12*H49</f>
        <v>0</v>
      </c>
      <c r="I48" s="33">
        <f t="shared" ref="I48:AE48" si="63">$E48/12*I49</f>
        <v>0</v>
      </c>
      <c r="J48" s="33">
        <f t="shared" si="63"/>
        <v>0</v>
      </c>
      <c r="K48" s="33">
        <f t="shared" si="63"/>
        <v>0</v>
      </c>
      <c r="L48" s="33">
        <f t="shared" si="63"/>
        <v>0</v>
      </c>
      <c r="M48" s="33">
        <f t="shared" si="63"/>
        <v>0</v>
      </c>
      <c r="N48" s="33">
        <f t="shared" si="63"/>
        <v>0</v>
      </c>
      <c r="O48" s="33">
        <f t="shared" si="63"/>
        <v>7266.666666666667</v>
      </c>
      <c r="P48" s="33">
        <f t="shared" si="63"/>
        <v>7266.666666666667</v>
      </c>
      <c r="Q48" s="33">
        <f t="shared" si="63"/>
        <v>7266.666666666667</v>
      </c>
      <c r="R48" s="33">
        <f t="shared" si="63"/>
        <v>7266.666666666667</v>
      </c>
      <c r="S48" s="33">
        <f t="shared" si="63"/>
        <v>14533.333333333334</v>
      </c>
      <c r="T48" s="33">
        <f t="shared" si="63"/>
        <v>14533.333333333334</v>
      </c>
      <c r="U48" s="33">
        <f t="shared" si="63"/>
        <v>14533.333333333334</v>
      </c>
      <c r="V48" s="33">
        <f t="shared" si="63"/>
        <v>14533.333333333334</v>
      </c>
      <c r="W48" s="33">
        <f t="shared" si="63"/>
        <v>21800</v>
      </c>
      <c r="X48" s="33">
        <f t="shared" si="63"/>
        <v>21800</v>
      </c>
      <c r="Y48" s="33">
        <f t="shared" si="63"/>
        <v>21800</v>
      </c>
      <c r="Z48" s="39">
        <f t="shared" si="63"/>
        <v>21800</v>
      </c>
      <c r="AA48" s="33">
        <f t="shared" si="63"/>
        <v>21800</v>
      </c>
      <c r="AB48" s="33">
        <f t="shared" si="63"/>
        <v>29066.666666666668</v>
      </c>
      <c r="AC48" s="33">
        <f t="shared" si="63"/>
        <v>29066.666666666668</v>
      </c>
      <c r="AD48" s="33">
        <f t="shared" si="63"/>
        <v>29066.666666666668</v>
      </c>
      <c r="AE48" s="33">
        <f t="shared" si="63"/>
        <v>29066.666666666668</v>
      </c>
      <c r="AG48" s="95">
        <f t="shared" si="3"/>
        <v>43600</v>
      </c>
      <c r="AH48" s="95">
        <f t="shared" si="4"/>
        <v>268866.66666666663</v>
      </c>
      <c r="AI48" s="84">
        <f>$E48*AI49</f>
        <v>348800</v>
      </c>
      <c r="AJ48" s="84">
        <f t="shared" ref="AJ48:AK48" si="64">$E48*AJ49</f>
        <v>348800</v>
      </c>
      <c r="AK48" s="84">
        <f t="shared" si="64"/>
        <v>348800</v>
      </c>
    </row>
    <row r="49" spans="1:37" s="61" customFormat="1">
      <c r="C49" s="61" t="s">
        <v>130</v>
      </c>
      <c r="D49" s="204"/>
      <c r="E49" s="139"/>
      <c r="F49" s="61" t="s">
        <v>300</v>
      </c>
      <c r="H49" s="62">
        <f>IF(G$3&gt;100000,4,IF(G$3&gt;50000,3,IF(G$3&gt;10000,2,IF(G$3&gt;1000,1,0))))</f>
        <v>0</v>
      </c>
      <c r="I49" s="62">
        <f t="shared" ref="I49:AE49" si="65">IF(H$3&gt;100000,4,IF(H$3&gt;50000,3,IF(H$3&gt;10000,2,IF(H$3&gt;1000,1,0))))</f>
        <v>0</v>
      </c>
      <c r="J49" s="62">
        <f t="shared" si="65"/>
        <v>0</v>
      </c>
      <c r="K49" s="62">
        <f t="shared" si="65"/>
        <v>0</v>
      </c>
      <c r="L49" s="62">
        <f t="shared" si="65"/>
        <v>0</v>
      </c>
      <c r="M49" s="62">
        <f t="shared" si="65"/>
        <v>0</v>
      </c>
      <c r="N49" s="62">
        <f t="shared" si="65"/>
        <v>0</v>
      </c>
      <c r="O49" s="62">
        <f t="shared" si="65"/>
        <v>1</v>
      </c>
      <c r="P49" s="62">
        <f t="shared" si="65"/>
        <v>1</v>
      </c>
      <c r="Q49" s="62">
        <f t="shared" si="65"/>
        <v>1</v>
      </c>
      <c r="R49" s="62">
        <f t="shared" si="65"/>
        <v>1</v>
      </c>
      <c r="S49" s="62">
        <f t="shared" si="65"/>
        <v>2</v>
      </c>
      <c r="T49" s="62">
        <f t="shared" si="65"/>
        <v>2</v>
      </c>
      <c r="U49" s="62">
        <f t="shared" si="65"/>
        <v>2</v>
      </c>
      <c r="V49" s="62">
        <f t="shared" si="65"/>
        <v>2</v>
      </c>
      <c r="W49" s="62">
        <f t="shared" si="65"/>
        <v>3</v>
      </c>
      <c r="X49" s="62">
        <f t="shared" si="65"/>
        <v>3</v>
      </c>
      <c r="Y49" s="62">
        <f t="shared" si="65"/>
        <v>3</v>
      </c>
      <c r="Z49" s="62">
        <f t="shared" si="65"/>
        <v>3</v>
      </c>
      <c r="AA49" s="62">
        <f t="shared" si="65"/>
        <v>3</v>
      </c>
      <c r="AB49" s="62">
        <f t="shared" si="65"/>
        <v>4</v>
      </c>
      <c r="AC49" s="62">
        <f t="shared" si="65"/>
        <v>4</v>
      </c>
      <c r="AD49" s="62">
        <f t="shared" si="65"/>
        <v>4</v>
      </c>
      <c r="AE49" s="62">
        <f t="shared" si="65"/>
        <v>4</v>
      </c>
      <c r="AF49"/>
      <c r="AG49" s="96">
        <f>S49</f>
        <v>2</v>
      </c>
      <c r="AH49" s="96">
        <f>AE49</f>
        <v>4</v>
      </c>
      <c r="AI49" s="89">
        <f t="shared" ref="AI49:AK49" si="66">IF(AH$3&gt;100000,4,IF(AH$3&gt;50000,3,IF(AH$3&gt;10000,2,IF(AH$3&gt;1000,1,0))))</f>
        <v>4</v>
      </c>
      <c r="AJ49" s="89">
        <f t="shared" si="66"/>
        <v>4</v>
      </c>
      <c r="AK49" s="89">
        <f t="shared" si="66"/>
        <v>4</v>
      </c>
    </row>
    <row r="50" spans="1:37">
      <c r="B50" t="s">
        <v>122</v>
      </c>
      <c r="D50" s="132">
        <v>80000</v>
      </c>
      <c r="E50" s="7">
        <f t="shared" si="20"/>
        <v>87200</v>
      </c>
      <c r="H50" s="33">
        <f>$E50/12*H51</f>
        <v>0</v>
      </c>
      <c r="I50" s="33">
        <f t="shared" ref="I50:AE50" si="67">$E50/12*I51</f>
        <v>0</v>
      </c>
      <c r="J50" s="33">
        <f t="shared" si="67"/>
        <v>0</v>
      </c>
      <c r="K50" s="33">
        <f t="shared" si="67"/>
        <v>0</v>
      </c>
      <c r="L50" s="33">
        <f t="shared" si="67"/>
        <v>0</v>
      </c>
      <c r="M50" s="33">
        <f t="shared" si="67"/>
        <v>7266.666666666667</v>
      </c>
      <c r="N50" s="33">
        <f t="shared" si="67"/>
        <v>7266.666666666667</v>
      </c>
      <c r="O50" s="33">
        <f t="shared" si="67"/>
        <v>14533.333333333334</v>
      </c>
      <c r="P50" s="33">
        <f t="shared" si="67"/>
        <v>14533.333333333334</v>
      </c>
      <c r="Q50" s="33">
        <f t="shared" si="67"/>
        <v>14533.333333333334</v>
      </c>
      <c r="R50" s="33">
        <f t="shared" si="67"/>
        <v>14533.333333333334</v>
      </c>
      <c r="S50" s="33">
        <f t="shared" si="67"/>
        <v>14533.333333333334</v>
      </c>
      <c r="T50" s="33">
        <f t="shared" si="67"/>
        <v>14533.333333333334</v>
      </c>
      <c r="U50" s="33">
        <f t="shared" si="67"/>
        <v>21800</v>
      </c>
      <c r="V50" s="33">
        <f t="shared" si="67"/>
        <v>21800</v>
      </c>
      <c r="W50" s="33">
        <f t="shared" si="67"/>
        <v>21800</v>
      </c>
      <c r="X50" s="33">
        <f t="shared" si="67"/>
        <v>21800</v>
      </c>
      <c r="Y50" s="33">
        <f t="shared" si="67"/>
        <v>21800</v>
      </c>
      <c r="Z50" s="39">
        <f t="shared" si="67"/>
        <v>21800</v>
      </c>
      <c r="AA50" s="33">
        <f t="shared" si="67"/>
        <v>21800</v>
      </c>
      <c r="AB50" s="33">
        <f t="shared" si="67"/>
        <v>29066.666666666668</v>
      </c>
      <c r="AC50" s="33">
        <f t="shared" si="67"/>
        <v>29066.666666666668</v>
      </c>
      <c r="AD50" s="33">
        <f t="shared" si="67"/>
        <v>29066.666666666668</v>
      </c>
      <c r="AE50" s="33">
        <f t="shared" si="67"/>
        <v>29066.666666666668</v>
      </c>
      <c r="AG50" s="95">
        <f t="shared" si="3"/>
        <v>87200</v>
      </c>
      <c r="AH50" s="95">
        <f t="shared" si="4"/>
        <v>283400</v>
      </c>
      <c r="AI50" s="84">
        <f>$E50*AI51</f>
        <v>348800</v>
      </c>
      <c r="AJ50" s="84">
        <f t="shared" ref="AJ50:AK50" si="68">$E50*AJ51</f>
        <v>348800</v>
      </c>
      <c r="AK50" s="84">
        <f t="shared" si="68"/>
        <v>348800</v>
      </c>
    </row>
    <row r="51" spans="1:37" s="61" customFormat="1">
      <c r="A51" s="65"/>
      <c r="B51" s="65"/>
      <c r="C51" s="65" t="s">
        <v>130</v>
      </c>
      <c r="D51" s="208"/>
      <c r="E51" s="141"/>
      <c r="F51" s="65" t="s">
        <v>193</v>
      </c>
      <c r="G51" s="65"/>
      <c r="H51" s="66">
        <f>IF(G$3&gt;100000,4,IF(G$3&gt;25000,3,IF(G$3&gt;1000,2,IF(G$3&gt;200,1,0))))</f>
        <v>0</v>
      </c>
      <c r="I51" s="66">
        <f t="shared" ref="I51:AK51" si="69">IF(H$3&gt;100000,4,IF(H$3&gt;25000,3,IF(H$3&gt;1000,2,IF(H$3&gt;200,1,0))))</f>
        <v>0</v>
      </c>
      <c r="J51" s="66">
        <f t="shared" si="69"/>
        <v>0</v>
      </c>
      <c r="K51" s="66">
        <f t="shared" si="69"/>
        <v>0</v>
      </c>
      <c r="L51" s="66">
        <f t="shared" si="69"/>
        <v>0</v>
      </c>
      <c r="M51" s="66">
        <f t="shared" si="69"/>
        <v>1</v>
      </c>
      <c r="N51" s="66">
        <f t="shared" si="69"/>
        <v>1</v>
      </c>
      <c r="O51" s="66">
        <f t="shared" si="69"/>
        <v>2</v>
      </c>
      <c r="P51" s="66">
        <f t="shared" si="69"/>
        <v>2</v>
      </c>
      <c r="Q51" s="66">
        <f t="shared" si="69"/>
        <v>2</v>
      </c>
      <c r="R51" s="66">
        <f t="shared" si="69"/>
        <v>2</v>
      </c>
      <c r="S51" s="66">
        <f t="shared" si="69"/>
        <v>2</v>
      </c>
      <c r="T51" s="66">
        <f t="shared" si="69"/>
        <v>2</v>
      </c>
      <c r="U51" s="66">
        <f t="shared" si="69"/>
        <v>3</v>
      </c>
      <c r="V51" s="66">
        <f t="shared" si="69"/>
        <v>3</v>
      </c>
      <c r="W51" s="66">
        <f t="shared" si="69"/>
        <v>3</v>
      </c>
      <c r="X51" s="66">
        <f t="shared" si="69"/>
        <v>3</v>
      </c>
      <c r="Y51" s="66">
        <f t="shared" si="69"/>
        <v>3</v>
      </c>
      <c r="Z51" s="66">
        <f t="shared" si="69"/>
        <v>3</v>
      </c>
      <c r="AA51" s="66">
        <f t="shared" si="69"/>
        <v>3</v>
      </c>
      <c r="AB51" s="66">
        <f t="shared" si="69"/>
        <v>4</v>
      </c>
      <c r="AC51" s="66">
        <f t="shared" si="69"/>
        <v>4</v>
      </c>
      <c r="AD51" s="66">
        <f t="shared" si="69"/>
        <v>4</v>
      </c>
      <c r="AE51" s="66">
        <f t="shared" si="69"/>
        <v>4</v>
      </c>
      <c r="AF51"/>
      <c r="AG51" s="99">
        <f>S51</f>
        <v>2</v>
      </c>
      <c r="AH51" s="99">
        <f>AE51</f>
        <v>4</v>
      </c>
      <c r="AI51" s="90">
        <f t="shared" si="69"/>
        <v>4</v>
      </c>
      <c r="AJ51" s="90">
        <f t="shared" si="69"/>
        <v>4</v>
      </c>
      <c r="AK51" s="90">
        <f t="shared" si="69"/>
        <v>4</v>
      </c>
    </row>
    <row r="52" spans="1:37">
      <c r="A52" t="s">
        <v>140</v>
      </c>
      <c r="D52" s="132"/>
      <c r="E52" s="7"/>
      <c r="H52" s="33">
        <f>H51+H49</f>
        <v>0</v>
      </c>
      <c r="I52" s="33">
        <f t="shared" ref="I52:AE52" si="70">I51+I49</f>
        <v>0</v>
      </c>
      <c r="J52" s="33">
        <f t="shared" si="70"/>
        <v>0</v>
      </c>
      <c r="K52" s="33">
        <f t="shared" si="70"/>
        <v>0</v>
      </c>
      <c r="L52" s="33">
        <f t="shared" si="70"/>
        <v>0</v>
      </c>
      <c r="M52" s="33">
        <f t="shared" si="70"/>
        <v>1</v>
      </c>
      <c r="N52" s="33">
        <f t="shared" si="70"/>
        <v>1</v>
      </c>
      <c r="O52" s="33">
        <f t="shared" si="70"/>
        <v>3</v>
      </c>
      <c r="P52" s="33">
        <f t="shared" si="70"/>
        <v>3</v>
      </c>
      <c r="Q52" s="33">
        <f t="shared" si="70"/>
        <v>3</v>
      </c>
      <c r="R52" s="33">
        <f t="shared" si="70"/>
        <v>3</v>
      </c>
      <c r="S52" s="33">
        <f t="shared" si="70"/>
        <v>4</v>
      </c>
      <c r="T52" s="33">
        <f t="shared" si="70"/>
        <v>4</v>
      </c>
      <c r="U52" s="33">
        <f t="shared" si="70"/>
        <v>5</v>
      </c>
      <c r="V52" s="33">
        <f t="shared" si="70"/>
        <v>5</v>
      </c>
      <c r="W52" s="33">
        <f t="shared" si="70"/>
        <v>6</v>
      </c>
      <c r="X52" s="39">
        <f t="shared" si="70"/>
        <v>6</v>
      </c>
      <c r="Y52" s="33">
        <f t="shared" si="70"/>
        <v>6</v>
      </c>
      <c r="Z52" s="39">
        <f t="shared" si="70"/>
        <v>6</v>
      </c>
      <c r="AA52" s="33">
        <f t="shared" si="70"/>
        <v>6</v>
      </c>
      <c r="AB52" s="33">
        <f t="shared" si="70"/>
        <v>8</v>
      </c>
      <c r="AC52" s="33">
        <f t="shared" si="70"/>
        <v>8</v>
      </c>
      <c r="AD52" s="33">
        <f t="shared" si="70"/>
        <v>8</v>
      </c>
      <c r="AE52" s="33">
        <f t="shared" si="70"/>
        <v>8</v>
      </c>
      <c r="AG52" s="95">
        <f>S52</f>
        <v>4</v>
      </c>
      <c r="AH52" s="95">
        <f>AE52</f>
        <v>8</v>
      </c>
      <c r="AI52" s="84">
        <f t="shared" ref="AI52" si="71">AI51+AI49</f>
        <v>8</v>
      </c>
      <c r="AJ52" s="84">
        <f t="shared" ref="AJ52:AK52" si="72">AJ51+AJ49</f>
        <v>8</v>
      </c>
      <c r="AK52" s="84">
        <f t="shared" si="72"/>
        <v>8</v>
      </c>
    </row>
    <row r="53" spans="1:37">
      <c r="A53" t="s">
        <v>154</v>
      </c>
      <c r="D53" s="132"/>
      <c r="E53" s="7"/>
      <c r="H53" s="33">
        <f>H50+H48</f>
        <v>0</v>
      </c>
      <c r="I53" s="33">
        <f t="shared" ref="I53:AE53" si="73">I50+I48</f>
        <v>0</v>
      </c>
      <c r="J53" s="33">
        <f t="shared" si="73"/>
        <v>0</v>
      </c>
      <c r="K53" s="33">
        <f t="shared" si="73"/>
        <v>0</v>
      </c>
      <c r="L53" s="33">
        <f t="shared" si="73"/>
        <v>0</v>
      </c>
      <c r="M53" s="33">
        <f t="shared" si="73"/>
        <v>7266.666666666667</v>
      </c>
      <c r="N53" s="33">
        <f t="shared" si="73"/>
        <v>7266.666666666667</v>
      </c>
      <c r="O53" s="33">
        <f t="shared" si="73"/>
        <v>21800</v>
      </c>
      <c r="P53" s="33">
        <f t="shared" si="73"/>
        <v>21800</v>
      </c>
      <c r="Q53" s="33">
        <f t="shared" si="73"/>
        <v>21800</v>
      </c>
      <c r="R53" s="33">
        <f t="shared" si="73"/>
        <v>21800</v>
      </c>
      <c r="S53" s="33">
        <f t="shared" si="73"/>
        <v>29066.666666666668</v>
      </c>
      <c r="T53" s="33">
        <f t="shared" si="73"/>
        <v>29066.666666666668</v>
      </c>
      <c r="U53" s="33">
        <f t="shared" si="73"/>
        <v>36333.333333333336</v>
      </c>
      <c r="V53" s="33">
        <f t="shared" si="73"/>
        <v>36333.333333333336</v>
      </c>
      <c r="W53" s="33">
        <f t="shared" si="73"/>
        <v>43600</v>
      </c>
      <c r="X53" s="33">
        <f t="shared" si="73"/>
        <v>43600</v>
      </c>
      <c r="Y53" s="33">
        <f t="shared" si="73"/>
        <v>43600</v>
      </c>
      <c r="Z53" s="39">
        <f t="shared" si="73"/>
        <v>43600</v>
      </c>
      <c r="AA53" s="33">
        <f t="shared" si="73"/>
        <v>43600</v>
      </c>
      <c r="AB53" s="33">
        <f t="shared" si="73"/>
        <v>58133.333333333336</v>
      </c>
      <c r="AC53" s="33">
        <f t="shared" si="73"/>
        <v>58133.333333333336</v>
      </c>
      <c r="AD53" s="33">
        <f t="shared" si="73"/>
        <v>58133.333333333336</v>
      </c>
      <c r="AE53" s="33">
        <f t="shared" si="73"/>
        <v>58133.333333333336</v>
      </c>
      <c r="AG53" s="95">
        <f t="shared" si="3"/>
        <v>130800.00000000001</v>
      </c>
      <c r="AH53" s="95">
        <f t="shared" si="4"/>
        <v>552266.66666666663</v>
      </c>
      <c r="AI53" s="84">
        <f t="shared" ref="AI53" si="74">AI50+AI48</f>
        <v>697600</v>
      </c>
      <c r="AJ53" s="84">
        <f t="shared" ref="AJ53:AK53" si="75">AJ50+AJ48</f>
        <v>697600</v>
      </c>
      <c r="AK53" s="84">
        <f t="shared" si="75"/>
        <v>697600</v>
      </c>
    </row>
    <row r="54" spans="1:37">
      <c r="D54" s="132"/>
      <c r="E54" s="7"/>
      <c r="H54" s="33"/>
      <c r="I54" s="33"/>
      <c r="J54" s="33"/>
      <c r="K54" s="33"/>
      <c r="L54" s="33"/>
      <c r="M54" s="33"/>
      <c r="N54" s="33"/>
      <c r="O54" s="33"/>
      <c r="P54" s="33"/>
      <c r="Q54" s="33"/>
      <c r="R54" s="33"/>
      <c r="S54" s="33"/>
      <c r="T54" s="33"/>
      <c r="U54" s="33"/>
      <c r="V54" s="33"/>
      <c r="W54" s="33"/>
      <c r="X54" s="39"/>
      <c r="Y54" s="33"/>
      <c r="Z54" s="39"/>
      <c r="AA54" s="33"/>
      <c r="AB54" s="33"/>
      <c r="AC54" s="33"/>
      <c r="AD54" s="33"/>
      <c r="AE54" s="33"/>
      <c r="AG54" s="95"/>
      <c r="AH54" s="95"/>
      <c r="AI54" s="84"/>
      <c r="AJ54" s="84"/>
      <c r="AK54" s="84"/>
    </row>
    <row r="55" spans="1:37">
      <c r="A55" t="s">
        <v>108</v>
      </c>
      <c r="D55" s="132"/>
      <c r="E55" s="7"/>
      <c r="H55" s="33"/>
      <c r="I55" s="33"/>
      <c r="J55" s="33"/>
      <c r="K55" s="33"/>
      <c r="L55" s="33"/>
      <c r="M55" s="33"/>
      <c r="N55" s="33"/>
      <c r="O55" s="33"/>
      <c r="P55" s="33"/>
      <c r="Q55" s="33"/>
      <c r="R55" s="33"/>
      <c r="S55" s="33"/>
      <c r="T55" s="33"/>
      <c r="U55" s="33"/>
      <c r="V55" s="33"/>
      <c r="W55" s="33"/>
      <c r="X55" s="39"/>
      <c r="Y55" s="33"/>
      <c r="Z55" s="39"/>
      <c r="AA55" s="33"/>
      <c r="AB55" s="33"/>
      <c r="AC55" s="33"/>
      <c r="AD55" s="33"/>
      <c r="AE55" s="33"/>
      <c r="AG55" s="95"/>
      <c r="AH55" s="95"/>
      <c r="AI55" s="84"/>
      <c r="AJ55" s="84"/>
      <c r="AK55" s="84"/>
    </row>
    <row r="56" spans="1:37">
      <c r="B56" t="s">
        <v>146</v>
      </c>
      <c r="D56" s="132">
        <v>85000</v>
      </c>
      <c r="E56" s="7">
        <f>1.09*D56</f>
        <v>92650</v>
      </c>
      <c r="H56" s="33">
        <f>$E56/12*H57</f>
        <v>0</v>
      </c>
      <c r="I56" s="33">
        <f t="shared" ref="I56:AE56" si="76">$E56/12*I57</f>
        <v>0</v>
      </c>
      <c r="J56" s="33">
        <f t="shared" si="76"/>
        <v>0</v>
      </c>
      <c r="K56" s="33">
        <f t="shared" si="76"/>
        <v>0</v>
      </c>
      <c r="L56" s="33">
        <f t="shared" si="76"/>
        <v>0</v>
      </c>
      <c r="M56" s="33">
        <f t="shared" si="76"/>
        <v>0</v>
      </c>
      <c r="N56" s="33">
        <f t="shared" si="76"/>
        <v>0</v>
      </c>
      <c r="O56" s="33">
        <f t="shared" si="76"/>
        <v>0</v>
      </c>
      <c r="P56" s="33">
        <f t="shared" si="76"/>
        <v>0</v>
      </c>
      <c r="Q56" s="33">
        <f t="shared" si="76"/>
        <v>0</v>
      </c>
      <c r="R56" s="33">
        <f t="shared" si="76"/>
        <v>0</v>
      </c>
      <c r="S56" s="33">
        <f t="shared" si="76"/>
        <v>0</v>
      </c>
      <c r="T56" s="33">
        <f t="shared" si="76"/>
        <v>0</v>
      </c>
      <c r="U56" s="33">
        <f t="shared" si="76"/>
        <v>0</v>
      </c>
      <c r="V56" s="33">
        <f t="shared" si="76"/>
        <v>0</v>
      </c>
      <c r="W56" s="33">
        <f t="shared" si="76"/>
        <v>0</v>
      </c>
      <c r="X56" s="33">
        <f t="shared" si="76"/>
        <v>0</v>
      </c>
      <c r="Y56" s="33">
        <f t="shared" si="76"/>
        <v>0</v>
      </c>
      <c r="Z56" s="39">
        <f t="shared" si="76"/>
        <v>0</v>
      </c>
      <c r="AA56" s="33">
        <f t="shared" si="76"/>
        <v>0</v>
      </c>
      <c r="AB56" s="33">
        <f t="shared" si="76"/>
        <v>0</v>
      </c>
      <c r="AC56" s="33">
        <f t="shared" si="76"/>
        <v>7720.833333333333</v>
      </c>
      <c r="AD56" s="33">
        <f t="shared" si="76"/>
        <v>7720.833333333333</v>
      </c>
      <c r="AE56" s="33">
        <f t="shared" si="76"/>
        <v>7720.833333333333</v>
      </c>
      <c r="AG56" s="95">
        <f t="shared" si="3"/>
        <v>0</v>
      </c>
      <c r="AH56" s="95">
        <f t="shared" si="4"/>
        <v>23162.5</v>
      </c>
      <c r="AI56" s="84">
        <f>$E56*AI57</f>
        <v>92650</v>
      </c>
      <c r="AJ56" s="84">
        <f t="shared" ref="AJ56:AK56" si="77">$E56*AJ57</f>
        <v>92650</v>
      </c>
      <c r="AK56" s="84">
        <f t="shared" si="77"/>
        <v>92650</v>
      </c>
    </row>
    <row r="57" spans="1:37" s="61" customFormat="1">
      <c r="C57" s="61" t="s">
        <v>130</v>
      </c>
      <c r="D57" s="204"/>
      <c r="E57" s="139"/>
      <c r="F57" s="63" t="s">
        <v>195</v>
      </c>
      <c r="H57" s="62">
        <f>IF(G59&gt;12,2,IF(G59&gt;4,1,0))</f>
        <v>0</v>
      </c>
      <c r="I57" s="62">
        <f t="shared" ref="I57:AK57" si="78">IF(H59&gt;12,2,IF(H59&gt;4,1,0))</f>
        <v>0</v>
      </c>
      <c r="J57" s="62">
        <f t="shared" si="78"/>
        <v>0</v>
      </c>
      <c r="K57" s="62">
        <f t="shared" si="78"/>
        <v>0</v>
      </c>
      <c r="L57" s="62">
        <f t="shared" si="78"/>
        <v>0</v>
      </c>
      <c r="M57" s="62">
        <f t="shared" si="78"/>
        <v>0</v>
      </c>
      <c r="N57" s="62">
        <f t="shared" si="78"/>
        <v>0</v>
      </c>
      <c r="O57" s="62">
        <f t="shared" si="78"/>
        <v>0</v>
      </c>
      <c r="P57" s="62">
        <f t="shared" si="78"/>
        <v>0</v>
      </c>
      <c r="Q57" s="62">
        <f t="shared" si="78"/>
        <v>0</v>
      </c>
      <c r="R57" s="62">
        <f t="shared" si="78"/>
        <v>0</v>
      </c>
      <c r="S57" s="62">
        <f t="shared" si="78"/>
        <v>0</v>
      </c>
      <c r="T57" s="62">
        <f t="shared" si="78"/>
        <v>0</v>
      </c>
      <c r="U57" s="62">
        <f t="shared" si="78"/>
        <v>0</v>
      </c>
      <c r="V57" s="62">
        <f t="shared" si="78"/>
        <v>0</v>
      </c>
      <c r="W57" s="62">
        <f t="shared" si="78"/>
        <v>0</v>
      </c>
      <c r="X57" s="62">
        <f t="shared" si="78"/>
        <v>0</v>
      </c>
      <c r="Y57" s="62">
        <f t="shared" si="78"/>
        <v>0</v>
      </c>
      <c r="Z57" s="62">
        <f t="shared" si="78"/>
        <v>0</v>
      </c>
      <c r="AA57" s="62">
        <f t="shared" si="78"/>
        <v>0</v>
      </c>
      <c r="AB57" s="62">
        <f t="shared" si="78"/>
        <v>0</v>
      </c>
      <c r="AC57" s="62">
        <f t="shared" si="78"/>
        <v>1</v>
      </c>
      <c r="AD57" s="62">
        <f t="shared" si="78"/>
        <v>1</v>
      </c>
      <c r="AE57" s="62">
        <f t="shared" si="78"/>
        <v>1</v>
      </c>
      <c r="AF57"/>
      <c r="AG57" s="96">
        <f>S57</f>
        <v>0</v>
      </c>
      <c r="AH57" s="96">
        <f>AE57</f>
        <v>1</v>
      </c>
      <c r="AI57" s="89">
        <f t="shared" si="78"/>
        <v>1</v>
      </c>
      <c r="AJ57" s="89">
        <f t="shared" si="78"/>
        <v>1</v>
      </c>
      <c r="AK57" s="89">
        <f t="shared" si="78"/>
        <v>1</v>
      </c>
    </row>
    <row r="58" spans="1:37">
      <c r="B58" t="s">
        <v>129</v>
      </c>
      <c r="D58" s="132">
        <v>45000</v>
      </c>
      <c r="E58" s="7">
        <f>1.09*D58</f>
        <v>49050</v>
      </c>
      <c r="H58" s="33">
        <f>$E58/12*H59</f>
        <v>0</v>
      </c>
      <c r="I58" s="33">
        <f t="shared" ref="I58:AE58" si="79">$E58/12*I59</f>
        <v>0</v>
      </c>
      <c r="J58" s="33">
        <f t="shared" si="79"/>
        <v>0</v>
      </c>
      <c r="K58" s="33">
        <f t="shared" si="79"/>
        <v>0</v>
      </c>
      <c r="L58" s="33">
        <f t="shared" si="79"/>
        <v>0</v>
      </c>
      <c r="M58" s="33">
        <f t="shared" si="79"/>
        <v>0</v>
      </c>
      <c r="N58" s="33">
        <f t="shared" si="79"/>
        <v>0</v>
      </c>
      <c r="O58" s="33">
        <f t="shared" si="79"/>
        <v>0</v>
      </c>
      <c r="P58" s="33">
        <f t="shared" si="79"/>
        <v>4087.5</v>
      </c>
      <c r="Q58" s="33">
        <f t="shared" si="79"/>
        <v>4087.5</v>
      </c>
      <c r="R58" s="33">
        <f t="shared" si="79"/>
        <v>4087.5</v>
      </c>
      <c r="S58" s="33">
        <f t="shared" si="79"/>
        <v>8175</v>
      </c>
      <c r="T58" s="33">
        <f t="shared" si="79"/>
        <v>8175</v>
      </c>
      <c r="U58" s="33">
        <f t="shared" si="79"/>
        <v>12262.5</v>
      </c>
      <c r="V58" s="33">
        <f t="shared" si="79"/>
        <v>12262.5</v>
      </c>
      <c r="W58" s="33">
        <f t="shared" si="79"/>
        <v>16350</v>
      </c>
      <c r="X58" s="33">
        <f t="shared" si="79"/>
        <v>16350</v>
      </c>
      <c r="Y58" s="33">
        <f t="shared" si="79"/>
        <v>16350</v>
      </c>
      <c r="Z58" s="39">
        <f t="shared" si="79"/>
        <v>16350</v>
      </c>
      <c r="AA58" s="33">
        <f t="shared" si="79"/>
        <v>16350</v>
      </c>
      <c r="AB58" s="33">
        <f t="shared" si="79"/>
        <v>20437.5</v>
      </c>
      <c r="AC58" s="33">
        <f t="shared" si="79"/>
        <v>20437.5</v>
      </c>
      <c r="AD58" s="33">
        <f t="shared" si="79"/>
        <v>20437.5</v>
      </c>
      <c r="AE58" s="33">
        <f t="shared" si="79"/>
        <v>20437.5</v>
      </c>
      <c r="AG58" s="95">
        <f t="shared" si="3"/>
        <v>20437.5</v>
      </c>
      <c r="AH58" s="95">
        <f t="shared" si="4"/>
        <v>196200</v>
      </c>
      <c r="AI58" s="84">
        <f>$E58*AI59</f>
        <v>245250</v>
      </c>
      <c r="AJ58" s="84">
        <f t="shared" ref="AJ58:AK58" si="80">$E58*AJ59</f>
        <v>343350</v>
      </c>
      <c r="AK58" s="84">
        <f t="shared" si="80"/>
        <v>490500</v>
      </c>
    </row>
    <row r="59" spans="1:37" s="61" customFormat="1">
      <c r="A59" s="65"/>
      <c r="B59" s="65"/>
      <c r="C59" s="65" t="s">
        <v>130</v>
      </c>
      <c r="D59" s="208"/>
      <c r="E59" s="141"/>
      <c r="F59" s="65" t="s">
        <v>194</v>
      </c>
      <c r="G59" s="65"/>
      <c r="H59" s="66">
        <f>IF(G$3&gt;50000,(4+CEILING((G$3-100000)/100000,1)),IF(G$3&gt;25000,3,IF(G$3&gt;10000,2,IF(G$3&gt;2500,1,0))))</f>
        <v>0</v>
      </c>
      <c r="I59" s="66">
        <f t="shared" ref="I59:AK59" si="81">IF(H$3&gt;50000,(4+CEILING((H$3-100000)/100000,1)),IF(H$3&gt;25000,3,IF(H$3&gt;10000,2,IF(H$3&gt;2500,1,0))))</f>
        <v>0</v>
      </c>
      <c r="J59" s="66">
        <f t="shared" si="81"/>
        <v>0</v>
      </c>
      <c r="K59" s="66">
        <f t="shared" si="81"/>
        <v>0</v>
      </c>
      <c r="L59" s="66">
        <f t="shared" si="81"/>
        <v>0</v>
      </c>
      <c r="M59" s="66">
        <f t="shared" si="81"/>
        <v>0</v>
      </c>
      <c r="N59" s="66">
        <f t="shared" si="81"/>
        <v>0</v>
      </c>
      <c r="O59" s="66">
        <f t="shared" si="81"/>
        <v>0</v>
      </c>
      <c r="P59" s="66">
        <f t="shared" si="81"/>
        <v>1</v>
      </c>
      <c r="Q59" s="66">
        <f t="shared" si="81"/>
        <v>1</v>
      </c>
      <c r="R59" s="66">
        <f t="shared" si="81"/>
        <v>1</v>
      </c>
      <c r="S59" s="66">
        <f t="shared" si="81"/>
        <v>2</v>
      </c>
      <c r="T59" s="66">
        <f t="shared" si="81"/>
        <v>2</v>
      </c>
      <c r="U59" s="66">
        <f t="shared" si="81"/>
        <v>3</v>
      </c>
      <c r="V59" s="66">
        <f t="shared" si="81"/>
        <v>3</v>
      </c>
      <c r="W59" s="66">
        <f t="shared" si="81"/>
        <v>4</v>
      </c>
      <c r="X59" s="66">
        <f t="shared" si="81"/>
        <v>4</v>
      </c>
      <c r="Y59" s="66">
        <f t="shared" si="81"/>
        <v>4</v>
      </c>
      <c r="Z59" s="66">
        <f t="shared" si="81"/>
        <v>4</v>
      </c>
      <c r="AA59" s="66">
        <f t="shared" si="81"/>
        <v>4</v>
      </c>
      <c r="AB59" s="66">
        <f t="shared" si="81"/>
        <v>5</v>
      </c>
      <c r="AC59" s="66">
        <f t="shared" si="81"/>
        <v>5</v>
      </c>
      <c r="AD59" s="66">
        <f t="shared" si="81"/>
        <v>5</v>
      </c>
      <c r="AE59" s="66">
        <f t="shared" si="81"/>
        <v>5</v>
      </c>
      <c r="AF59"/>
      <c r="AG59" s="99">
        <f>S59</f>
        <v>2</v>
      </c>
      <c r="AH59" s="99">
        <f>AE59</f>
        <v>5</v>
      </c>
      <c r="AI59" s="90">
        <f t="shared" si="81"/>
        <v>5</v>
      </c>
      <c r="AJ59" s="90">
        <f t="shared" si="81"/>
        <v>7</v>
      </c>
      <c r="AK59" s="90">
        <f t="shared" si="81"/>
        <v>10</v>
      </c>
    </row>
    <row r="60" spans="1:37">
      <c r="A60" t="s">
        <v>141</v>
      </c>
      <c r="D60" s="132"/>
      <c r="E60" s="7"/>
      <c r="H60" s="33">
        <f>H59+H57</f>
        <v>0</v>
      </c>
      <c r="I60" s="33">
        <f t="shared" ref="I60:AE60" si="82">I59+I57</f>
        <v>0</v>
      </c>
      <c r="J60" s="33">
        <f t="shared" si="82"/>
        <v>0</v>
      </c>
      <c r="K60" s="33">
        <f t="shared" si="82"/>
        <v>0</v>
      </c>
      <c r="L60" s="33">
        <f t="shared" si="82"/>
        <v>0</v>
      </c>
      <c r="M60" s="33">
        <f t="shared" si="82"/>
        <v>0</v>
      </c>
      <c r="N60" s="33">
        <f t="shared" si="82"/>
        <v>0</v>
      </c>
      <c r="O60" s="33">
        <f t="shared" si="82"/>
        <v>0</v>
      </c>
      <c r="P60" s="33">
        <f t="shared" si="82"/>
        <v>1</v>
      </c>
      <c r="Q60" s="33">
        <f t="shared" si="82"/>
        <v>1</v>
      </c>
      <c r="R60" s="33">
        <f t="shared" si="82"/>
        <v>1</v>
      </c>
      <c r="S60" s="33">
        <f t="shared" si="82"/>
        <v>2</v>
      </c>
      <c r="T60" s="33">
        <f t="shared" si="82"/>
        <v>2</v>
      </c>
      <c r="U60" s="33">
        <f t="shared" si="82"/>
        <v>3</v>
      </c>
      <c r="V60" s="33">
        <f t="shared" si="82"/>
        <v>3</v>
      </c>
      <c r="W60" s="33">
        <f t="shared" si="82"/>
        <v>4</v>
      </c>
      <c r="X60" s="33">
        <f t="shared" si="82"/>
        <v>4</v>
      </c>
      <c r="Y60" s="33">
        <f t="shared" si="82"/>
        <v>4</v>
      </c>
      <c r="Z60" s="39">
        <f t="shared" si="82"/>
        <v>4</v>
      </c>
      <c r="AA60" s="33">
        <f t="shared" si="82"/>
        <v>4</v>
      </c>
      <c r="AB60" s="33">
        <f t="shared" si="82"/>
        <v>5</v>
      </c>
      <c r="AC60" s="33">
        <f t="shared" si="82"/>
        <v>6</v>
      </c>
      <c r="AD60" s="33">
        <f t="shared" si="82"/>
        <v>6</v>
      </c>
      <c r="AE60" s="33">
        <f t="shared" si="82"/>
        <v>6</v>
      </c>
      <c r="AG60" s="95">
        <f>S60</f>
        <v>2</v>
      </c>
      <c r="AH60" s="95">
        <f>AE60</f>
        <v>6</v>
      </c>
      <c r="AI60" s="84">
        <f t="shared" ref="AI60" si="83">AI59+AI57</f>
        <v>6</v>
      </c>
      <c r="AJ60" s="84">
        <f t="shared" ref="AJ60:AK60" si="84">AJ59+AJ57</f>
        <v>8</v>
      </c>
      <c r="AK60" s="84">
        <f t="shared" si="84"/>
        <v>11</v>
      </c>
    </row>
    <row r="61" spans="1:37">
      <c r="A61" t="s">
        <v>155</v>
      </c>
      <c r="D61" s="132"/>
      <c r="E61" s="7"/>
      <c r="H61" s="33">
        <f>H58+H56</f>
        <v>0</v>
      </c>
      <c r="I61" s="33">
        <f t="shared" ref="I61:AE61" si="85">I58+I56</f>
        <v>0</v>
      </c>
      <c r="J61" s="33">
        <f t="shared" si="85"/>
        <v>0</v>
      </c>
      <c r="K61" s="33">
        <f t="shared" si="85"/>
        <v>0</v>
      </c>
      <c r="L61" s="33">
        <f t="shared" si="85"/>
        <v>0</v>
      </c>
      <c r="M61" s="33">
        <f t="shared" si="85"/>
        <v>0</v>
      </c>
      <c r="N61" s="33">
        <f t="shared" si="85"/>
        <v>0</v>
      </c>
      <c r="O61" s="33">
        <f t="shared" si="85"/>
        <v>0</v>
      </c>
      <c r="P61" s="33">
        <f t="shared" si="85"/>
        <v>4087.5</v>
      </c>
      <c r="Q61" s="33">
        <f t="shared" si="85"/>
        <v>4087.5</v>
      </c>
      <c r="R61" s="33">
        <f t="shared" si="85"/>
        <v>4087.5</v>
      </c>
      <c r="S61" s="33">
        <f t="shared" si="85"/>
        <v>8175</v>
      </c>
      <c r="T61" s="33">
        <f t="shared" si="85"/>
        <v>8175</v>
      </c>
      <c r="U61" s="33">
        <f t="shared" si="85"/>
        <v>12262.5</v>
      </c>
      <c r="V61" s="33">
        <f t="shared" si="85"/>
        <v>12262.5</v>
      </c>
      <c r="W61" s="33">
        <f t="shared" si="85"/>
        <v>16350</v>
      </c>
      <c r="X61" s="33">
        <f t="shared" si="85"/>
        <v>16350</v>
      </c>
      <c r="Y61" s="33">
        <f t="shared" si="85"/>
        <v>16350</v>
      </c>
      <c r="Z61" s="39">
        <f t="shared" si="85"/>
        <v>16350</v>
      </c>
      <c r="AA61" s="33">
        <f t="shared" si="85"/>
        <v>16350</v>
      </c>
      <c r="AB61" s="33">
        <f t="shared" si="85"/>
        <v>20437.5</v>
      </c>
      <c r="AC61" s="33">
        <f t="shared" si="85"/>
        <v>28158.333333333332</v>
      </c>
      <c r="AD61" s="33">
        <f t="shared" si="85"/>
        <v>28158.333333333332</v>
      </c>
      <c r="AE61" s="33">
        <f t="shared" si="85"/>
        <v>28158.333333333332</v>
      </c>
      <c r="AG61" s="95">
        <f t="shared" si="3"/>
        <v>20437.5</v>
      </c>
      <c r="AH61" s="95">
        <f t="shared" si="4"/>
        <v>219362.50000000003</v>
      </c>
      <c r="AI61" s="84">
        <f t="shared" ref="AI61" si="86">AI58+AI56</f>
        <v>337900</v>
      </c>
      <c r="AJ61" s="84">
        <f t="shared" ref="AJ61:AK61" si="87">AJ58+AJ56</f>
        <v>436000</v>
      </c>
      <c r="AK61" s="84">
        <f t="shared" si="87"/>
        <v>583150</v>
      </c>
    </row>
    <row r="62" spans="1:37">
      <c r="D62" s="132"/>
      <c r="E62" s="7"/>
      <c r="H62" s="33"/>
      <c r="I62" s="33"/>
      <c r="J62" s="33"/>
      <c r="K62" s="33"/>
      <c r="L62" s="33"/>
      <c r="M62" s="33"/>
      <c r="N62" s="33"/>
      <c r="O62" s="33"/>
      <c r="P62" s="33"/>
      <c r="Q62" s="33"/>
      <c r="R62" s="33"/>
      <c r="S62" s="33"/>
      <c r="T62" s="33"/>
      <c r="U62" s="33"/>
      <c r="V62" s="33"/>
      <c r="W62" s="33"/>
      <c r="X62" s="39"/>
      <c r="Y62" s="33"/>
      <c r="Z62" s="39"/>
      <c r="AA62" s="33"/>
      <c r="AB62" s="33"/>
      <c r="AC62" s="33"/>
      <c r="AD62" s="33"/>
      <c r="AE62" s="33"/>
      <c r="AG62" s="95"/>
      <c r="AH62" s="95"/>
      <c r="AI62" s="84"/>
      <c r="AJ62" s="84"/>
      <c r="AK62" s="84"/>
    </row>
    <row r="63" spans="1:37">
      <c r="A63" t="s">
        <v>131</v>
      </c>
      <c r="D63" s="132"/>
      <c r="E63" s="7"/>
      <c r="H63" s="33"/>
      <c r="I63" s="33"/>
      <c r="J63" s="33"/>
      <c r="K63" s="33"/>
      <c r="L63" s="33"/>
      <c r="M63" s="33"/>
      <c r="N63" s="33"/>
      <c r="O63" s="33"/>
      <c r="P63" s="33"/>
      <c r="Q63" s="33"/>
      <c r="R63" s="33"/>
      <c r="S63" s="33"/>
      <c r="T63" s="33"/>
      <c r="U63" s="33"/>
      <c r="V63" s="33"/>
      <c r="W63" s="33"/>
      <c r="X63" s="39"/>
      <c r="Y63" s="33"/>
      <c r="Z63" s="39"/>
      <c r="AA63" s="33"/>
      <c r="AB63" s="33"/>
      <c r="AC63" s="33"/>
      <c r="AD63" s="33"/>
      <c r="AE63" s="33"/>
      <c r="AG63" s="95"/>
      <c r="AH63" s="95"/>
      <c r="AI63" s="84"/>
      <c r="AJ63" s="84"/>
      <c r="AK63" s="84"/>
    </row>
    <row r="64" spans="1:37">
      <c r="B64" t="s">
        <v>132</v>
      </c>
      <c r="D64" s="132">
        <v>115000</v>
      </c>
      <c r="E64" s="7">
        <f>1.09*D64</f>
        <v>125350.00000000001</v>
      </c>
      <c r="H64" s="33">
        <f>$E64/12*H65</f>
        <v>0</v>
      </c>
      <c r="I64" s="33">
        <f t="shared" ref="I64:AE64" si="88">$E64/12*I65</f>
        <v>0</v>
      </c>
      <c r="J64" s="33">
        <f t="shared" si="88"/>
        <v>0</v>
      </c>
      <c r="K64" s="33">
        <f t="shared" si="88"/>
        <v>0</v>
      </c>
      <c r="L64" s="33">
        <f t="shared" si="88"/>
        <v>0</v>
      </c>
      <c r="M64" s="33">
        <f t="shared" si="88"/>
        <v>0</v>
      </c>
      <c r="N64" s="33">
        <f t="shared" si="88"/>
        <v>0</v>
      </c>
      <c r="O64" s="33">
        <f t="shared" si="88"/>
        <v>0</v>
      </c>
      <c r="P64" s="33">
        <f t="shared" si="88"/>
        <v>0</v>
      </c>
      <c r="Q64" s="33">
        <f t="shared" si="88"/>
        <v>0</v>
      </c>
      <c r="R64" s="33">
        <f t="shared" si="88"/>
        <v>0</v>
      </c>
      <c r="S64" s="33">
        <f t="shared" si="88"/>
        <v>0</v>
      </c>
      <c r="T64" s="33">
        <f t="shared" si="88"/>
        <v>0</v>
      </c>
      <c r="U64" s="33">
        <f t="shared" si="88"/>
        <v>0</v>
      </c>
      <c r="V64" s="33">
        <f t="shared" si="88"/>
        <v>0</v>
      </c>
      <c r="W64" s="33">
        <f t="shared" si="88"/>
        <v>0</v>
      </c>
      <c r="X64" s="33">
        <f t="shared" si="88"/>
        <v>0</v>
      </c>
      <c r="Y64" s="33">
        <f t="shared" si="88"/>
        <v>0</v>
      </c>
      <c r="Z64" s="39">
        <f t="shared" si="88"/>
        <v>10445.833333333334</v>
      </c>
      <c r="AA64" s="33">
        <f t="shared" si="88"/>
        <v>10445.833333333334</v>
      </c>
      <c r="AB64" s="33">
        <f t="shared" si="88"/>
        <v>10445.833333333334</v>
      </c>
      <c r="AC64" s="33">
        <f t="shared" si="88"/>
        <v>10445.833333333334</v>
      </c>
      <c r="AD64" s="33">
        <f t="shared" si="88"/>
        <v>10445.833333333334</v>
      </c>
      <c r="AE64" s="33">
        <f t="shared" si="88"/>
        <v>10445.833333333334</v>
      </c>
      <c r="AG64" s="95">
        <f t="shared" si="3"/>
        <v>0</v>
      </c>
      <c r="AH64" s="95">
        <f t="shared" si="4"/>
        <v>62675.000000000007</v>
      </c>
      <c r="AI64" s="84">
        <f>$E64*AI65</f>
        <v>125350.00000000001</v>
      </c>
      <c r="AJ64" s="84">
        <f t="shared" ref="AJ64:AK64" si="89">$E64*AJ65</f>
        <v>125350.00000000001</v>
      </c>
      <c r="AK64" s="84">
        <f t="shared" si="89"/>
        <v>125350.00000000001</v>
      </c>
    </row>
    <row r="65" spans="1:37" s="61" customFormat="1">
      <c r="C65" s="61" t="s">
        <v>130</v>
      </c>
      <c r="D65" s="204"/>
      <c r="E65" s="139"/>
      <c r="F65" s="63" t="s">
        <v>196</v>
      </c>
      <c r="H65" s="62">
        <f>IF(H67&gt;=2,1,0)</f>
        <v>0</v>
      </c>
      <c r="I65" s="62">
        <f t="shared" ref="I65:AK65" si="90">IF(I67&gt;=2,1,0)</f>
        <v>0</v>
      </c>
      <c r="J65" s="62">
        <f t="shared" si="90"/>
        <v>0</v>
      </c>
      <c r="K65" s="62">
        <f t="shared" si="90"/>
        <v>0</v>
      </c>
      <c r="L65" s="62">
        <f t="shared" si="90"/>
        <v>0</v>
      </c>
      <c r="M65" s="62">
        <f t="shared" si="90"/>
        <v>0</v>
      </c>
      <c r="N65" s="62">
        <f t="shared" si="90"/>
        <v>0</v>
      </c>
      <c r="O65" s="62">
        <f t="shared" si="90"/>
        <v>0</v>
      </c>
      <c r="P65" s="62">
        <f t="shared" si="90"/>
        <v>0</v>
      </c>
      <c r="Q65" s="62">
        <f t="shared" si="90"/>
        <v>0</v>
      </c>
      <c r="R65" s="62">
        <f t="shared" si="90"/>
        <v>0</v>
      </c>
      <c r="S65" s="62">
        <f t="shared" si="90"/>
        <v>0</v>
      </c>
      <c r="T65" s="62">
        <f t="shared" si="90"/>
        <v>0</v>
      </c>
      <c r="U65" s="62">
        <f t="shared" si="90"/>
        <v>0</v>
      </c>
      <c r="V65" s="62">
        <f t="shared" si="90"/>
        <v>0</v>
      </c>
      <c r="W65" s="62">
        <f t="shared" si="90"/>
        <v>0</v>
      </c>
      <c r="X65" s="62">
        <f t="shared" si="90"/>
        <v>0</v>
      </c>
      <c r="Y65" s="62">
        <f t="shared" si="90"/>
        <v>0</v>
      </c>
      <c r="Z65" s="62">
        <f t="shared" si="90"/>
        <v>1</v>
      </c>
      <c r="AA65" s="62">
        <f t="shared" si="90"/>
        <v>1</v>
      </c>
      <c r="AB65" s="62">
        <f t="shared" si="90"/>
        <v>1</v>
      </c>
      <c r="AC65" s="62">
        <f t="shared" si="90"/>
        <v>1</v>
      </c>
      <c r="AD65" s="62">
        <f t="shared" si="90"/>
        <v>1</v>
      </c>
      <c r="AE65" s="62">
        <f t="shared" si="90"/>
        <v>1</v>
      </c>
      <c r="AF65"/>
      <c r="AG65" s="96">
        <f>S65</f>
        <v>0</v>
      </c>
      <c r="AH65" s="96">
        <f>AE65</f>
        <v>1</v>
      </c>
      <c r="AI65" s="89">
        <f t="shared" si="90"/>
        <v>1</v>
      </c>
      <c r="AJ65" s="89">
        <f t="shared" si="90"/>
        <v>1</v>
      </c>
      <c r="AK65" s="89">
        <f t="shared" si="90"/>
        <v>1</v>
      </c>
    </row>
    <row r="66" spans="1:37">
      <c r="B66" t="s">
        <v>133</v>
      </c>
      <c r="D66" s="132">
        <v>80000</v>
      </c>
      <c r="E66" s="7">
        <f>1.09*D66</f>
        <v>87200</v>
      </c>
      <c r="H66" s="33">
        <f>$E66/12*H67</f>
        <v>0</v>
      </c>
      <c r="I66" s="33">
        <f t="shared" ref="I66:AE66" si="91">$E66/12*I67</f>
        <v>0</v>
      </c>
      <c r="J66" s="33">
        <f t="shared" si="91"/>
        <v>0</v>
      </c>
      <c r="K66" s="33">
        <f t="shared" si="91"/>
        <v>0</v>
      </c>
      <c r="L66" s="33">
        <f t="shared" si="91"/>
        <v>0</v>
      </c>
      <c r="M66" s="33">
        <f t="shared" si="91"/>
        <v>0</v>
      </c>
      <c r="N66" s="33">
        <f t="shared" si="91"/>
        <v>0</v>
      </c>
      <c r="O66" s="33">
        <f t="shared" si="91"/>
        <v>0</v>
      </c>
      <c r="P66" s="33">
        <f t="shared" si="91"/>
        <v>0</v>
      </c>
      <c r="Q66" s="33">
        <f t="shared" si="91"/>
        <v>0</v>
      </c>
      <c r="R66" s="33">
        <f t="shared" si="91"/>
        <v>0</v>
      </c>
      <c r="S66" s="33">
        <f t="shared" si="91"/>
        <v>7266.666666666667</v>
      </c>
      <c r="T66" s="33">
        <f t="shared" si="91"/>
        <v>7266.666666666667</v>
      </c>
      <c r="U66" s="33">
        <f t="shared" si="91"/>
        <v>7266.666666666667</v>
      </c>
      <c r="V66" s="33">
        <f t="shared" si="91"/>
        <v>7266.666666666667</v>
      </c>
      <c r="W66" s="33">
        <f t="shared" si="91"/>
        <v>7266.666666666667</v>
      </c>
      <c r="X66" s="33">
        <f t="shared" si="91"/>
        <v>7266.666666666667</v>
      </c>
      <c r="Y66" s="33">
        <f t="shared" si="91"/>
        <v>7266.666666666667</v>
      </c>
      <c r="Z66" s="39">
        <f t="shared" si="91"/>
        <v>14533.333333333334</v>
      </c>
      <c r="AA66" s="33">
        <f t="shared" si="91"/>
        <v>14533.333333333334</v>
      </c>
      <c r="AB66" s="33">
        <f t="shared" si="91"/>
        <v>14533.333333333334</v>
      </c>
      <c r="AC66" s="33">
        <f t="shared" si="91"/>
        <v>21800</v>
      </c>
      <c r="AD66" s="33">
        <f t="shared" si="91"/>
        <v>21800</v>
      </c>
      <c r="AE66" s="33">
        <f t="shared" si="91"/>
        <v>21800</v>
      </c>
      <c r="AG66" s="95">
        <f t="shared" si="3"/>
        <v>7266.666666666667</v>
      </c>
      <c r="AH66" s="95">
        <f t="shared" si="4"/>
        <v>152600</v>
      </c>
      <c r="AI66" s="84">
        <f>$E66*AI67</f>
        <v>261600</v>
      </c>
      <c r="AJ66" s="84">
        <f t="shared" ref="AJ66:AK66" si="92">$E66*AJ67</f>
        <v>261600</v>
      </c>
      <c r="AK66" s="84">
        <f t="shared" si="92"/>
        <v>261600</v>
      </c>
    </row>
    <row r="67" spans="1:37" s="61" customFormat="1">
      <c r="A67" s="65"/>
      <c r="B67" s="65"/>
      <c r="C67" s="65" t="s">
        <v>130</v>
      </c>
      <c r="D67" s="208"/>
      <c r="E67" s="141"/>
      <c r="F67" s="65" t="s">
        <v>301</v>
      </c>
      <c r="G67" s="65"/>
      <c r="H67" s="66">
        <f>IF((H$16+H$34+H$44+H$52+H$60+H$74+H$80)&gt;75,4,IF((H$16+H$34+H$44+H$52+H$60+H$74+H$80)&gt;40,3,IF((H$16+H$34+H$44+H$52+H$60+H$74+H$80)&gt;20,2,IF((H$16+H$34+H$44+H$52+H$60+H$74+H$80)&gt;10,1,0))))</f>
        <v>0</v>
      </c>
      <c r="I67" s="66">
        <f>IF((I$16+I$34+I$44+I$52+I$60+I$74+I$80)&gt;75,4,IF((I$16+I$34+I$44+I$52+I$60+I$74+I$80)&gt;50,3,IF((I$16+I$34+I$44+I$52+I$60+I$74+I$80)&gt;30,2,IF((I$16+I$34+I$44+I$52+I$60+I$74+I$80)&gt;15,1,0))))</f>
        <v>0</v>
      </c>
      <c r="J67" s="66">
        <f t="shared" ref="J67:AE67" si="93">IF((J$16+J$34+J$44+J$52+J$60+J$74+J$80)&gt;75,4,IF((J$16+J$34+J$44+J$52+J$60+J$74+J$80)&gt;50,3,IF((J$16+J$34+J$44+J$52+J$60+J$74+J$80)&gt;30,2,IF((J$16+J$34+J$44+J$52+J$60+J$74+J$80)&gt;15,1,0))))</f>
        <v>0</v>
      </c>
      <c r="K67" s="66">
        <f t="shared" si="93"/>
        <v>0</v>
      </c>
      <c r="L67" s="66">
        <f t="shared" si="93"/>
        <v>0</v>
      </c>
      <c r="M67" s="66">
        <f t="shared" si="93"/>
        <v>0</v>
      </c>
      <c r="N67" s="66">
        <f t="shared" si="93"/>
        <v>0</v>
      </c>
      <c r="O67" s="66">
        <f t="shared" si="93"/>
        <v>0</v>
      </c>
      <c r="P67" s="66">
        <f t="shared" si="93"/>
        <v>0</v>
      </c>
      <c r="Q67" s="66">
        <f t="shared" si="93"/>
        <v>0</v>
      </c>
      <c r="R67" s="66">
        <f t="shared" si="93"/>
        <v>0</v>
      </c>
      <c r="S67" s="66">
        <f t="shared" si="93"/>
        <v>1</v>
      </c>
      <c r="T67" s="66">
        <f t="shared" si="93"/>
        <v>1</v>
      </c>
      <c r="U67" s="66">
        <f t="shared" si="93"/>
        <v>1</v>
      </c>
      <c r="V67" s="66">
        <f t="shared" si="93"/>
        <v>1</v>
      </c>
      <c r="W67" s="66">
        <f t="shared" si="93"/>
        <v>1</v>
      </c>
      <c r="X67" s="66">
        <f t="shared" si="93"/>
        <v>1</v>
      </c>
      <c r="Y67" s="66">
        <f t="shared" si="93"/>
        <v>1</v>
      </c>
      <c r="Z67" s="66">
        <f t="shared" si="93"/>
        <v>2</v>
      </c>
      <c r="AA67" s="66">
        <f t="shared" si="93"/>
        <v>2</v>
      </c>
      <c r="AB67" s="66">
        <f t="shared" si="93"/>
        <v>2</v>
      </c>
      <c r="AC67" s="66">
        <f t="shared" si="93"/>
        <v>3</v>
      </c>
      <c r="AD67" s="66">
        <f t="shared" si="93"/>
        <v>3</v>
      </c>
      <c r="AE67" s="66">
        <f t="shared" si="93"/>
        <v>3</v>
      </c>
      <c r="AF67"/>
      <c r="AG67" s="99">
        <f>S67</f>
        <v>1</v>
      </c>
      <c r="AH67" s="99">
        <f>AE67</f>
        <v>3</v>
      </c>
      <c r="AI67" s="90">
        <f t="shared" ref="AI67:AK67" si="94">IF((AI$16+AI$34+AI$44+AI$52+AI$60+AI$74+AI$80)&gt;75,4,IF((AI$16+AI$34+AI$44+AI$52+AI$60+AI$74+AI$80)&gt;40,3,IF((AI$16+AI$34+AI$44+AI$52+AI$60+AI$74+AI$80)&gt;20,2,IF((AI$16+AI$34+AI$44+AI$52+AI$60+AI$74+AI$80)&gt;10,1,0))))</f>
        <v>3</v>
      </c>
      <c r="AJ67" s="90">
        <f t="shared" si="94"/>
        <v>3</v>
      </c>
      <c r="AK67" s="90">
        <f t="shared" si="94"/>
        <v>3</v>
      </c>
    </row>
    <row r="68" spans="1:37">
      <c r="A68" t="s">
        <v>142</v>
      </c>
      <c r="D68" s="132"/>
      <c r="E68" s="7"/>
      <c r="H68" s="33">
        <f>H67+H65</f>
        <v>0</v>
      </c>
      <c r="I68" s="33">
        <f t="shared" ref="I68:AE68" si="95">I67+I65</f>
        <v>0</v>
      </c>
      <c r="J68" s="33">
        <f t="shared" si="95"/>
        <v>0</v>
      </c>
      <c r="K68" s="33">
        <f t="shared" si="95"/>
        <v>0</v>
      </c>
      <c r="L68" s="33">
        <f t="shared" si="95"/>
        <v>0</v>
      </c>
      <c r="M68" s="33">
        <f t="shared" si="95"/>
        <v>0</v>
      </c>
      <c r="N68" s="33">
        <f t="shared" si="95"/>
        <v>0</v>
      </c>
      <c r="O68" s="33">
        <f t="shared" si="95"/>
        <v>0</v>
      </c>
      <c r="P68" s="33">
        <f t="shared" si="95"/>
        <v>0</v>
      </c>
      <c r="Q68" s="33">
        <f t="shared" si="95"/>
        <v>0</v>
      </c>
      <c r="R68" s="33">
        <f t="shared" si="95"/>
        <v>0</v>
      </c>
      <c r="S68" s="33">
        <f t="shared" si="95"/>
        <v>1</v>
      </c>
      <c r="T68" s="33">
        <f t="shared" si="95"/>
        <v>1</v>
      </c>
      <c r="U68" s="33">
        <f t="shared" si="95"/>
        <v>1</v>
      </c>
      <c r="V68" s="33">
        <f t="shared" si="95"/>
        <v>1</v>
      </c>
      <c r="W68" s="33">
        <f t="shared" si="95"/>
        <v>1</v>
      </c>
      <c r="X68" s="33">
        <f t="shared" si="95"/>
        <v>1</v>
      </c>
      <c r="Y68" s="33">
        <f t="shared" si="95"/>
        <v>1</v>
      </c>
      <c r="Z68" s="39">
        <f t="shared" si="95"/>
        <v>3</v>
      </c>
      <c r="AA68" s="33">
        <f t="shared" si="95"/>
        <v>3</v>
      </c>
      <c r="AB68" s="33">
        <f t="shared" si="95"/>
        <v>3</v>
      </c>
      <c r="AC68" s="33">
        <f t="shared" si="95"/>
        <v>4</v>
      </c>
      <c r="AD68" s="33">
        <f t="shared" si="95"/>
        <v>4</v>
      </c>
      <c r="AE68" s="33">
        <f t="shared" si="95"/>
        <v>4</v>
      </c>
      <c r="AG68" s="95">
        <f>S68</f>
        <v>1</v>
      </c>
      <c r="AH68" s="95">
        <f>AE68</f>
        <v>4</v>
      </c>
      <c r="AI68" s="84">
        <f t="shared" ref="AI68" si="96">AI67+AI65</f>
        <v>4</v>
      </c>
      <c r="AJ68" s="84">
        <f t="shared" ref="AJ68:AK68" si="97">AJ67+AJ65</f>
        <v>4</v>
      </c>
      <c r="AK68" s="84">
        <f t="shared" si="97"/>
        <v>4</v>
      </c>
    </row>
    <row r="69" spans="1:37">
      <c r="A69" t="s">
        <v>156</v>
      </c>
      <c r="D69" s="132"/>
      <c r="E69" s="7"/>
      <c r="H69" s="33">
        <f>H66+H64</f>
        <v>0</v>
      </c>
      <c r="I69" s="33">
        <f t="shared" ref="I69:AE69" si="98">I66+I64</f>
        <v>0</v>
      </c>
      <c r="J69" s="33">
        <f t="shared" si="98"/>
        <v>0</v>
      </c>
      <c r="K69" s="33">
        <f t="shared" si="98"/>
        <v>0</v>
      </c>
      <c r="L69" s="33">
        <f t="shared" si="98"/>
        <v>0</v>
      </c>
      <c r="M69" s="33">
        <f t="shared" si="98"/>
        <v>0</v>
      </c>
      <c r="N69" s="33">
        <f t="shared" si="98"/>
        <v>0</v>
      </c>
      <c r="O69" s="33">
        <f t="shared" si="98"/>
        <v>0</v>
      </c>
      <c r="P69" s="33">
        <f t="shared" si="98"/>
        <v>0</v>
      </c>
      <c r="Q69" s="33">
        <f t="shared" si="98"/>
        <v>0</v>
      </c>
      <c r="R69" s="33">
        <f t="shared" si="98"/>
        <v>0</v>
      </c>
      <c r="S69" s="33">
        <f t="shared" si="98"/>
        <v>7266.666666666667</v>
      </c>
      <c r="T69" s="33">
        <f t="shared" si="98"/>
        <v>7266.666666666667</v>
      </c>
      <c r="U69" s="33">
        <f t="shared" si="98"/>
        <v>7266.666666666667</v>
      </c>
      <c r="V69" s="33">
        <f t="shared" si="98"/>
        <v>7266.666666666667</v>
      </c>
      <c r="W69" s="33">
        <f t="shared" si="98"/>
        <v>7266.666666666667</v>
      </c>
      <c r="X69" s="33">
        <f t="shared" si="98"/>
        <v>7266.666666666667</v>
      </c>
      <c r="Y69" s="33">
        <f t="shared" si="98"/>
        <v>7266.666666666667</v>
      </c>
      <c r="Z69" s="39">
        <f t="shared" si="98"/>
        <v>24979.166666666668</v>
      </c>
      <c r="AA69" s="33">
        <f t="shared" si="98"/>
        <v>24979.166666666668</v>
      </c>
      <c r="AB69" s="33">
        <f t="shared" si="98"/>
        <v>24979.166666666668</v>
      </c>
      <c r="AC69" s="33">
        <f t="shared" si="98"/>
        <v>32245.833333333336</v>
      </c>
      <c r="AD69" s="33">
        <f t="shared" si="98"/>
        <v>32245.833333333336</v>
      </c>
      <c r="AE69" s="33">
        <f t="shared" si="98"/>
        <v>32245.833333333336</v>
      </c>
      <c r="AG69" s="95">
        <f t="shared" si="3"/>
        <v>7266.666666666667</v>
      </c>
      <c r="AH69" s="95">
        <f t="shared" si="4"/>
        <v>215275.00000000003</v>
      </c>
      <c r="AI69" s="84">
        <f t="shared" ref="AI69" si="99">AI66+AI64</f>
        <v>386950</v>
      </c>
      <c r="AJ69" s="84">
        <f t="shared" ref="AJ69:AK69" si="100">AJ66+AJ64</f>
        <v>386950</v>
      </c>
      <c r="AK69" s="84">
        <f t="shared" si="100"/>
        <v>386950</v>
      </c>
    </row>
    <row r="70" spans="1:37">
      <c r="D70" s="132"/>
      <c r="E70" s="7"/>
      <c r="H70" s="33"/>
      <c r="I70" s="33"/>
      <c r="J70" s="33"/>
      <c r="K70" s="33"/>
      <c r="L70" s="33"/>
      <c r="M70" s="33"/>
      <c r="N70" s="33"/>
      <c r="O70" s="33"/>
      <c r="P70" s="33"/>
      <c r="Q70" s="33"/>
      <c r="R70" s="33"/>
      <c r="S70" s="33"/>
      <c r="T70" s="33"/>
      <c r="U70" s="33"/>
      <c r="V70" s="33"/>
      <c r="W70" s="33"/>
      <c r="X70" s="39"/>
      <c r="Y70" s="33"/>
      <c r="Z70" s="39"/>
      <c r="AA70" s="33"/>
      <c r="AB70" s="33"/>
      <c r="AC70" s="33"/>
      <c r="AD70" s="33"/>
      <c r="AE70" s="33"/>
      <c r="AG70" s="95"/>
      <c r="AH70" s="95"/>
      <c r="AI70" s="84"/>
      <c r="AJ70" s="84"/>
      <c r="AK70" s="84"/>
    </row>
    <row r="71" spans="1:37">
      <c r="A71" t="s">
        <v>162</v>
      </c>
      <c r="D71" s="132"/>
      <c r="E71" s="7"/>
      <c r="H71" s="33"/>
      <c r="I71" s="33"/>
      <c r="J71" s="33"/>
      <c r="K71" s="33"/>
      <c r="L71" s="33"/>
      <c r="M71" s="33"/>
      <c r="N71" s="33"/>
      <c r="O71" s="33"/>
      <c r="P71" s="33"/>
      <c r="Q71" s="33"/>
      <c r="R71" s="33"/>
      <c r="S71" s="33"/>
      <c r="T71" s="33"/>
      <c r="U71" s="33"/>
      <c r="V71" s="33"/>
      <c r="W71" s="33"/>
      <c r="X71" s="39"/>
      <c r="Y71" s="33"/>
      <c r="Z71" s="39"/>
      <c r="AA71" s="33"/>
      <c r="AB71" s="33"/>
      <c r="AC71" s="33"/>
      <c r="AD71" s="33"/>
      <c r="AE71" s="33"/>
      <c r="AG71" s="95"/>
      <c r="AH71" s="95"/>
      <c r="AI71" s="84"/>
      <c r="AJ71" s="84"/>
      <c r="AK71" s="84"/>
    </row>
    <row r="72" spans="1:37">
      <c r="B72" t="s">
        <v>163</v>
      </c>
      <c r="D72" s="132">
        <v>55000</v>
      </c>
      <c r="E72" s="7">
        <f>1.09*D72</f>
        <v>59950.000000000007</v>
      </c>
      <c r="H72" s="33">
        <f>$E72/12*H73</f>
        <v>0</v>
      </c>
      <c r="I72" s="33">
        <f t="shared" ref="I72:AE72" si="101">$E72/12*I73</f>
        <v>0</v>
      </c>
      <c r="J72" s="33">
        <f t="shared" si="101"/>
        <v>0</v>
      </c>
      <c r="K72" s="33">
        <f t="shared" si="101"/>
        <v>0</v>
      </c>
      <c r="L72" s="33">
        <f t="shared" si="101"/>
        <v>0</v>
      </c>
      <c r="M72" s="33">
        <f t="shared" si="101"/>
        <v>0</v>
      </c>
      <c r="N72" s="33">
        <f t="shared" si="101"/>
        <v>0</v>
      </c>
      <c r="O72" s="33">
        <f t="shared" si="101"/>
        <v>0</v>
      </c>
      <c r="P72" s="33">
        <f t="shared" si="101"/>
        <v>0</v>
      </c>
      <c r="Q72" s="33">
        <f t="shared" si="101"/>
        <v>0</v>
      </c>
      <c r="R72" s="33">
        <f t="shared" si="101"/>
        <v>0</v>
      </c>
      <c r="S72" s="33">
        <f t="shared" si="101"/>
        <v>4995.8333333333339</v>
      </c>
      <c r="T72" s="33">
        <f t="shared" si="101"/>
        <v>4995.8333333333339</v>
      </c>
      <c r="U72" s="33">
        <f t="shared" si="101"/>
        <v>4995.8333333333339</v>
      </c>
      <c r="V72" s="33">
        <f t="shared" si="101"/>
        <v>4995.8333333333339</v>
      </c>
      <c r="W72" s="33">
        <f t="shared" si="101"/>
        <v>9991.6666666666679</v>
      </c>
      <c r="X72" s="33">
        <f t="shared" si="101"/>
        <v>9991.6666666666679</v>
      </c>
      <c r="Y72" s="33">
        <f t="shared" si="101"/>
        <v>9991.6666666666679</v>
      </c>
      <c r="Z72" s="39">
        <f t="shared" si="101"/>
        <v>9991.6666666666679</v>
      </c>
      <c r="AA72" s="33">
        <f t="shared" si="101"/>
        <v>9991.6666666666679</v>
      </c>
      <c r="AB72" s="33">
        <f t="shared" si="101"/>
        <v>14987.500000000002</v>
      </c>
      <c r="AC72" s="33">
        <f t="shared" si="101"/>
        <v>19983.333333333336</v>
      </c>
      <c r="AD72" s="33">
        <f t="shared" si="101"/>
        <v>19983.333333333336</v>
      </c>
      <c r="AE72" s="33">
        <f t="shared" si="101"/>
        <v>19983.333333333336</v>
      </c>
      <c r="AG72" s="95">
        <f t="shared" ref="AG72:AG84" si="102">SUM(H72:S72)</f>
        <v>4995.8333333333339</v>
      </c>
      <c r="AH72" s="95">
        <f t="shared" ref="AH72:AH84" si="103">SUM(T72:AE72)</f>
        <v>139883.33333333337</v>
      </c>
      <c r="AI72" s="84">
        <f>$E72*AI73</f>
        <v>299750.00000000006</v>
      </c>
      <c r="AJ72" s="84">
        <f t="shared" ref="AJ72:AK72" si="104">$E72*AJ73</f>
        <v>299750.00000000006</v>
      </c>
      <c r="AK72" s="84">
        <f t="shared" si="104"/>
        <v>359700.00000000006</v>
      </c>
    </row>
    <row r="73" spans="1:37" s="61" customFormat="1">
      <c r="A73" s="65"/>
      <c r="B73" s="65"/>
      <c r="C73" s="65" t="s">
        <v>130</v>
      </c>
      <c r="D73" s="208"/>
      <c r="E73" s="141"/>
      <c r="F73" s="65" t="s">
        <v>302</v>
      </c>
      <c r="G73" s="65"/>
      <c r="H73" s="66">
        <f>FLOOR((H16+H34+H44+H52+H60+H80)/10,1)</f>
        <v>0</v>
      </c>
      <c r="I73" s="66">
        <f>FLOOR((I16+I34+I44+I52+I60+I80)/12,1)</f>
        <v>0</v>
      </c>
      <c r="J73" s="66">
        <f t="shared" ref="J73:AE73" si="105">FLOOR((J16+J34+J44+J52+J60+J80)/12,1)</f>
        <v>0</v>
      </c>
      <c r="K73" s="66">
        <f t="shared" si="105"/>
        <v>0</v>
      </c>
      <c r="L73" s="66">
        <f t="shared" si="105"/>
        <v>0</v>
      </c>
      <c r="M73" s="66">
        <f t="shared" si="105"/>
        <v>0</v>
      </c>
      <c r="N73" s="66">
        <f t="shared" si="105"/>
        <v>0</v>
      </c>
      <c r="O73" s="66">
        <f t="shared" si="105"/>
        <v>0</v>
      </c>
      <c r="P73" s="66">
        <f t="shared" si="105"/>
        <v>0</v>
      </c>
      <c r="Q73" s="66">
        <f t="shared" si="105"/>
        <v>0</v>
      </c>
      <c r="R73" s="66">
        <f t="shared" si="105"/>
        <v>0</v>
      </c>
      <c r="S73" s="66">
        <f t="shared" si="105"/>
        <v>1</v>
      </c>
      <c r="T73" s="66">
        <f t="shared" si="105"/>
        <v>1</v>
      </c>
      <c r="U73" s="66">
        <f t="shared" si="105"/>
        <v>1</v>
      </c>
      <c r="V73" s="66">
        <f t="shared" si="105"/>
        <v>1</v>
      </c>
      <c r="W73" s="66">
        <f t="shared" si="105"/>
        <v>2</v>
      </c>
      <c r="X73" s="66">
        <f t="shared" si="105"/>
        <v>2</v>
      </c>
      <c r="Y73" s="66">
        <f t="shared" si="105"/>
        <v>2</v>
      </c>
      <c r="Z73" s="66">
        <f t="shared" si="105"/>
        <v>2</v>
      </c>
      <c r="AA73" s="66">
        <f t="shared" si="105"/>
        <v>2</v>
      </c>
      <c r="AB73" s="66">
        <f t="shared" si="105"/>
        <v>3</v>
      </c>
      <c r="AC73" s="66">
        <f t="shared" si="105"/>
        <v>4</v>
      </c>
      <c r="AD73" s="66">
        <f t="shared" si="105"/>
        <v>4</v>
      </c>
      <c r="AE73" s="66">
        <f t="shared" si="105"/>
        <v>4</v>
      </c>
      <c r="AF73"/>
      <c r="AG73" s="99">
        <f>S73</f>
        <v>1</v>
      </c>
      <c r="AH73" s="99">
        <f>AE73</f>
        <v>4</v>
      </c>
      <c r="AI73" s="90">
        <f t="shared" ref="AI73:AK73" si="106">FLOOR((AI16+AI34+AI44+AI52+AI60+AI80)/10,1)</f>
        <v>5</v>
      </c>
      <c r="AJ73" s="90">
        <f t="shared" si="106"/>
        <v>5</v>
      </c>
      <c r="AK73" s="90">
        <f t="shared" si="106"/>
        <v>6</v>
      </c>
    </row>
    <row r="74" spans="1:37">
      <c r="A74" t="s">
        <v>164</v>
      </c>
      <c r="D74" s="132"/>
      <c r="E74" s="7"/>
      <c r="H74" s="33">
        <f>H73</f>
        <v>0</v>
      </c>
      <c r="I74" s="33">
        <f t="shared" ref="I74:AE74" si="107">I73</f>
        <v>0</v>
      </c>
      <c r="J74" s="33">
        <f t="shared" si="107"/>
        <v>0</v>
      </c>
      <c r="K74" s="33">
        <f t="shared" si="107"/>
        <v>0</v>
      </c>
      <c r="L74" s="33">
        <f t="shared" si="107"/>
        <v>0</v>
      </c>
      <c r="M74" s="33">
        <f t="shared" si="107"/>
        <v>0</v>
      </c>
      <c r="N74" s="33">
        <f t="shared" si="107"/>
        <v>0</v>
      </c>
      <c r="O74" s="33">
        <f t="shared" si="107"/>
        <v>0</v>
      </c>
      <c r="P74" s="33">
        <f t="shared" si="107"/>
        <v>0</v>
      </c>
      <c r="Q74" s="33">
        <f t="shared" si="107"/>
        <v>0</v>
      </c>
      <c r="R74" s="33">
        <f t="shared" si="107"/>
        <v>0</v>
      </c>
      <c r="S74" s="33">
        <f t="shared" si="107"/>
        <v>1</v>
      </c>
      <c r="T74" s="33">
        <f t="shared" si="107"/>
        <v>1</v>
      </c>
      <c r="U74" s="33">
        <f t="shared" si="107"/>
        <v>1</v>
      </c>
      <c r="V74" s="33">
        <f t="shared" si="107"/>
        <v>1</v>
      </c>
      <c r="W74" s="33">
        <f t="shared" si="107"/>
        <v>2</v>
      </c>
      <c r="X74" s="33">
        <f t="shared" si="107"/>
        <v>2</v>
      </c>
      <c r="Y74" s="33">
        <f t="shared" si="107"/>
        <v>2</v>
      </c>
      <c r="Z74" s="39">
        <f t="shared" si="107"/>
        <v>2</v>
      </c>
      <c r="AA74" s="33">
        <f t="shared" si="107"/>
        <v>2</v>
      </c>
      <c r="AB74" s="33">
        <f t="shared" si="107"/>
        <v>3</v>
      </c>
      <c r="AC74" s="33">
        <f t="shared" si="107"/>
        <v>4</v>
      </c>
      <c r="AD74" s="33">
        <f t="shared" si="107"/>
        <v>4</v>
      </c>
      <c r="AE74" s="33">
        <f t="shared" si="107"/>
        <v>4</v>
      </c>
      <c r="AG74" s="95">
        <f>S74</f>
        <v>1</v>
      </c>
      <c r="AH74" s="95">
        <f>AE74</f>
        <v>4</v>
      </c>
      <c r="AI74" s="84">
        <f t="shared" ref="AI74" si="108">AI73</f>
        <v>5</v>
      </c>
      <c r="AJ74" s="84">
        <f t="shared" ref="AJ74:AK74" si="109">AJ73</f>
        <v>5</v>
      </c>
      <c r="AK74" s="84">
        <f t="shared" si="109"/>
        <v>6</v>
      </c>
    </row>
    <row r="75" spans="1:37">
      <c r="A75" t="s">
        <v>165</v>
      </c>
      <c r="D75" s="132"/>
      <c r="E75" s="7"/>
      <c r="H75" s="33">
        <f>H72</f>
        <v>0</v>
      </c>
      <c r="I75" s="33">
        <f t="shared" ref="I75:AE75" si="110">I72</f>
        <v>0</v>
      </c>
      <c r="J75" s="33">
        <f t="shared" si="110"/>
        <v>0</v>
      </c>
      <c r="K75" s="33">
        <f t="shared" si="110"/>
        <v>0</v>
      </c>
      <c r="L75" s="33">
        <f t="shared" si="110"/>
        <v>0</v>
      </c>
      <c r="M75" s="33">
        <f t="shared" si="110"/>
        <v>0</v>
      </c>
      <c r="N75" s="33">
        <f t="shared" si="110"/>
        <v>0</v>
      </c>
      <c r="O75" s="33">
        <f t="shared" si="110"/>
        <v>0</v>
      </c>
      <c r="P75" s="33">
        <f t="shared" si="110"/>
        <v>0</v>
      </c>
      <c r="Q75" s="33">
        <f t="shared" si="110"/>
        <v>0</v>
      </c>
      <c r="R75" s="33">
        <f t="shared" si="110"/>
        <v>0</v>
      </c>
      <c r="S75" s="33">
        <f t="shared" si="110"/>
        <v>4995.8333333333339</v>
      </c>
      <c r="T75" s="33">
        <f t="shared" si="110"/>
        <v>4995.8333333333339</v>
      </c>
      <c r="U75" s="33">
        <f t="shared" si="110"/>
        <v>4995.8333333333339</v>
      </c>
      <c r="V75" s="33">
        <f t="shared" si="110"/>
        <v>4995.8333333333339</v>
      </c>
      <c r="W75" s="33">
        <f t="shared" si="110"/>
        <v>9991.6666666666679</v>
      </c>
      <c r="X75" s="33">
        <f t="shared" si="110"/>
        <v>9991.6666666666679</v>
      </c>
      <c r="Y75" s="33">
        <f t="shared" si="110"/>
        <v>9991.6666666666679</v>
      </c>
      <c r="Z75" s="39">
        <f t="shared" si="110"/>
        <v>9991.6666666666679</v>
      </c>
      <c r="AA75" s="33">
        <f t="shared" si="110"/>
        <v>9991.6666666666679</v>
      </c>
      <c r="AB75" s="33">
        <f t="shared" si="110"/>
        <v>14987.500000000002</v>
      </c>
      <c r="AC75" s="33">
        <f t="shared" si="110"/>
        <v>19983.333333333336</v>
      </c>
      <c r="AD75" s="33">
        <f t="shared" si="110"/>
        <v>19983.333333333336</v>
      </c>
      <c r="AE75" s="33">
        <f t="shared" si="110"/>
        <v>19983.333333333336</v>
      </c>
      <c r="AG75" s="95">
        <f t="shared" si="102"/>
        <v>4995.8333333333339</v>
      </c>
      <c r="AH75" s="95">
        <f t="shared" si="103"/>
        <v>139883.33333333337</v>
      </c>
      <c r="AI75" s="84">
        <f t="shared" ref="AI75" si="111">AI72</f>
        <v>299750.00000000006</v>
      </c>
      <c r="AJ75" s="84">
        <f t="shared" ref="AJ75:AK75" si="112">AJ72</f>
        <v>299750.00000000006</v>
      </c>
      <c r="AK75" s="84">
        <f t="shared" si="112"/>
        <v>359700.00000000006</v>
      </c>
    </row>
    <row r="76" spans="1:37">
      <c r="D76" s="132"/>
      <c r="E76" s="7"/>
      <c r="H76" s="33"/>
      <c r="I76" s="33"/>
      <c r="J76" s="33"/>
      <c r="K76" s="33"/>
      <c r="L76" s="33"/>
      <c r="M76" s="33"/>
      <c r="N76" s="33"/>
      <c r="O76" s="33"/>
      <c r="P76" s="33"/>
      <c r="Q76" s="33"/>
      <c r="R76" s="33"/>
      <c r="S76" s="33"/>
      <c r="T76" s="33"/>
      <c r="U76" s="33"/>
      <c r="V76" s="33"/>
      <c r="W76" s="33"/>
      <c r="X76" s="33"/>
      <c r="Y76" s="33"/>
      <c r="Z76" s="39"/>
      <c r="AA76" s="33"/>
      <c r="AB76" s="33"/>
      <c r="AC76" s="33"/>
      <c r="AD76" s="33"/>
      <c r="AE76" s="33"/>
      <c r="AG76" s="95"/>
      <c r="AH76" s="95"/>
      <c r="AI76" s="84"/>
      <c r="AJ76" s="84"/>
      <c r="AK76" s="84"/>
    </row>
    <row r="77" spans="1:37">
      <c r="A77" t="s">
        <v>148</v>
      </c>
      <c r="D77" s="132"/>
      <c r="E77" s="7"/>
      <c r="H77" s="33"/>
      <c r="I77" s="33"/>
      <c r="J77" s="33"/>
      <c r="K77" s="33"/>
      <c r="L77" s="33"/>
      <c r="M77" s="33"/>
      <c r="N77" s="33"/>
      <c r="O77" s="33"/>
      <c r="P77" s="33"/>
      <c r="Q77" s="33"/>
      <c r="R77" s="33"/>
      <c r="S77" s="33"/>
      <c r="T77" s="33"/>
      <c r="U77" s="33"/>
      <c r="V77" s="33"/>
      <c r="W77" s="33"/>
      <c r="X77" s="39"/>
      <c r="Y77" s="33"/>
      <c r="Z77" s="39"/>
      <c r="AA77" s="33"/>
      <c r="AB77" s="33"/>
      <c r="AC77" s="33"/>
      <c r="AD77" s="33"/>
      <c r="AE77" s="33"/>
      <c r="AG77" s="95"/>
      <c r="AH77" s="95"/>
      <c r="AI77" s="84"/>
      <c r="AJ77" s="84"/>
      <c r="AK77" s="84"/>
    </row>
    <row r="78" spans="1:37">
      <c r="B78" t="s">
        <v>149</v>
      </c>
      <c r="D78" s="132">
        <v>95000</v>
      </c>
      <c r="E78" s="7">
        <f>1.09*D78</f>
        <v>103550.00000000001</v>
      </c>
      <c r="H78" s="33">
        <f>$E78/12*H79</f>
        <v>0</v>
      </c>
      <c r="I78" s="33">
        <f t="shared" ref="I78:AE78" si="113">$E78/12*I79</f>
        <v>0</v>
      </c>
      <c r="J78" s="33">
        <f t="shared" si="113"/>
        <v>0</v>
      </c>
      <c r="K78" s="33">
        <f t="shared" si="113"/>
        <v>0</v>
      </c>
      <c r="L78" s="33">
        <f t="shared" si="113"/>
        <v>0</v>
      </c>
      <c r="M78" s="33">
        <f t="shared" si="113"/>
        <v>0</v>
      </c>
      <c r="N78" s="33">
        <f t="shared" si="113"/>
        <v>0</v>
      </c>
      <c r="O78" s="33">
        <f t="shared" si="113"/>
        <v>0</v>
      </c>
      <c r="P78" s="33">
        <f t="shared" si="113"/>
        <v>0</v>
      </c>
      <c r="Q78" s="33">
        <f t="shared" si="113"/>
        <v>0</v>
      </c>
      <c r="R78" s="33">
        <f t="shared" si="113"/>
        <v>0</v>
      </c>
      <c r="S78" s="33">
        <f t="shared" si="113"/>
        <v>0</v>
      </c>
      <c r="T78" s="33">
        <f t="shared" si="113"/>
        <v>0</v>
      </c>
      <c r="U78" s="33">
        <f t="shared" si="113"/>
        <v>0</v>
      </c>
      <c r="V78" s="33">
        <f t="shared" si="113"/>
        <v>0</v>
      </c>
      <c r="W78" s="33">
        <f t="shared" si="113"/>
        <v>0</v>
      </c>
      <c r="X78" s="33">
        <f t="shared" si="113"/>
        <v>0</v>
      </c>
      <c r="Y78" s="33">
        <f t="shared" si="113"/>
        <v>0</v>
      </c>
      <c r="Z78" s="39">
        <f t="shared" si="113"/>
        <v>8629.1666666666679</v>
      </c>
      <c r="AA78" s="33">
        <f t="shared" si="113"/>
        <v>8629.1666666666679</v>
      </c>
      <c r="AB78" s="33">
        <f t="shared" si="113"/>
        <v>8629.1666666666679</v>
      </c>
      <c r="AC78" s="33">
        <f t="shared" si="113"/>
        <v>8629.1666666666679</v>
      </c>
      <c r="AD78" s="33">
        <f t="shared" si="113"/>
        <v>8629.1666666666679</v>
      </c>
      <c r="AE78" s="33">
        <f t="shared" si="113"/>
        <v>8629.1666666666679</v>
      </c>
      <c r="AG78" s="95">
        <f t="shared" si="102"/>
        <v>0</v>
      </c>
      <c r="AH78" s="95">
        <f t="shared" si="103"/>
        <v>51775.000000000015</v>
      </c>
      <c r="AI78" s="84">
        <f>$E78*AI79</f>
        <v>207100.00000000003</v>
      </c>
      <c r="AJ78" s="84">
        <f t="shared" ref="AJ78:AK78" si="114">$E78*AJ79</f>
        <v>310650.00000000006</v>
      </c>
      <c r="AK78" s="84">
        <f t="shared" si="114"/>
        <v>310650.00000000006</v>
      </c>
    </row>
    <row r="79" spans="1:37" s="61" customFormat="1">
      <c r="A79" s="65"/>
      <c r="B79" s="65"/>
      <c r="C79" s="65" t="s">
        <v>130</v>
      </c>
      <c r="D79" s="141"/>
      <c r="E79" s="141"/>
      <c r="F79" s="65" t="s">
        <v>197</v>
      </c>
      <c r="G79" s="65"/>
      <c r="H79" s="66">
        <f>IF(G$4&gt;30000000,3,IF(G$4&gt;10000000,2,IF(G$4&gt;1000000,1,0)))</f>
        <v>0</v>
      </c>
      <c r="I79" s="66">
        <f t="shared" ref="I79:AK79" si="115">IF(H$4&gt;30000000,3,IF(H$4&gt;10000000,2,IF(H$4&gt;1000000,1,0)))</f>
        <v>0</v>
      </c>
      <c r="J79" s="66">
        <f t="shared" si="115"/>
        <v>0</v>
      </c>
      <c r="K79" s="66">
        <f t="shared" si="115"/>
        <v>0</v>
      </c>
      <c r="L79" s="66">
        <f t="shared" si="115"/>
        <v>0</v>
      </c>
      <c r="M79" s="66">
        <f t="shared" si="115"/>
        <v>0</v>
      </c>
      <c r="N79" s="66">
        <f t="shared" si="115"/>
        <v>0</v>
      </c>
      <c r="O79" s="66">
        <f t="shared" si="115"/>
        <v>0</v>
      </c>
      <c r="P79" s="66">
        <f t="shared" si="115"/>
        <v>0</v>
      </c>
      <c r="Q79" s="66">
        <f t="shared" si="115"/>
        <v>0</v>
      </c>
      <c r="R79" s="66">
        <f t="shared" si="115"/>
        <v>0</v>
      </c>
      <c r="S79" s="66">
        <f t="shared" si="115"/>
        <v>0</v>
      </c>
      <c r="T79" s="66">
        <f t="shared" si="115"/>
        <v>0</v>
      </c>
      <c r="U79" s="66">
        <f t="shared" si="115"/>
        <v>0</v>
      </c>
      <c r="V79" s="66">
        <f t="shared" si="115"/>
        <v>0</v>
      </c>
      <c r="W79" s="66">
        <f t="shared" si="115"/>
        <v>0</v>
      </c>
      <c r="X79" s="66">
        <f t="shared" si="115"/>
        <v>0</v>
      </c>
      <c r="Y79" s="66">
        <f t="shared" si="115"/>
        <v>0</v>
      </c>
      <c r="Z79" s="66">
        <f t="shared" si="115"/>
        <v>1</v>
      </c>
      <c r="AA79" s="66">
        <f t="shared" si="115"/>
        <v>1</v>
      </c>
      <c r="AB79" s="66">
        <f t="shared" si="115"/>
        <v>1</v>
      </c>
      <c r="AC79" s="66">
        <f t="shared" si="115"/>
        <v>1</v>
      </c>
      <c r="AD79" s="66">
        <f t="shared" si="115"/>
        <v>1</v>
      </c>
      <c r="AE79" s="66">
        <f t="shared" si="115"/>
        <v>1</v>
      </c>
      <c r="AF79"/>
      <c r="AG79" s="99">
        <f>S79</f>
        <v>0</v>
      </c>
      <c r="AH79" s="99">
        <f>AE79</f>
        <v>1</v>
      </c>
      <c r="AI79" s="90">
        <f t="shared" si="115"/>
        <v>2</v>
      </c>
      <c r="AJ79" s="90">
        <f t="shared" si="115"/>
        <v>3</v>
      </c>
      <c r="AK79" s="90">
        <f t="shared" si="115"/>
        <v>3</v>
      </c>
    </row>
    <row r="80" spans="1:37">
      <c r="A80" t="s">
        <v>150</v>
      </c>
      <c r="D80" s="7"/>
      <c r="E80" s="7"/>
      <c r="H80" s="33">
        <f>H79</f>
        <v>0</v>
      </c>
      <c r="I80" s="33">
        <f t="shared" ref="I80:AE80" si="116">I79</f>
        <v>0</v>
      </c>
      <c r="J80" s="33">
        <f t="shared" si="116"/>
        <v>0</v>
      </c>
      <c r="K80" s="33">
        <f t="shared" si="116"/>
        <v>0</v>
      </c>
      <c r="L80" s="33">
        <f t="shared" si="116"/>
        <v>0</v>
      </c>
      <c r="M80" s="33">
        <f t="shared" si="116"/>
        <v>0</v>
      </c>
      <c r="N80" s="33">
        <f t="shared" si="116"/>
        <v>0</v>
      </c>
      <c r="O80" s="33">
        <f t="shared" si="116"/>
        <v>0</v>
      </c>
      <c r="P80" s="33">
        <f t="shared" si="116"/>
        <v>0</v>
      </c>
      <c r="Q80" s="33">
        <f t="shared" si="116"/>
        <v>0</v>
      </c>
      <c r="R80" s="33">
        <f t="shared" si="116"/>
        <v>0</v>
      </c>
      <c r="S80" s="33">
        <f t="shared" si="116"/>
        <v>0</v>
      </c>
      <c r="T80" s="33">
        <f t="shared" si="116"/>
        <v>0</v>
      </c>
      <c r="U80" s="33">
        <f t="shared" si="116"/>
        <v>0</v>
      </c>
      <c r="V80" s="33">
        <f t="shared" si="116"/>
        <v>0</v>
      </c>
      <c r="W80" s="33">
        <f t="shared" si="116"/>
        <v>0</v>
      </c>
      <c r="X80" s="33">
        <f t="shared" si="116"/>
        <v>0</v>
      </c>
      <c r="Y80" s="33">
        <f t="shared" si="116"/>
        <v>0</v>
      </c>
      <c r="Z80" s="39">
        <f t="shared" si="116"/>
        <v>1</v>
      </c>
      <c r="AA80" s="33">
        <f t="shared" si="116"/>
        <v>1</v>
      </c>
      <c r="AB80" s="33">
        <f t="shared" si="116"/>
        <v>1</v>
      </c>
      <c r="AC80" s="33">
        <f t="shared" si="116"/>
        <v>1</v>
      </c>
      <c r="AD80" s="33">
        <f t="shared" si="116"/>
        <v>1</v>
      </c>
      <c r="AE80" s="33">
        <f t="shared" si="116"/>
        <v>1</v>
      </c>
      <c r="AG80" s="95">
        <f>S80</f>
        <v>0</v>
      </c>
      <c r="AH80" s="95">
        <f>AE80</f>
        <v>1</v>
      </c>
      <c r="AI80" s="84">
        <f t="shared" ref="AI80" si="117">AI79</f>
        <v>2</v>
      </c>
      <c r="AJ80" s="84">
        <f t="shared" ref="AJ80:AK80" si="118">AJ79</f>
        <v>3</v>
      </c>
      <c r="AK80" s="84">
        <f t="shared" si="118"/>
        <v>3</v>
      </c>
    </row>
    <row r="81" spans="1:37">
      <c r="A81" t="s">
        <v>157</v>
      </c>
      <c r="D81" s="7"/>
      <c r="E81" s="7"/>
      <c r="H81" s="33">
        <f>H78</f>
        <v>0</v>
      </c>
      <c r="I81" s="33">
        <f t="shared" ref="I81:AE81" si="119">I78</f>
        <v>0</v>
      </c>
      <c r="J81" s="33">
        <f t="shared" si="119"/>
        <v>0</v>
      </c>
      <c r="K81" s="33">
        <f t="shared" si="119"/>
        <v>0</v>
      </c>
      <c r="L81" s="33">
        <f t="shared" si="119"/>
        <v>0</v>
      </c>
      <c r="M81" s="33">
        <f t="shared" si="119"/>
        <v>0</v>
      </c>
      <c r="N81" s="33">
        <f t="shared" si="119"/>
        <v>0</v>
      </c>
      <c r="O81" s="33">
        <f t="shared" si="119"/>
        <v>0</v>
      </c>
      <c r="P81" s="33">
        <f t="shared" si="119"/>
        <v>0</v>
      </c>
      <c r="Q81" s="33">
        <f t="shared" si="119"/>
        <v>0</v>
      </c>
      <c r="R81" s="33">
        <f t="shared" si="119"/>
        <v>0</v>
      </c>
      <c r="S81" s="33">
        <f t="shared" si="119"/>
        <v>0</v>
      </c>
      <c r="T81" s="33">
        <f t="shared" si="119"/>
        <v>0</v>
      </c>
      <c r="U81" s="33">
        <f t="shared" si="119"/>
        <v>0</v>
      </c>
      <c r="V81" s="33">
        <f t="shared" si="119"/>
        <v>0</v>
      </c>
      <c r="W81" s="33">
        <f t="shared" si="119"/>
        <v>0</v>
      </c>
      <c r="X81" s="33">
        <f t="shared" si="119"/>
        <v>0</v>
      </c>
      <c r="Y81" s="33">
        <f t="shared" si="119"/>
        <v>0</v>
      </c>
      <c r="Z81" s="39">
        <f t="shared" si="119"/>
        <v>8629.1666666666679</v>
      </c>
      <c r="AA81" s="33">
        <f t="shared" si="119"/>
        <v>8629.1666666666679</v>
      </c>
      <c r="AB81" s="33">
        <f t="shared" si="119"/>
        <v>8629.1666666666679</v>
      </c>
      <c r="AC81" s="33">
        <f t="shared" si="119"/>
        <v>8629.1666666666679</v>
      </c>
      <c r="AD81" s="33">
        <f t="shared" si="119"/>
        <v>8629.1666666666679</v>
      </c>
      <c r="AE81" s="33">
        <f t="shared" si="119"/>
        <v>8629.1666666666679</v>
      </c>
      <c r="AG81" s="95">
        <f t="shared" si="102"/>
        <v>0</v>
      </c>
      <c r="AH81" s="95">
        <f t="shared" si="103"/>
        <v>51775.000000000015</v>
      </c>
      <c r="AI81" s="84">
        <f t="shared" ref="AI81" si="120">AI78</f>
        <v>207100.00000000003</v>
      </c>
      <c r="AJ81" s="84">
        <f t="shared" ref="AJ81:AK81" si="121">AJ78</f>
        <v>310650.00000000006</v>
      </c>
      <c r="AK81" s="84">
        <f t="shared" si="121"/>
        <v>310650.00000000006</v>
      </c>
    </row>
    <row r="82" spans="1:37" ht="16" thickBot="1">
      <c r="A82" s="47"/>
      <c r="B82" s="47"/>
      <c r="C82" s="47"/>
      <c r="D82" s="144"/>
      <c r="E82" s="144"/>
      <c r="F82" s="47"/>
      <c r="G82" s="47"/>
      <c r="H82" s="48"/>
      <c r="I82" s="48"/>
      <c r="J82" s="48"/>
      <c r="K82" s="48"/>
      <c r="L82" s="48"/>
      <c r="M82" s="48"/>
      <c r="N82" s="48"/>
      <c r="O82" s="48"/>
      <c r="P82" s="48"/>
      <c r="Q82" s="48"/>
      <c r="R82" s="48"/>
      <c r="S82" s="48"/>
      <c r="T82" s="48"/>
      <c r="U82" s="48"/>
      <c r="V82" s="48"/>
      <c r="W82" s="48"/>
      <c r="X82" s="48"/>
      <c r="Y82" s="48"/>
      <c r="Z82" s="48"/>
      <c r="AA82" s="48"/>
      <c r="AB82" s="48"/>
      <c r="AC82" s="48"/>
      <c r="AD82" s="48"/>
      <c r="AE82" s="48"/>
      <c r="AG82" s="145"/>
      <c r="AH82" s="145"/>
      <c r="AI82" s="146"/>
      <c r="AJ82" s="146"/>
      <c r="AK82" s="146"/>
    </row>
    <row r="83" spans="1:37" s="9" customFormat="1" ht="16" thickTop="1">
      <c r="A83" s="9" t="s">
        <v>137</v>
      </c>
      <c r="D83" s="147"/>
      <c r="E83" s="147"/>
      <c r="H83" s="148">
        <f>H80+H68+H60+H52+H44+H34+H16+H74</f>
        <v>2</v>
      </c>
      <c r="I83" s="148">
        <f t="shared" ref="I83:AE83" si="122">I80+I68+I60+I52+I44+I34+I16+I74</f>
        <v>2</v>
      </c>
      <c r="J83" s="148">
        <f t="shared" si="122"/>
        <v>2</v>
      </c>
      <c r="K83" s="148">
        <f t="shared" si="122"/>
        <v>2</v>
      </c>
      <c r="L83" s="148">
        <f t="shared" si="122"/>
        <v>4</v>
      </c>
      <c r="M83" s="148">
        <f t="shared" si="122"/>
        <v>5</v>
      </c>
      <c r="N83" s="148">
        <f t="shared" si="122"/>
        <v>5</v>
      </c>
      <c r="O83" s="148">
        <f t="shared" si="122"/>
        <v>8</v>
      </c>
      <c r="P83" s="148">
        <f t="shared" si="122"/>
        <v>9</v>
      </c>
      <c r="Q83" s="148">
        <f t="shared" si="122"/>
        <v>9</v>
      </c>
      <c r="R83" s="148">
        <f t="shared" si="122"/>
        <v>9</v>
      </c>
      <c r="S83" s="148">
        <f t="shared" si="122"/>
        <v>17</v>
      </c>
      <c r="T83" s="148">
        <f t="shared" si="122"/>
        <v>17</v>
      </c>
      <c r="U83" s="148">
        <f t="shared" si="122"/>
        <v>19</v>
      </c>
      <c r="V83" s="148">
        <f t="shared" si="122"/>
        <v>19</v>
      </c>
      <c r="W83" s="148">
        <f t="shared" si="122"/>
        <v>29</v>
      </c>
      <c r="X83" s="148">
        <f t="shared" si="122"/>
        <v>31</v>
      </c>
      <c r="Y83" s="148">
        <f t="shared" si="122"/>
        <v>31</v>
      </c>
      <c r="Z83" s="149">
        <f t="shared" si="122"/>
        <v>34</v>
      </c>
      <c r="AA83" s="148">
        <f t="shared" si="122"/>
        <v>34</v>
      </c>
      <c r="AB83" s="148">
        <f t="shared" si="122"/>
        <v>48</v>
      </c>
      <c r="AC83" s="148">
        <f t="shared" si="122"/>
        <v>56</v>
      </c>
      <c r="AD83" s="148">
        <f t="shared" si="122"/>
        <v>56</v>
      </c>
      <c r="AE83" s="148">
        <f t="shared" si="122"/>
        <v>56</v>
      </c>
      <c r="AG83" s="150">
        <f>S83</f>
        <v>17</v>
      </c>
      <c r="AH83" s="150">
        <f>AE83</f>
        <v>56</v>
      </c>
      <c r="AI83" s="151">
        <f t="shared" ref="AI83" si="123">AI80+AI68+AI60+AI52+AI44+AI34+AI16+AI74</f>
        <v>60</v>
      </c>
      <c r="AJ83" s="151">
        <f t="shared" ref="AJ83:AK83" si="124">AJ80+AJ68+AJ60+AJ52+AJ44+AJ34+AJ16+AJ74</f>
        <v>66</v>
      </c>
      <c r="AK83" s="151">
        <f t="shared" si="124"/>
        <v>77</v>
      </c>
    </row>
    <row r="84" spans="1:37" s="9" customFormat="1">
      <c r="A84" s="9" t="s">
        <v>158</v>
      </c>
      <c r="D84" s="147"/>
      <c r="E84" s="147"/>
      <c r="H84" s="148">
        <f>H81+H69+H61+H53+H45+H35+H17+H75</f>
        <v>14533.333333333334</v>
      </c>
      <c r="I84" s="148">
        <f t="shared" ref="I84:AE84" si="125">I81+I69+I61+I53+I45+I35+I17+I75</f>
        <v>14533.333333333334</v>
      </c>
      <c r="J84" s="148">
        <f t="shared" si="125"/>
        <v>14533.333333333334</v>
      </c>
      <c r="K84" s="148">
        <f t="shared" si="125"/>
        <v>14533.333333333334</v>
      </c>
      <c r="L84" s="148">
        <f t="shared" si="125"/>
        <v>33154.166666666672</v>
      </c>
      <c r="M84" s="148">
        <f t="shared" si="125"/>
        <v>40420.833333333336</v>
      </c>
      <c r="N84" s="148">
        <f t="shared" si="125"/>
        <v>40420.833333333336</v>
      </c>
      <c r="O84" s="148">
        <f t="shared" si="125"/>
        <v>66308.333333333343</v>
      </c>
      <c r="P84" s="148">
        <f t="shared" si="125"/>
        <v>70395.833333333343</v>
      </c>
      <c r="Q84" s="148">
        <f t="shared" si="125"/>
        <v>70395.833333333343</v>
      </c>
      <c r="R84" s="148">
        <f t="shared" si="125"/>
        <v>70395.833333333343</v>
      </c>
      <c r="S84" s="148">
        <f t="shared" si="125"/>
        <v>131708.33333333334</v>
      </c>
      <c r="T84" s="148">
        <f t="shared" si="125"/>
        <v>131708.33333333334</v>
      </c>
      <c r="U84" s="148">
        <f t="shared" si="125"/>
        <v>143062.5</v>
      </c>
      <c r="V84" s="148">
        <f t="shared" si="125"/>
        <v>143062.5</v>
      </c>
      <c r="W84" s="148">
        <f t="shared" si="125"/>
        <v>220725</v>
      </c>
      <c r="X84" s="148">
        <f t="shared" si="125"/>
        <v>242525</v>
      </c>
      <c r="Y84" s="148">
        <f t="shared" si="125"/>
        <v>242525</v>
      </c>
      <c r="Z84" s="149">
        <f t="shared" si="125"/>
        <v>272500.00000000006</v>
      </c>
      <c r="AA84" s="148">
        <f t="shared" si="125"/>
        <v>272500.00000000006</v>
      </c>
      <c r="AB84" s="148">
        <f t="shared" si="125"/>
        <v>383770.83333333337</v>
      </c>
      <c r="AC84" s="148">
        <f t="shared" si="125"/>
        <v>458254.16666666669</v>
      </c>
      <c r="AD84" s="148">
        <f t="shared" si="125"/>
        <v>458254.16666666669</v>
      </c>
      <c r="AE84" s="148">
        <f t="shared" si="125"/>
        <v>458254.16666666669</v>
      </c>
      <c r="AG84" s="150">
        <f t="shared" si="102"/>
        <v>581333.33333333349</v>
      </c>
      <c r="AH84" s="150">
        <f t="shared" si="103"/>
        <v>3427141.6666666665</v>
      </c>
      <c r="AI84" s="151">
        <f t="shared" ref="AI84" si="126">AI81+AI69+AI61+AI53+AI45+AI35+AI17+AI75</f>
        <v>5875100</v>
      </c>
      <c r="AJ84" s="151">
        <f t="shared" ref="AJ84:AK84" si="127">AJ81+AJ69+AJ61+AJ53+AJ45+AJ35+AJ17+AJ75</f>
        <v>6387400</v>
      </c>
      <c r="AK84" s="151">
        <f t="shared" si="127"/>
        <v>7346600</v>
      </c>
    </row>
    <row r="85" spans="1:37">
      <c r="Z85" s="36"/>
    </row>
  </sheetData>
  <phoneticPr fontId="20" type="noConversion"/>
  <printOptions horizontalCentered="1" verticalCentered="1"/>
  <pageMargins left="0" right="0" top="0" bottom="0" header="0.5" footer="0.5"/>
  <pageSetup scale="27" orientation="landscape" horizontalDpi="4294967292" verticalDpi="4294967292"/>
  <ignoredErrors>
    <ignoredError sqref="H10:AK11 I12:AK22 I83:AK84 I82:AE82 AG82:AK82 I24:AK30 AF23:AH23 I23:AE23 I32:AK48 AF31:AH31 I31:AE31 AI23:AK23 I50:AK66 AF49:AH49 I49:AE49 AI49:AK49 I68:AK72 AF67:AK67 I74:AK81 AF73:AK73" formula="1"/>
    <ignoredError sqref="H12:H49 H50:H84" formula="1" emptyCellReference="1"/>
    <ignoredError sqref="H85:H88" emptyCellReference="1"/>
  </ignoredErrors>
  <extLst>
    <ext xmlns:mx="http://schemas.microsoft.com/office/mac/excel/2008/main" uri="{64002731-A6B0-56B0-2670-7721B7C09600}">
      <mx:PLV Mode="0" OnePage="0" WScale="19"/>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7"/>
  <sheetViews>
    <sheetView showGridLines="0" workbookViewId="0"/>
  </sheetViews>
  <sheetFormatPr baseColWidth="10" defaultRowHeight="15" x14ac:dyDescent="0"/>
  <cols>
    <col min="1" max="1" width="3.6640625" customWidth="1"/>
    <col min="2" max="2" width="5.33203125" customWidth="1"/>
    <col min="3" max="3" width="3.1640625" customWidth="1"/>
    <col min="4" max="4" width="2.83203125" customWidth="1"/>
    <col min="5" max="5" width="22.33203125" customWidth="1"/>
    <col min="6" max="6" width="16.6640625" customWidth="1"/>
    <col min="7" max="7" width="6.5" customWidth="1"/>
  </cols>
  <sheetData>
    <row r="2" spans="2:6" ht="18">
      <c r="B2" s="191" t="s">
        <v>291</v>
      </c>
    </row>
    <row r="4" spans="2:6" hidden="1">
      <c r="C4" t="s">
        <v>203</v>
      </c>
      <c r="F4">
        <v>1</v>
      </c>
    </row>
    <row r="6" spans="2:6">
      <c r="C6" s="9" t="s">
        <v>83</v>
      </c>
      <c r="D6" s="9"/>
      <c r="E6" s="9"/>
      <c r="F6" s="121">
        <f>E15*F14*F4</f>
        <v>107</v>
      </c>
    </row>
    <row r="7" spans="2:6">
      <c r="D7" t="s">
        <v>76</v>
      </c>
      <c r="F7" s="3">
        <f>F9*F8</f>
        <v>120</v>
      </c>
    </row>
    <row r="8" spans="2:6">
      <c r="E8" t="s">
        <v>77</v>
      </c>
      <c r="F8" s="122">
        <v>4</v>
      </c>
    </row>
    <row r="9" spans="2:6">
      <c r="E9" t="s">
        <v>78</v>
      </c>
      <c r="F9" s="123">
        <v>30</v>
      </c>
    </row>
    <row r="10" spans="2:6">
      <c r="D10" t="s">
        <v>79</v>
      </c>
    </row>
    <row r="11" spans="2:6">
      <c r="E11" t="s">
        <v>80</v>
      </c>
      <c r="F11" s="123">
        <v>200</v>
      </c>
    </row>
    <row r="12" spans="2:6">
      <c r="E12" t="s">
        <v>81</v>
      </c>
      <c r="F12" s="123">
        <v>400</v>
      </c>
    </row>
    <row r="13" spans="2:6">
      <c r="D13" s="36"/>
      <c r="E13" s="36" t="s">
        <v>218</v>
      </c>
      <c r="F13" s="124">
        <v>100</v>
      </c>
    </row>
    <row r="14" spans="2:6">
      <c r="D14" t="s">
        <v>82</v>
      </c>
      <c r="F14" s="3">
        <f>SUM(F11:F13)+(F7*12)</f>
        <v>2140</v>
      </c>
    </row>
    <row r="15" spans="2:6">
      <c r="E15" s="125">
        <v>0.05</v>
      </c>
    </row>
    <row r="16" spans="2:6" ht="7" customHeight="1"/>
    <row r="17" spans="3:7">
      <c r="C17" s="9" t="s">
        <v>84</v>
      </c>
      <c r="D17" s="9"/>
      <c r="E17" s="9"/>
      <c r="F17" s="121">
        <f>F20*F21*F22*F4</f>
        <v>18</v>
      </c>
    </row>
    <row r="18" spans="3:7">
      <c r="D18" t="s">
        <v>99</v>
      </c>
      <c r="F18" s="122">
        <v>4</v>
      </c>
    </row>
    <row r="19" spans="3:7">
      <c r="D19" t="s">
        <v>87</v>
      </c>
      <c r="F19" s="122">
        <v>5</v>
      </c>
    </row>
    <row r="20" spans="3:7">
      <c r="D20" t="s">
        <v>88</v>
      </c>
      <c r="F20" s="122">
        <f>F18*12*F19</f>
        <v>240</v>
      </c>
    </row>
    <row r="21" spans="3:7">
      <c r="D21" t="s">
        <v>85</v>
      </c>
      <c r="F21" s="126">
        <v>1.4999999999999999E-2</v>
      </c>
    </row>
    <row r="22" spans="3:7">
      <c r="D22" t="s">
        <v>86</v>
      </c>
      <c r="F22" s="127">
        <v>5</v>
      </c>
    </row>
    <row r="23" spans="3:7" ht="6" customHeight="1"/>
    <row r="24" spans="3:7">
      <c r="C24" s="9" t="s">
        <v>93</v>
      </c>
      <c r="D24" s="9"/>
      <c r="E24" s="9"/>
      <c r="F24" s="121">
        <f>((F28/F31)*F27*F25*F26)*F4</f>
        <v>22.5</v>
      </c>
    </row>
    <row r="25" spans="3:7">
      <c r="D25" t="s">
        <v>89</v>
      </c>
      <c r="F25" s="123">
        <v>1800</v>
      </c>
    </row>
    <row r="26" spans="3:7">
      <c r="D26" t="s">
        <v>90</v>
      </c>
      <c r="F26" s="122">
        <v>10</v>
      </c>
    </row>
    <row r="27" spans="3:7">
      <c r="D27" t="s">
        <v>91</v>
      </c>
      <c r="F27" s="126">
        <v>5.0000000000000001E-3</v>
      </c>
      <c r="G27" s="26"/>
    </row>
    <row r="28" spans="3:7">
      <c r="D28" t="s">
        <v>92</v>
      </c>
      <c r="F28" s="122">
        <v>1.5</v>
      </c>
      <c r="G28" s="26"/>
    </row>
    <row r="29" spans="3:7" ht="6" customHeight="1">
      <c r="C29" s="37"/>
      <c r="D29" s="37"/>
      <c r="E29" s="37"/>
      <c r="F29" s="37"/>
    </row>
    <row r="30" spans="3:7">
      <c r="C30" s="9" t="s">
        <v>94</v>
      </c>
      <c r="D30" s="9"/>
      <c r="E30" s="9"/>
      <c r="F30" s="121">
        <f>(F24+F17+F6)</f>
        <v>147.5</v>
      </c>
    </row>
    <row r="31" spans="3:7">
      <c r="D31" t="s">
        <v>305</v>
      </c>
      <c r="F31" s="122">
        <v>6</v>
      </c>
    </row>
    <row r="32" spans="3:7" ht="16" thickBot="1">
      <c r="C32" s="47"/>
      <c r="D32" s="47"/>
      <c r="E32" s="47"/>
      <c r="F32" s="47"/>
    </row>
    <row r="33" spans="3:7" s="9" customFormat="1" ht="18" customHeight="1" thickTop="1">
      <c r="C33" s="9" t="s">
        <v>95</v>
      </c>
      <c r="F33" s="121">
        <f>F30*F31</f>
        <v>885</v>
      </c>
      <c r="G33" s="121"/>
    </row>
    <row r="34" spans="3:7" ht="7" customHeight="1">
      <c r="F34" s="26"/>
    </row>
    <row r="35" spans="3:7">
      <c r="C35" t="s">
        <v>110</v>
      </c>
      <c r="F35" s="128">
        <v>25</v>
      </c>
    </row>
    <row r="37" spans="3:7">
      <c r="F37" s="41"/>
    </row>
  </sheetData>
  <phoneticPr fontId="20" type="noConversion"/>
  <printOptions horizontalCentered="1" verticalCentered="1"/>
  <pageMargins left="0.75" right="0.75" top="1" bottom="1" header="0.5" footer="0.5"/>
  <pageSetup scale="75"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6"/>
  <sheetViews>
    <sheetView showGridLines="0" workbookViewId="0"/>
  </sheetViews>
  <sheetFormatPr baseColWidth="10" defaultRowHeight="15" x14ac:dyDescent="0"/>
  <cols>
    <col min="1" max="1" width="2.33203125" customWidth="1"/>
    <col min="2" max="2" width="3.6640625" customWidth="1"/>
    <col min="3" max="3" width="2.5" customWidth="1"/>
    <col min="4" max="4" width="19.6640625" customWidth="1"/>
    <col min="5" max="8" width="12.1640625" customWidth="1"/>
  </cols>
  <sheetData>
    <row r="2" spans="2:11" ht="18">
      <c r="B2" s="200" t="s">
        <v>269</v>
      </c>
      <c r="D2" s="36"/>
    </row>
    <row r="3" spans="2:11">
      <c r="C3" s="113"/>
    </row>
    <row r="4" spans="2:11">
      <c r="E4" s="116" t="str">
        <f>"@" &amp;" Seed"</f>
        <v>@ Seed</v>
      </c>
      <c r="F4" s="116" t="s">
        <v>181</v>
      </c>
      <c r="G4" s="116" t="s">
        <v>182</v>
      </c>
      <c r="H4" s="116" t="s">
        <v>178</v>
      </c>
    </row>
    <row r="5" spans="2:11">
      <c r="C5" t="s">
        <v>249</v>
      </c>
    </row>
    <row r="6" spans="2:11">
      <c r="D6" t="s">
        <v>251</v>
      </c>
      <c r="E6" s="33">
        <f>'The Deal'!F5</f>
        <v>1300000</v>
      </c>
      <c r="F6" s="33">
        <f>E6+'Pro Forma'!AC43</f>
        <v>205029.16763945296</v>
      </c>
      <c r="G6" s="33">
        <f>F6+'Pro Forma'!AD43</f>
        <v>3911047.6044903928</v>
      </c>
      <c r="H6" s="33">
        <f>G6+'Pro Forma'!AE43</f>
        <v>19693604.262484603</v>
      </c>
    </row>
    <row r="7" spans="2:11">
      <c r="D7" t="s">
        <v>252</v>
      </c>
      <c r="E7" s="33">
        <v>0</v>
      </c>
      <c r="F7" s="33">
        <f>'Pro Forma'!AC40</f>
        <v>28814.584306119672</v>
      </c>
      <c r="G7" s="33">
        <f>'Pro Forma'!AD40</f>
        <v>186806.77115705918</v>
      </c>
      <c r="H7" s="33">
        <f>'Pro Forma'!AE40</f>
        <v>440105.0783677944</v>
      </c>
    </row>
    <row r="8" spans="2:11">
      <c r="D8" t="s">
        <v>253</v>
      </c>
      <c r="E8" s="165">
        <v>0</v>
      </c>
      <c r="F8" s="165">
        <v>10000</v>
      </c>
      <c r="G8" s="165">
        <v>25000</v>
      </c>
      <c r="H8" s="165">
        <v>50000</v>
      </c>
    </row>
    <row r="9" spans="2:11">
      <c r="C9" t="s">
        <v>266</v>
      </c>
      <c r="E9" s="33">
        <f>SUM(E6:E8)</f>
        <v>1300000</v>
      </c>
      <c r="F9" s="33">
        <f>SUM(F6:F8)</f>
        <v>243843.75194557264</v>
      </c>
      <c r="G9" s="33">
        <f t="shared" ref="G9:H9" si="0">SUM(G6:G8)</f>
        <v>4122854.3756474522</v>
      </c>
      <c r="H9" s="33">
        <f t="shared" si="0"/>
        <v>20183709.340852398</v>
      </c>
    </row>
    <row r="10" spans="2:11">
      <c r="E10" s="33"/>
      <c r="F10" s="33"/>
      <c r="G10" s="33"/>
      <c r="H10" s="33"/>
    </row>
    <row r="11" spans="2:11">
      <c r="C11" t="s">
        <v>250</v>
      </c>
      <c r="E11" s="33"/>
      <c r="F11" s="33"/>
      <c r="G11" s="33"/>
      <c r="H11" s="33"/>
    </row>
    <row r="12" spans="2:11">
      <c r="D12" t="s">
        <v>254</v>
      </c>
      <c r="E12" s="33">
        <v>0</v>
      </c>
      <c r="F12" s="33">
        <v>0</v>
      </c>
      <c r="G12" s="33">
        <v>0</v>
      </c>
      <c r="H12" s="33">
        <v>0</v>
      </c>
    </row>
    <row r="13" spans="2:11">
      <c r="D13" t="s">
        <v>255</v>
      </c>
      <c r="E13" s="33">
        <v>0</v>
      </c>
      <c r="F13" s="33">
        <v>0</v>
      </c>
      <c r="G13" s="33">
        <v>0</v>
      </c>
      <c r="H13" s="33">
        <v>0</v>
      </c>
    </row>
    <row r="14" spans="2:11">
      <c r="C14" t="s">
        <v>267</v>
      </c>
      <c r="E14" s="33">
        <f>SUM(E12:E13)</f>
        <v>0</v>
      </c>
      <c r="F14" s="33">
        <f>SUM(F12:F13)</f>
        <v>0</v>
      </c>
      <c r="G14" s="33">
        <f t="shared" ref="G14:H14" si="1">SUM(G12:G13)</f>
        <v>0</v>
      </c>
      <c r="H14" s="33">
        <f t="shared" si="1"/>
        <v>0</v>
      </c>
      <c r="K14" s="164"/>
    </row>
    <row r="15" spans="2:11">
      <c r="E15" s="33"/>
      <c r="F15" s="33"/>
      <c r="G15" s="33"/>
      <c r="H15" s="33"/>
    </row>
    <row r="16" spans="2:11">
      <c r="C16" s="9" t="s">
        <v>265</v>
      </c>
      <c r="D16" s="9"/>
      <c r="E16" s="45">
        <f>E9-E14</f>
        <v>1300000</v>
      </c>
      <c r="F16" s="45">
        <f t="shared" ref="F16:H16" si="2">F9-F14</f>
        <v>243843.75194557264</v>
      </c>
      <c r="G16" s="45">
        <f t="shared" si="2"/>
        <v>4122854.3756474522</v>
      </c>
      <c r="H16" s="45">
        <f t="shared" si="2"/>
        <v>20183709.340852398</v>
      </c>
    </row>
  </sheetData>
  <phoneticPr fontId="20"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6"/>
  <sheetViews>
    <sheetView showGridLines="0" workbookViewId="0">
      <selection activeCell="E17" sqref="E17"/>
    </sheetView>
  </sheetViews>
  <sheetFormatPr baseColWidth="10" defaultRowHeight="15" x14ac:dyDescent="0"/>
  <cols>
    <col min="1" max="1" width="3.5" customWidth="1"/>
    <col min="2" max="2" width="3.33203125" customWidth="1"/>
    <col min="3" max="6" width="15" customWidth="1"/>
    <col min="8" max="11" width="15.83203125" customWidth="1"/>
  </cols>
  <sheetData>
    <row r="2" spans="2:11" ht="18">
      <c r="B2" s="187" t="s">
        <v>285</v>
      </c>
      <c r="C2" s="37"/>
    </row>
    <row r="3" spans="2:11" ht="33" customHeight="1"/>
    <row r="4" spans="2:11" ht="16" thickBot="1">
      <c r="C4" s="188" t="s">
        <v>274</v>
      </c>
      <c r="D4" s="189">
        <v>10000000</v>
      </c>
    </row>
    <row r="5" spans="2:11" ht="16" thickTop="1">
      <c r="C5" s="178"/>
      <c r="D5" s="179"/>
    </row>
    <row r="6" spans="2:11">
      <c r="D6" s="7"/>
    </row>
    <row r="7" spans="2:11">
      <c r="C7" s="168" t="s">
        <v>278</v>
      </c>
      <c r="D7" s="168"/>
      <c r="E7" s="169"/>
      <c r="F7" s="169"/>
      <c r="H7" s="9" t="s">
        <v>276</v>
      </c>
    </row>
    <row r="8" spans="2:11" ht="9" customHeight="1">
      <c r="C8" s="168"/>
      <c r="D8" s="168"/>
      <c r="E8" s="169"/>
      <c r="F8" s="169"/>
      <c r="H8" s="9"/>
    </row>
    <row r="9" spans="2:11" ht="39" customHeight="1">
      <c r="C9" s="170"/>
      <c r="D9" s="171" t="s">
        <v>271</v>
      </c>
      <c r="E9" s="171" t="s">
        <v>272</v>
      </c>
      <c r="F9" s="171" t="s">
        <v>275</v>
      </c>
      <c r="H9" s="8"/>
      <c r="I9" s="167" t="s">
        <v>271</v>
      </c>
      <c r="J9" s="167" t="s">
        <v>272</v>
      </c>
      <c r="K9" s="167" t="s">
        <v>275</v>
      </c>
    </row>
    <row r="10" spans="2:11">
      <c r="C10" s="169" t="s">
        <v>116</v>
      </c>
      <c r="D10" s="172">
        <v>3250000</v>
      </c>
      <c r="E10" s="172" t="s">
        <v>277</v>
      </c>
      <c r="F10" s="177">
        <v>0.42499999999999999</v>
      </c>
      <c r="H10" t="s">
        <v>116</v>
      </c>
      <c r="I10" s="7">
        <f>K10*$D$4</f>
        <v>3249999.9999999995</v>
      </c>
      <c r="J10" s="7">
        <v>0</v>
      </c>
      <c r="K10" s="180">
        <f>K11</f>
        <v>0.32499999999999996</v>
      </c>
    </row>
    <row r="11" spans="2:11">
      <c r="C11" s="169" t="s">
        <v>117</v>
      </c>
      <c r="D11" s="172">
        <v>3250000</v>
      </c>
      <c r="E11" s="172" t="s">
        <v>277</v>
      </c>
      <c r="F11" s="177">
        <v>0.42499999999999999</v>
      </c>
      <c r="H11" t="s">
        <v>117</v>
      </c>
      <c r="I11" s="7">
        <f>K11*$D$4</f>
        <v>3249999.9999999995</v>
      </c>
      <c r="J11" s="7">
        <v>0</v>
      </c>
      <c r="K11" s="180">
        <f>0.5*(100%-K12-K13)</f>
        <v>0.32499999999999996</v>
      </c>
    </row>
    <row r="12" spans="2:11">
      <c r="C12" s="174" t="s">
        <v>273</v>
      </c>
      <c r="D12" s="175" t="s">
        <v>277</v>
      </c>
      <c r="E12" s="175">
        <v>1500000</v>
      </c>
      <c r="F12" s="176">
        <v>0.15</v>
      </c>
      <c r="H12" t="s">
        <v>273</v>
      </c>
      <c r="I12" s="7">
        <v>0</v>
      </c>
      <c r="J12" s="7">
        <f>K12*$D$4</f>
        <v>1500000</v>
      </c>
      <c r="K12" s="5">
        <v>0.15</v>
      </c>
    </row>
    <row r="13" spans="2:11">
      <c r="C13" s="169" t="s">
        <v>274</v>
      </c>
      <c r="D13" s="172">
        <v>8500000</v>
      </c>
      <c r="E13" s="172">
        <v>1500000</v>
      </c>
      <c r="F13" s="173">
        <v>1</v>
      </c>
      <c r="H13" s="37" t="s">
        <v>270</v>
      </c>
      <c r="I13" s="109">
        <f>K13*$D$4</f>
        <v>2000000</v>
      </c>
      <c r="J13" s="109">
        <v>0</v>
      </c>
      <c r="K13" s="166">
        <f>'The Deal'!F6</f>
        <v>0.2</v>
      </c>
    </row>
    <row r="14" spans="2:11">
      <c r="D14" s="7"/>
      <c r="H14" t="s">
        <v>274</v>
      </c>
      <c r="I14" s="7">
        <f>SUM(I10:I13)</f>
        <v>8500000</v>
      </c>
      <c r="J14" s="7">
        <f t="shared" ref="J14:K14" si="0">SUM(J10:J13)</f>
        <v>1500000</v>
      </c>
      <c r="K14" s="112">
        <f t="shared" si="0"/>
        <v>1</v>
      </c>
    </row>
    <row r="16" spans="2:11" s="8" customFormat="1"/>
  </sheetData>
  <phoneticPr fontId="20" type="noConversion"/>
  <pageMargins left="0.75" right="0.75" top="1" bottom="1" header="0.5" footer="0.5"/>
  <pageSetup scale="54"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
  <sheetViews>
    <sheetView showGridLines="0" workbookViewId="0">
      <selection activeCell="N29" sqref="N29"/>
    </sheetView>
  </sheetViews>
  <sheetFormatPr baseColWidth="10" defaultRowHeight="15" x14ac:dyDescent="0"/>
  <cols>
    <col min="1" max="1" width="3.33203125" customWidth="1"/>
    <col min="2" max="3" width="2.5" customWidth="1"/>
    <col min="4" max="4" width="20.1640625" customWidth="1"/>
    <col min="5" max="5" width="1.6640625" customWidth="1"/>
    <col min="6" max="6" width="14.1640625" bestFit="1" customWidth="1"/>
    <col min="7" max="7" width="0" hidden="1" customWidth="1"/>
    <col min="8" max="8" width="0.83203125" customWidth="1"/>
  </cols>
  <sheetData>
    <row r="2" spans="2:9" s="190" customFormat="1" ht="18">
      <c r="B2" s="200" t="s">
        <v>286</v>
      </c>
      <c r="C2" s="199"/>
      <c r="D2" s="199"/>
    </row>
    <row r="4" spans="2:9">
      <c r="C4" s="9" t="s">
        <v>284</v>
      </c>
    </row>
    <row r="5" spans="2:9">
      <c r="D5" s="113" t="s">
        <v>204</v>
      </c>
      <c r="E5" s="113"/>
      <c r="F5" s="186">
        <f>-ROUNDUP(SUMIF('Pro Forma'!D38:AA38,"&lt;0"),-5)</f>
        <v>1300000</v>
      </c>
    </row>
    <row r="6" spans="2:9">
      <c r="D6" t="s">
        <v>205</v>
      </c>
      <c r="F6" s="133">
        <v>0.2</v>
      </c>
    </row>
    <row r="7" spans="2:9">
      <c r="D7" t="s">
        <v>279</v>
      </c>
      <c r="F7" s="10">
        <f>100%/F6*F5</f>
        <v>6500000</v>
      </c>
    </row>
    <row r="8" spans="2:9">
      <c r="D8" t="s">
        <v>280</v>
      </c>
      <c r="F8" s="181">
        <f>COUNTIF('Pro Forma'!D38:AA38,"&lt;0")</f>
        <v>14</v>
      </c>
    </row>
    <row r="9" spans="2:9">
      <c r="F9" s="181"/>
    </row>
    <row r="10" spans="2:9">
      <c r="C10" s="9" t="s">
        <v>281</v>
      </c>
      <c r="F10" s="184" t="s">
        <v>283</v>
      </c>
      <c r="G10" s="182" t="s">
        <v>0</v>
      </c>
      <c r="H10" s="182"/>
      <c r="I10" s="185" t="s">
        <v>0</v>
      </c>
    </row>
    <row r="11" spans="2:9">
      <c r="D11" t="s">
        <v>282</v>
      </c>
      <c r="F11" s="7">
        <f>ROUND(G11*$F$5,-3)</f>
        <v>480000</v>
      </c>
      <c r="G11" s="180">
        <f>'Pro Forma'!AC17/'Pro Forma'!AC36</f>
        <v>0.36917670842131456</v>
      </c>
      <c r="H11" s="180"/>
      <c r="I11" s="183">
        <f>F11/$F$5</f>
        <v>0.36923076923076925</v>
      </c>
    </row>
    <row r="12" spans="2:9">
      <c r="D12" t="s">
        <v>104</v>
      </c>
      <c r="F12" s="7">
        <f t="shared" ref="F12:F17" si="0">ROUND(G12*$F$5,-3)</f>
        <v>26000</v>
      </c>
      <c r="G12" s="180">
        <f>'Pro Forma'!AC26/'Pro Forma'!AC36</f>
        <v>2.0321653674567768E-2</v>
      </c>
      <c r="H12" s="180"/>
      <c r="I12" s="183">
        <f t="shared" ref="I12:I17" si="1">F12/$F$5</f>
        <v>0.02</v>
      </c>
    </row>
    <row r="13" spans="2:9">
      <c r="D13" t="s">
        <v>166</v>
      </c>
      <c r="F13" s="7">
        <f t="shared" si="0"/>
        <v>636000</v>
      </c>
      <c r="G13" s="180">
        <f>'Pro Forma'!AC27/'Pro Forma'!AC36</f>
        <v>0.48912209397706408</v>
      </c>
      <c r="H13" s="180"/>
      <c r="I13" s="183">
        <f t="shared" si="1"/>
        <v>0.48923076923076925</v>
      </c>
    </row>
    <row r="14" spans="2:9">
      <c r="D14" t="s">
        <v>167</v>
      </c>
      <c r="F14" s="7">
        <f t="shared" si="0"/>
        <v>52000</v>
      </c>
      <c r="G14" s="180">
        <f>'Pro Forma'!AC28/'Pro Forma'!AC36</f>
        <v>4.0008255671805291E-2</v>
      </c>
      <c r="H14" s="180"/>
      <c r="I14" s="183">
        <f t="shared" si="1"/>
        <v>0.04</v>
      </c>
    </row>
    <row r="15" spans="2:9">
      <c r="D15" t="s">
        <v>171</v>
      </c>
      <c r="F15" s="7">
        <f t="shared" si="0"/>
        <v>65000</v>
      </c>
      <c r="G15" s="180">
        <f>'Pro Forma'!AC29/'Pro Forma'!AC36</f>
        <v>5.004207217362313E-2</v>
      </c>
      <c r="H15" s="180"/>
      <c r="I15" s="183">
        <f t="shared" si="1"/>
        <v>0.05</v>
      </c>
    </row>
    <row r="16" spans="2:9">
      <c r="D16" t="s">
        <v>169</v>
      </c>
      <c r="F16" s="7">
        <f t="shared" si="0"/>
        <v>25000</v>
      </c>
      <c r="G16" s="180">
        <f>'Pro Forma'!AC33/'Pro Forma'!AC36</f>
        <v>1.9580760051015819E-2</v>
      </c>
      <c r="H16" s="180"/>
      <c r="I16" s="183">
        <f t="shared" si="1"/>
        <v>1.9230769230769232E-2</v>
      </c>
    </row>
    <row r="17" spans="4:9">
      <c r="D17" t="s">
        <v>168</v>
      </c>
      <c r="F17" s="7">
        <f t="shared" si="0"/>
        <v>15000</v>
      </c>
      <c r="G17" s="180">
        <f>'Pro Forma'!AC34/'Pro Forma'!AC36</f>
        <v>1.1748456030609492E-2</v>
      </c>
      <c r="H17" s="180"/>
      <c r="I17" s="183">
        <f t="shared" si="1"/>
        <v>1.1538461538461539E-2</v>
      </c>
    </row>
    <row r="18" spans="4:9">
      <c r="F18" s="5"/>
      <c r="I18" s="5"/>
    </row>
  </sheetData>
  <phoneticPr fontId="20"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L43"/>
  <sheetViews>
    <sheetView showGridLines="0" workbookViewId="0">
      <selection activeCell="G7" sqref="G7"/>
    </sheetView>
  </sheetViews>
  <sheetFormatPr baseColWidth="10" defaultRowHeight="15" x14ac:dyDescent="0"/>
  <cols>
    <col min="1" max="1" width="2" customWidth="1"/>
    <col min="2" max="2" width="3.1640625" customWidth="1"/>
    <col min="3" max="3" width="4" customWidth="1"/>
    <col min="4" max="4" width="2.83203125" customWidth="1"/>
    <col min="5" max="5" width="2.1640625" customWidth="1"/>
    <col min="6" max="6" width="55.33203125" customWidth="1"/>
    <col min="7" max="7" width="19" customWidth="1"/>
    <col min="8" max="8" width="7" customWidth="1"/>
    <col min="9" max="9" width="18.33203125" customWidth="1"/>
    <col min="10" max="10" width="17.33203125" bestFit="1" customWidth="1"/>
    <col min="11" max="11" width="10.5" customWidth="1"/>
    <col min="12" max="12" width="18.5" bestFit="1" customWidth="1"/>
    <col min="13" max="13" width="4.33203125" customWidth="1"/>
  </cols>
  <sheetData>
    <row r="2" spans="2:9" ht="18">
      <c r="B2" s="191" t="s">
        <v>237</v>
      </c>
    </row>
    <row r="4" spans="2:9" ht="7" customHeight="1"/>
    <row r="5" spans="2:9">
      <c r="D5" t="s">
        <v>236</v>
      </c>
      <c r="G5" s="7"/>
      <c r="H5" s="7"/>
    </row>
    <row r="6" spans="2:9">
      <c r="E6" t="s">
        <v>230</v>
      </c>
      <c r="G6" s="41">
        <f>'College Costs'!G11*1000</f>
        <v>448031087616.55005</v>
      </c>
      <c r="H6" s="41"/>
    </row>
    <row r="7" spans="2:9" ht="16">
      <c r="E7" t="s">
        <v>220</v>
      </c>
      <c r="G7" s="154">
        <v>33000</v>
      </c>
      <c r="H7" s="154"/>
    </row>
    <row r="8" spans="2:9" ht="16">
      <c r="E8" t="s">
        <v>219</v>
      </c>
      <c r="G8" s="133">
        <v>0.69</v>
      </c>
      <c r="H8" s="133"/>
    </row>
    <row r="9" spans="2:9" ht="16">
      <c r="E9" t="s">
        <v>234</v>
      </c>
      <c r="G9" s="7">
        <f>SUM(G10:G11)</f>
        <v>2317000</v>
      </c>
      <c r="H9" s="7"/>
    </row>
    <row r="10" spans="2:9">
      <c r="F10" t="s">
        <v>231</v>
      </c>
      <c r="G10" s="132">
        <v>735000</v>
      </c>
      <c r="H10" s="132"/>
    </row>
    <row r="11" spans="2:9">
      <c r="D11" s="9"/>
      <c r="F11" t="s">
        <v>232</v>
      </c>
      <c r="G11" s="132">
        <v>1582000</v>
      </c>
      <c r="H11" s="132"/>
      <c r="I11" s="106"/>
    </row>
    <row r="12" spans="2:9">
      <c r="G12" s="7"/>
      <c r="H12" s="7"/>
      <c r="I12" s="5"/>
    </row>
    <row r="13" spans="2:9">
      <c r="E13" t="s">
        <v>233</v>
      </c>
      <c r="G13" s="7">
        <f>G9*G8</f>
        <v>1598729.9999999998</v>
      </c>
      <c r="H13" s="7"/>
      <c r="I13" s="5"/>
    </row>
    <row r="15" spans="2:9" ht="16">
      <c r="D15" s="9"/>
      <c r="E15" s="113" t="s">
        <v>256</v>
      </c>
      <c r="F15" s="9"/>
      <c r="G15" s="11"/>
      <c r="H15" s="11"/>
    </row>
    <row r="16" spans="2:9">
      <c r="F16" s="104" t="s">
        <v>240</v>
      </c>
      <c r="G16" s="126">
        <v>0.255</v>
      </c>
      <c r="H16" s="126"/>
    </row>
    <row r="17" spans="4:12">
      <c r="F17" s="104" t="s">
        <v>239</v>
      </c>
      <c r="G17" s="131">
        <f>100%-90.93%</f>
        <v>9.0699999999999892E-2</v>
      </c>
      <c r="H17" s="131"/>
    </row>
    <row r="18" spans="4:12">
      <c r="F18" s="104" t="s">
        <v>238</v>
      </c>
      <c r="G18" s="6">
        <f>100%-G16-G17</f>
        <v>0.6543000000000001</v>
      </c>
      <c r="H18" s="6"/>
    </row>
    <row r="19" spans="4:12" ht="16">
      <c r="E19" t="s">
        <v>223</v>
      </c>
      <c r="G19" s="107">
        <f>SUM(G20:G23)*1000</f>
        <v>82370000</v>
      </c>
      <c r="H19" s="107"/>
      <c r="J19" s="3"/>
      <c r="K19" s="117"/>
    </row>
    <row r="20" spans="4:12">
      <c r="F20" s="104" t="s">
        <v>261</v>
      </c>
      <c r="G20" s="105">
        <v>20110</v>
      </c>
      <c r="H20" s="105"/>
      <c r="J20" s="3"/>
      <c r="K20" s="117"/>
    </row>
    <row r="21" spans="4:12">
      <c r="F21" s="104" t="s">
        <v>262</v>
      </c>
      <c r="G21" s="105">
        <v>20416</v>
      </c>
      <c r="H21" s="105"/>
      <c r="J21" s="3"/>
      <c r="K21" s="117"/>
    </row>
    <row r="22" spans="4:12">
      <c r="F22" s="104" t="s">
        <v>263</v>
      </c>
      <c r="G22" s="105">
        <v>20605</v>
      </c>
      <c r="H22" s="105"/>
      <c r="J22" s="3"/>
      <c r="K22" s="117"/>
    </row>
    <row r="23" spans="4:12">
      <c r="F23" s="104" t="s">
        <v>264</v>
      </c>
      <c r="G23" s="105">
        <v>21239</v>
      </c>
      <c r="H23" s="105"/>
      <c r="J23" s="3"/>
      <c r="K23" s="117"/>
    </row>
    <row r="24" spans="4:12">
      <c r="E24" t="s">
        <v>243</v>
      </c>
      <c r="G24" s="110">
        <f>G19*G18</f>
        <v>53894691.000000007</v>
      </c>
      <c r="H24" s="110"/>
      <c r="J24" s="3"/>
      <c r="K24" s="117"/>
    </row>
    <row r="25" spans="4:12" ht="8" customHeight="1">
      <c r="G25" s="110"/>
      <c r="H25" s="110"/>
      <c r="J25" s="3"/>
      <c r="K25" s="117"/>
    </row>
    <row r="26" spans="4:12">
      <c r="E26" t="s">
        <v>244</v>
      </c>
      <c r="G26" s="41">
        <f>'Revenue Model'!F30</f>
        <v>147.5</v>
      </c>
      <c r="H26" s="41"/>
      <c r="J26" s="3"/>
      <c r="K26" s="117"/>
    </row>
    <row r="28" spans="4:12">
      <c r="D28" t="s">
        <v>258</v>
      </c>
      <c r="G28" s="41">
        <f>G18*G6</f>
        <v>293146740627.50873</v>
      </c>
      <c r="H28" s="41"/>
    </row>
    <row r="29" spans="4:12" ht="16" thickBot="1">
      <c r="D29" t="s">
        <v>241</v>
      </c>
      <c r="F29" s="104"/>
      <c r="G29" s="41">
        <f>G7*G13</f>
        <v>52758089999.999992</v>
      </c>
      <c r="H29" s="41"/>
    </row>
    <row r="30" spans="4:12">
      <c r="I30" s="155">
        <v>0.03</v>
      </c>
      <c r="J30" s="158" t="s">
        <v>175</v>
      </c>
      <c r="K30" s="158" t="s">
        <v>246</v>
      </c>
      <c r="L30" s="159" t="s">
        <v>247</v>
      </c>
    </row>
    <row r="31" spans="4:12">
      <c r="D31" s="9" t="s">
        <v>242</v>
      </c>
      <c r="E31" s="9"/>
      <c r="F31" s="9"/>
      <c r="G31" s="103">
        <f>G28*'Revenue Model'!$E$15</f>
        <v>14657337031.375437</v>
      </c>
      <c r="H31" s="41"/>
      <c r="I31" s="156">
        <f>G31*$I$30</f>
        <v>439720110.94126308</v>
      </c>
      <c r="J31" s="120">
        <f>I31*'Pro Forma'!$AG$44</f>
        <v>371551480.64792758</v>
      </c>
      <c r="K31" s="129">
        <v>12</v>
      </c>
      <c r="L31" s="118">
        <f>K31*J31</f>
        <v>4458617767.7751312</v>
      </c>
    </row>
    <row r="32" spans="4:12">
      <c r="D32" s="9" t="s">
        <v>259</v>
      </c>
      <c r="E32" s="9"/>
      <c r="F32" s="9"/>
      <c r="G32" s="103">
        <f>G29*'Revenue Model'!E15</f>
        <v>2637904500</v>
      </c>
      <c r="H32" s="41"/>
      <c r="I32" s="156">
        <f t="shared" ref="I32:I33" si="0">G32*$I$30</f>
        <v>79137135</v>
      </c>
      <c r="J32" s="120">
        <f>I32*'Pro Forma'!$AG$44</f>
        <v>66868717.058548629</v>
      </c>
      <c r="K32" s="129">
        <v>12</v>
      </c>
      <c r="L32" s="118">
        <f>K32*J32</f>
        <v>802424604.70258355</v>
      </c>
    </row>
    <row r="33" spans="4:12" ht="16" thickBot="1">
      <c r="D33" s="9" t="s">
        <v>260</v>
      </c>
      <c r="E33" s="9"/>
      <c r="F33" s="9"/>
      <c r="G33" s="103">
        <f>G26*G24</f>
        <v>7949466922.500001</v>
      </c>
      <c r="H33" s="41"/>
      <c r="I33" s="157">
        <f t="shared" si="0"/>
        <v>238484007.67500001</v>
      </c>
      <c r="J33" s="160">
        <f>I33*'Pro Forma'!$AG$44</f>
        <v>201512471.1326524</v>
      </c>
      <c r="K33" s="130">
        <v>12</v>
      </c>
      <c r="L33" s="119">
        <f>K33*J33</f>
        <v>2418149653.5918288</v>
      </c>
    </row>
    <row r="34" spans="4:12">
      <c r="H34" s="152"/>
      <c r="I34" s="41"/>
      <c r="J34" s="41"/>
      <c r="K34" s="41"/>
      <c r="L34" s="41"/>
    </row>
    <row r="40" spans="4:12">
      <c r="D40" t="s">
        <v>222</v>
      </c>
    </row>
    <row r="41" spans="4:12">
      <c r="D41" t="s">
        <v>221</v>
      </c>
    </row>
    <row r="42" spans="4:12">
      <c r="D42" s="111" t="s">
        <v>235</v>
      </c>
    </row>
    <row r="43" spans="4:12">
      <c r="D43" s="111" t="s">
        <v>257</v>
      </c>
    </row>
  </sheetData>
  <phoneticPr fontId="20" type="noConversion"/>
  <pageMargins left="0.75" right="0.75" top="1" bottom="1" header="0.5" footer="0.5"/>
  <pageSetup scale="70" orientation="landscape" horizontalDpi="4294967292" verticalDpi="4294967292"/>
  <extLst>
    <ext xmlns:mx="http://schemas.microsoft.com/office/mac/excel/2008/main" uri="{64002731-A6B0-56B0-2670-7721B7C09600}">
      <mx:PLV Mode="0" OnePage="0" WScale="51"/>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0"/>
  <sheetViews>
    <sheetView showGridLines="0" workbookViewId="0"/>
  </sheetViews>
  <sheetFormatPr baseColWidth="10" defaultRowHeight="15" x14ac:dyDescent="0"/>
  <cols>
    <col min="1" max="1" width="3" customWidth="1"/>
    <col min="2" max="2" width="4.83203125" customWidth="1"/>
    <col min="3" max="3" width="42" customWidth="1"/>
    <col min="4" max="4" width="27" customWidth="1"/>
    <col min="5" max="5" width="5" customWidth="1"/>
    <col min="6" max="6" width="14.1640625" bestFit="1" customWidth="1"/>
    <col min="7" max="7" width="19.5" customWidth="1"/>
  </cols>
  <sheetData>
    <row r="2" spans="2:7" ht="18">
      <c r="B2" s="191" t="s">
        <v>293</v>
      </c>
    </row>
    <row r="3" spans="2:7" ht="18">
      <c r="B3" s="191"/>
    </row>
    <row r="4" spans="2:7" ht="31">
      <c r="C4" s="1" t="s">
        <v>1</v>
      </c>
      <c r="D4" s="1" t="s">
        <v>227</v>
      </c>
      <c r="E4" s="1"/>
      <c r="F4" s="9" t="s">
        <v>248</v>
      </c>
      <c r="G4" s="1" t="s">
        <v>229</v>
      </c>
    </row>
    <row r="5" spans="2:7">
      <c r="C5" s="1"/>
      <c r="D5" s="1"/>
      <c r="E5" s="1"/>
    </row>
    <row r="6" spans="2:7">
      <c r="C6" s="2" t="s">
        <v>2</v>
      </c>
      <c r="D6" s="134">
        <v>11052</v>
      </c>
      <c r="E6" s="4"/>
      <c r="F6" s="7">
        <v>376313</v>
      </c>
      <c r="G6" s="7">
        <f>(F6*D6)/1000</f>
        <v>4159011.2760000001</v>
      </c>
    </row>
    <row r="7" spans="2:7" ht="16">
      <c r="C7" s="2" t="s">
        <v>224</v>
      </c>
      <c r="D7" s="134">
        <f>12725+7705</f>
        <v>20430</v>
      </c>
      <c r="E7" s="4"/>
      <c r="F7" s="7">
        <v>6787660</v>
      </c>
      <c r="G7" s="7">
        <f t="shared" ref="G7:G10" si="0">(F7*D7)/1000</f>
        <v>138671893.80000001</v>
      </c>
    </row>
    <row r="8" spans="2:7">
      <c r="C8" s="2" t="s">
        <v>3</v>
      </c>
      <c r="D8" s="134">
        <v>18943</v>
      </c>
      <c r="E8" s="135">
        <v>0.85</v>
      </c>
      <c r="F8" s="7">
        <f>6686083*E8</f>
        <v>5683170.5499999998</v>
      </c>
      <c r="G8" s="7">
        <f t="shared" si="0"/>
        <v>107656299.72864999</v>
      </c>
    </row>
    <row r="9" spans="2:7">
      <c r="C9" s="2" t="s">
        <v>4</v>
      </c>
      <c r="D9" s="134">
        <v>32762</v>
      </c>
      <c r="E9" s="135">
        <v>0.15</v>
      </c>
      <c r="F9" s="7">
        <f>6686083*E9</f>
        <v>1002912.45</v>
      </c>
      <c r="G9" s="7">
        <f t="shared" si="0"/>
        <v>32857417.686899997</v>
      </c>
    </row>
    <row r="10" spans="2:7">
      <c r="C10" s="2" t="s">
        <v>5</v>
      </c>
      <c r="D10" s="134">
        <v>42419</v>
      </c>
      <c r="E10" s="4"/>
      <c r="F10" s="7">
        <v>3882375</v>
      </c>
      <c r="G10" s="109">
        <f t="shared" si="0"/>
        <v>164686465.125</v>
      </c>
    </row>
    <row r="11" spans="2:7">
      <c r="G11" s="10">
        <f>SUM(G6:G10)</f>
        <v>448031087.61655003</v>
      </c>
    </row>
    <row r="16" spans="2:7">
      <c r="C16" t="s">
        <v>225</v>
      </c>
    </row>
    <row r="17" spans="3:7">
      <c r="C17" t="s">
        <v>226</v>
      </c>
    </row>
    <row r="18" spans="3:7">
      <c r="C18" t="s">
        <v>228</v>
      </c>
    </row>
    <row r="20" spans="3:7" ht="16">
      <c r="G20" s="108"/>
    </row>
  </sheetData>
  <phoneticPr fontId="20" type="noConversion"/>
  <pageMargins left="0.75" right="0.75" top="1" bottom="1" header="0.5" footer="0.5"/>
  <pageSetup scale="55" orientation="landscape"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Notice</vt:lpstr>
      <vt:lpstr>Pro Forma</vt:lpstr>
      <vt:lpstr>Staffing</vt:lpstr>
      <vt:lpstr>Revenue Model</vt:lpstr>
      <vt:lpstr>Balance Sheet</vt:lpstr>
      <vt:lpstr>Cap Table</vt:lpstr>
      <vt:lpstr>The Deal</vt:lpstr>
      <vt:lpstr>Market Sizing</vt:lpstr>
      <vt:lpstr>College Costs</vt:lpstr>
      <vt:lpstr>CPC Rates</vt:lpstr>
      <vt:lpstr>Usage Stats</vt:lpstr>
      <vt:lpstr>Competitive Landscape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Phelan</dc:creator>
  <cp:lastModifiedBy>Eric Phelan</cp:lastModifiedBy>
  <cp:lastPrinted>2015-01-05T00:25:13Z</cp:lastPrinted>
  <dcterms:created xsi:type="dcterms:W3CDTF">2014-12-08T19:54:33Z</dcterms:created>
  <dcterms:modified xsi:type="dcterms:W3CDTF">2017-11-14T11:00:17Z</dcterms:modified>
</cp:coreProperties>
</file>