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Subgroups" sheetId="2" state="visible" r:id="rId3"/>
    <sheet name="Appliances" sheetId="3" state="visible" r:id="rId4"/>
    <sheet name="ActivityStats" sheetId="4" state="visible" r:id="rId5"/>
    <sheet name="Lighting" sheetId="5" state="visible" r:id="rId6"/>
    <sheet name="bulbs" sheetId="6" state="visible" r:id="rId7"/>
    <sheet name="Heating Systems" sheetId="7" state="visible" r:id="rId8"/>
    <sheet name="Buildings" sheetId="8" state="visible" r:id="rId9"/>
    <sheet name="Electric Cars" sheetId="9" state="visible" r:id="rId10"/>
    <sheet name="Charging Station" sheetId="10" state="visible" r:id="rId11"/>
    <sheet name="Current track" sheetId="11" state="visible" r:id="rId12"/>
  </sheets>
  <externalReferences>
    <externalReference r:id="rId13"/>
  </externalReferences>
  <definedNames>
    <definedName function="false" hidden="false" name="rProbActivelyOccupied" vbProcedure="false">[1]ActivityStats!$D$10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<sst xmlns="http://schemas.openxmlformats.org/spreadsheetml/2006/main" count="719" uniqueCount="509">
  <si>
    <t xml:space="preserve">Simulation inputs</t>
  </si>
  <si>
    <t xml:space="preserve">Activity</t>
  </si>
  <si>
    <t xml:space="preserve">Appliances</t>
  </si>
  <si>
    <t xml:space="preserve">Lighting</t>
  </si>
  <si>
    <t xml:space="preserve">Climate</t>
  </si>
  <si>
    <t xml:space="preserve">Heating</t>
  </si>
  <si>
    <t xml:space="preserve">Number of Households</t>
  </si>
  <si>
    <t xml:space="preserve">Start time</t>
  </si>
  <si>
    <t xml:space="preserve">Duration</t>
  </si>
  <si>
    <t xml:space="preserve">Subgroups</t>
  </si>
  <si>
    <t xml:space="preserve">Dataset</t>
  </si>
  <si>
    <t xml:space="preserve">Activity Type</t>
  </si>
  <si>
    <t xml:space="preserve">Ownership</t>
  </si>
  <si>
    <t xml:space="preserve">Bulbs sampling</t>
  </si>
  <si>
    <t xml:space="preserve">If TRUE, will read subgroups form the Subgroups sheet, If the name of a dataset is specified, will sample from the dataset</t>
  </si>
  <si>
    <t xml:space="preserve">The activity dataset to use</t>
  </si>
  <si>
    <t xml:space="preserve">The type of activity to simulate</t>
  </si>
  <si>
    <t xml:space="preserve">The dataset to use If nothing is specified, reads from the Appliances sheet</t>
  </si>
  <si>
    <t xml:space="preserve">The dataset to use for the ownership of appliances, none will use the value form Appliances sheet</t>
  </si>
  <si>
    <t xml:space="preserve">The dataset to use If nothing is specified, reads from the Lighting sheet</t>
  </si>
  <si>
    <t xml:space="preserve">The sampling method for the bulbs. ‘randn’ will sample from the mean and std, ‘config’ will use one of the bulb config from bulb sheet.</t>
  </si>
  <si>
    <t xml:space="preserve">n_households</t>
  </si>
  <si>
    <t xml:space="preserve">start_datetime</t>
  </si>
  <si>
    <t xml:space="preserve">duration</t>
  </si>
  <si>
    <t xml:space="preserve">Use Subgroups</t>
  </si>
  <si>
    <t xml:space="preserve">activity_data</t>
  </si>
  <si>
    <t xml:space="preserve">activity_type</t>
  </si>
  <si>
    <t xml:space="preserve">appliances_data</t>
  </si>
  <si>
    <t xml:space="preserve">ownership_data</t>
  </si>
  <si>
    <t xml:space="preserve">lighting_data</t>
  </si>
  <si>
    <t xml:space="preserve">bulbs_sampling_algo</t>
  </si>
  <si>
    <t xml:space="preserve">Year</t>
  </si>
  <si>
    <t xml:space="preserve">GermanTOU</t>
  </si>
  <si>
    <t xml:space="preserve">Sparse9States</t>
  </si>
  <si>
    <t xml:space="preserve">Destatis</t>
  </si>
  <si>
    <t xml:space="preserve">config</t>
  </si>
  <si>
    <t xml:space="preserve">Month</t>
  </si>
  <si>
    <t xml:space="preserve">Day</t>
  </si>
  <si>
    <t xml:space="preserve">Hour</t>
  </si>
  <si>
    <t xml:space="preserve">Min</t>
  </si>
  <si>
    <t xml:space="preserve">Sec</t>
  </si>
  <si>
    <t xml:space="preserve">Sugroups Sheet</t>
  </si>
  <si>
    <t xml:space="preserve">You can specify informations on the subgroups to be simulated</t>
  </si>
  <si>
    <t xml:space="preserve">name
Not used by code,
Only indicative</t>
  </si>
  <si>
    <t xml:space="preserve">number_of_households</t>
  </si>
  <si>
    <t xml:space="preserve">n_residents</t>
  </si>
  <si>
    <t xml:space="preserve">household_type</t>
  </si>
  <si>
    <t xml:space="preserve">gender</t>
  </si>
  <si>
    <t xml:space="preserve">single male</t>
  </si>
  <si>
    <t xml:space="preserve">single females</t>
  </si>
  <si>
    <t xml:space="preserve">2 persons</t>
  </si>
  <si>
    <t xml:space="preserve">3 person</t>
  </si>
  <si>
    <t xml:space="preserve">4 persons</t>
  </si>
  <si>
    <t xml:space="preserve">5 persons</t>
  </si>
  <si>
    <t xml:space="preserve">Appliance and water fixture model configuration</t>
  </si>
  <si>
    <t xml:space="preserve">means used by code, from CREST</t>
  </si>
  <si>
    <t xml:space="preserve"> </t>
  </si>
  <si>
    <t xml:space="preserve">means for germany (appliance penetration dataset)</t>
  </si>
  <si>
    <t xml:space="preserve">derived from TOU</t>
  </si>
  <si>
    <t xml:space="preserve">From websites (must be improved)</t>
  </si>
  <si>
    <t xml:space="preserve">From charging time (websites)</t>
  </si>
  <si>
    <t xml:space="preserve">means ultimately a power input required from external data sources</t>
  </si>
  <si>
    <t xml:space="preserve">From Frondel 2019_Heterogeneity inGerman Residential Electricity Consumption A quantileregression approach.pdf</t>
  </si>
  <si>
    <t xml:space="preserve">Guessed</t>
  </si>
  <si>
    <t xml:space="preserve">Appliance category</t>
  </si>
  <si>
    <t xml:space="preserve">Appliance type</t>
  </si>
  <si>
    <t xml:space="preserve">Proportion</t>
  </si>
  <si>
    <t xml:space="preserve">Appliance demand configuration for UK</t>
  </si>
  <si>
    <t xml:space="preserve">of dwellings</t>
  </si>
  <si>
    <t xml:space="preserve">Time appliance</t>
  </si>
  <si>
    <t xml:space="preserve">Time when</t>
  </si>
  <si>
    <t xml:space="preserve">Time when </t>
  </si>
  <si>
    <t xml:space="preserve">Average tme </t>
  </si>
  <si>
    <t xml:space="preserve">Probability of </t>
  </si>
  <si>
    <t xml:space="preserve">Overall average demand</t>
  </si>
  <si>
    <t xml:space="preserve">Appliance</t>
  </si>
  <si>
    <t xml:space="preserve">with</t>
  </si>
  <si>
    <t xml:space="preserve">Associated</t>
  </si>
  <si>
    <t xml:space="preserve">Average</t>
  </si>
  <si>
    <t xml:space="preserve">Total number</t>
  </si>
  <si>
    <t xml:space="preserve">Average number</t>
  </si>
  <si>
    <t xml:space="preserve">Active occupancy</t>
  </si>
  <si>
    <t xml:space="preserve">Active</t>
  </si>
  <si>
    <t xml:space="preserve">Number of minutes</t>
  </si>
  <si>
    <t xml:space="preserve">Probability of</t>
  </si>
  <si>
    <t xml:space="preserve">Delay start</t>
  </si>
  <si>
    <t xml:space="preserve">Target number</t>
  </si>
  <si>
    <t xml:space="preserve">spent running</t>
  </si>
  <si>
    <t xml:space="preserve">spent in delayed</t>
  </si>
  <si>
    <t xml:space="preserve">appliance is</t>
  </si>
  <si>
    <t xml:space="preserve">appliance could</t>
  </si>
  <si>
    <t xml:space="preserve">between switch</t>
  </si>
  <si>
    <t xml:space="preserve">switch on event</t>
  </si>
  <si>
    <t xml:space="preserve">per dwelling taking</t>
  </si>
  <si>
    <t xml:space="preserve">mean</t>
  </si>
  <si>
    <t xml:space="preserve">Heat gains ratio</t>
  </si>
  <si>
    <t xml:space="preserve">appliance</t>
  </si>
  <si>
    <t xml:space="preserve">activity use</t>
  </si>
  <si>
    <t xml:space="preserve">activity in</t>
  </si>
  <si>
    <t xml:space="preserve">activity</t>
  </si>
  <si>
    <t xml:space="preserve">of minutes</t>
  </si>
  <si>
    <t xml:space="preserve">of minutes activity</t>
  </si>
  <si>
    <t xml:space="preserve">activity occurring</t>
  </si>
  <si>
    <t xml:space="preserve">dependent?</t>
  </si>
  <si>
    <t xml:space="preserve">occupancy-dependent</t>
  </si>
  <si>
    <t xml:space="preserve">in which appliance</t>
  </si>
  <si>
    <t xml:space="preserve">activity occurring </t>
  </si>
  <si>
    <t xml:space="preserve">Mean cycle</t>
  </si>
  <si>
    <t xml:space="preserve">Mean cycle </t>
  </si>
  <si>
    <t xml:space="preserve">after cycle</t>
  </si>
  <si>
    <t xml:space="preserve">Standby</t>
  </si>
  <si>
    <t xml:space="preserve">Standby losses</t>
  </si>
  <si>
    <t xml:space="preserve">Target demand</t>
  </si>
  <si>
    <t xml:space="preserve">of cycles</t>
  </si>
  <si>
    <t xml:space="preserve">in period</t>
  </si>
  <si>
    <t xml:space="preserve">restart mode</t>
  </si>
  <si>
    <t xml:space="preserve">available to </t>
  </si>
  <si>
    <t xml:space="preserve">be switched on</t>
  </si>
  <si>
    <t xml:space="preserve">on events</t>
  </si>
  <si>
    <t xml:space="preserve">ownership into</t>
  </si>
  <si>
    <t xml:space="preserve">power</t>
  </si>
  <si>
    <t xml:space="preserve">(for casual</t>
  </si>
  <si>
    <t xml:space="preserve">Appliance Names</t>
  </si>
  <si>
    <t xml:space="preserve">Short name</t>
  </si>
  <si>
    <t xml:space="preserve">profile</t>
  </si>
  <si>
    <t xml:space="preserve">GTOU</t>
  </si>
  <si>
    <t xml:space="preserve">probability</t>
  </si>
  <si>
    <t xml:space="preserve">performed in period</t>
  </si>
  <si>
    <t xml:space="preserve">can operate</t>
  </si>
  <si>
    <t xml:space="preserve">given active</t>
  </si>
  <si>
    <t xml:space="preserve">demand</t>
  </si>
  <si>
    <t xml:space="preserve">length</t>
  </si>
  <si>
    <t xml:space="preserve">has finished</t>
  </si>
  <si>
    <t xml:space="preserve">Power</t>
  </si>
  <si>
    <t xml:space="preserve">for period</t>
  </si>
  <si>
    <t xml:space="preserve">for cycles only</t>
  </si>
  <si>
    <t xml:space="preserve">switch on</t>
  </si>
  <si>
    <t xml:space="preserve">due to activity occurring</t>
  </si>
  <si>
    <t xml:space="preserve">account</t>
  </si>
  <si>
    <t xml:space="preserve">factor</t>
  </si>
  <si>
    <t xml:space="preserve">thermal gains)</t>
  </si>
  <si>
    <t xml:space="preserve">(minutes/year)</t>
  </si>
  <si>
    <t xml:space="preserve">multiplier</t>
  </si>
  <si>
    <t xml:space="preserve">(min)</t>
  </si>
  <si>
    <t xml:space="preserve">occupancy</t>
  </si>
  <si>
    <t xml:space="preserve">(W)</t>
  </si>
  <si>
    <t xml:space="preserve">(kWh)</t>
  </si>
  <si>
    <t xml:space="preserve">(kWh/y)</t>
  </si>
  <si>
    <t xml:space="preserve">(cycles/y)</t>
  </si>
  <si>
    <t xml:space="preserve">Water fixture configuration</t>
  </si>
  <si>
    <t xml:space="preserve">Time fixture</t>
  </si>
  <si>
    <t xml:space="preserve">fixture is</t>
  </si>
  <si>
    <t xml:space="preserve">fixture could</t>
  </si>
  <si>
    <t xml:space="preserve">in which fixture</t>
  </si>
  <si>
    <t xml:space="preserve">Standing loss</t>
  </si>
  <si>
    <t xml:space="preserve">Water fixture type</t>
  </si>
  <si>
    <t xml:space="preserve">flow rate</t>
  </si>
  <si>
    <t xml:space="preserve">flow volume</t>
  </si>
  <si>
    <t xml:space="preserve">volume for period</t>
  </si>
  <si>
    <t xml:space="preserve">(minutes/day)</t>
  </si>
  <si>
    <t xml:space="preserve">(litres/min)</t>
  </si>
  <si>
    <t xml:space="preserve">(litre)</t>
  </si>
  <si>
    <t xml:space="preserve">(litres)</t>
  </si>
  <si>
    <t xml:space="preserve">(litres/day)</t>
  </si>
  <si>
    <t xml:space="preserve">(cycles/day)</t>
  </si>
  <si>
    <t xml:space="preserve">name</t>
  </si>
  <si>
    <t xml:space="preserve">type</t>
  </si>
  <si>
    <t xml:space="preserve">equipped_prob</t>
  </si>
  <si>
    <t xml:space="preserve">related_activity</t>
  </si>
  <si>
    <t xml:space="preserve"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</si>
  <si>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</si>
  <si>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</si>
  <si>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</si>
  <si>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</si>
  <si>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</si>
  <si>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</si>
  <si>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 xml:space="preserve">poisson_sampling_lambda_liters </t>
  </si>
  <si>
    <t xml:space="preserve">switch_on_prob_crest </t>
  </si>
  <si>
    <t xml:space="preserve">mean_power_factor </t>
  </si>
  <si>
    <t xml:space="preserve">heat_gains_ratio </t>
  </si>
  <si>
    <t xml:space="preserve">Cold</t>
  </si>
  <si>
    <t xml:space="preserve">Fridge</t>
  </si>
  <si>
    <t xml:space="preserve">FRIDGE1</t>
  </si>
  <si>
    <t xml:space="preserve">fridge </t>
  </si>
  <si>
    <t xml:space="preserve">level</t>
  </si>
  <si>
    <t xml:space="preserve">FRIDGE2</t>
  </si>
  <si>
    <t xml:space="preserve">Freezer</t>
  </si>
  <si>
    <t xml:space="preserve">FREEZER1</t>
  </si>
  <si>
    <t xml:space="preserve">freezer </t>
  </si>
  <si>
    <t xml:space="preserve">FREEZER2</t>
  </si>
  <si>
    <t xml:space="preserve">Consumer Electronics + ICT</t>
  </si>
  <si>
    <t xml:space="preserve">Telephone (fixed)</t>
  </si>
  <si>
    <t xml:space="preserve">PHONE</t>
  </si>
  <si>
    <t xml:space="preserve">fixed_phone </t>
  </si>
  <si>
    <t xml:space="preserve">active_occupancy </t>
  </si>
  <si>
    <t xml:space="preserve">Iron</t>
  </si>
  <si>
    <t xml:space="preserve">IRON</t>
  </si>
  <si>
    <t xml:space="preserve">iron </t>
  </si>
  <si>
    <t xml:space="preserve">ironing </t>
  </si>
  <si>
    <t xml:space="preserve">Vacuum</t>
  </si>
  <si>
    <t xml:space="preserve">VACUUM</t>
  </si>
  <si>
    <t xml:space="preserve">vacuum_cleaner </t>
  </si>
  <si>
    <t xml:space="preserve">cleaning </t>
  </si>
  <si>
    <t xml:space="preserve">Computer fixed</t>
  </si>
  <si>
    <t xml:space="preserve">PC1</t>
  </si>
  <si>
    <t xml:space="preserve">fixed_computer </t>
  </si>
  <si>
    <t xml:space="preserve">electronics </t>
  </si>
  <si>
    <t xml:space="preserve">PC2</t>
  </si>
  <si>
    <t xml:space="preserve">Laptop/Notebook</t>
  </si>
  <si>
    <t xml:space="preserve">LAPTOP1</t>
  </si>
  <si>
    <t xml:space="preserve">laptop_computer </t>
  </si>
  <si>
    <t xml:space="preserve">LAPTOP2</t>
  </si>
  <si>
    <t xml:space="preserve">Tablet</t>
  </si>
  <si>
    <t xml:space="preserve">TABLET</t>
  </si>
  <si>
    <t xml:space="preserve">tablet </t>
  </si>
  <si>
    <t xml:space="preserve">Printer</t>
  </si>
  <si>
    <t xml:space="preserve">PRINTER</t>
  </si>
  <si>
    <t xml:space="preserve">printer </t>
  </si>
  <si>
    <t xml:space="preserve">TV</t>
  </si>
  <si>
    <t xml:space="preserve">TV1</t>
  </si>
  <si>
    <t xml:space="preserve">tv </t>
  </si>
  <si>
    <t xml:space="preserve">watching_tv </t>
  </si>
  <si>
    <t xml:space="preserve">TV2</t>
  </si>
  <si>
    <t xml:space="preserve">DVD &amp; Blu-ray reader</t>
  </si>
  <si>
    <t xml:space="preserve">VCR_DVD</t>
  </si>
  <si>
    <t xml:space="preserve">blueray_console </t>
  </si>
  <si>
    <t xml:space="preserve">TV Receiver box</t>
  </si>
  <si>
    <t xml:space="preserve">RECEIVER</t>
  </si>
  <si>
    <t xml:space="preserve">tv_box </t>
  </si>
  <si>
    <t xml:space="preserve">Game console</t>
  </si>
  <si>
    <t xml:space="preserve">CONSOLE</t>
  </si>
  <si>
    <t xml:space="preserve">gaming_console </t>
  </si>
  <si>
    <t xml:space="preserve">Cooking</t>
  </si>
  <si>
    <t xml:space="preserve">Cooking plates electric</t>
  </si>
  <si>
    <t xml:space="preserve">HOB_ELEC</t>
  </si>
  <si>
    <t xml:space="preserve">electric_hob </t>
  </si>
  <si>
    <t xml:space="preserve">cooking </t>
  </si>
  <si>
    <t xml:space="preserve">Cooking plates gaz</t>
  </si>
  <si>
    <t xml:space="preserve">HOB_GAZ</t>
  </si>
  <si>
    <t xml:space="preserve">gaz_hob </t>
  </si>
  <si>
    <t xml:space="preserve">Oven</t>
  </si>
  <si>
    <t xml:space="preserve">OVEN</t>
  </si>
  <si>
    <t xml:space="preserve">oven </t>
  </si>
  <si>
    <t xml:space="preserve">Micro-wave</t>
  </si>
  <si>
    <t xml:space="preserve">MICROWAVE</t>
  </si>
  <si>
    <t xml:space="preserve">microwave </t>
  </si>
  <si>
    <t xml:space="preserve">Kettle</t>
  </si>
  <si>
    <t xml:space="preserve">KETTLE</t>
  </si>
  <si>
    <t xml:space="preserve">kettle </t>
  </si>
  <si>
    <t xml:space="preserve">Small cooking (group)</t>
  </si>
  <si>
    <t xml:space="preserve">SMALL_COOKING</t>
  </si>
  <si>
    <t xml:space="preserve">toaster </t>
  </si>
  <si>
    <t xml:space="preserve">Wet</t>
  </si>
  <si>
    <t xml:space="preserve">Dish washer</t>
  </si>
  <si>
    <t xml:space="preserve">DISH_WASHER</t>
  </si>
  <si>
    <t xml:space="preserve">dishwasher </t>
  </si>
  <si>
    <t xml:space="preserve">dishwashing </t>
  </si>
  <si>
    <t xml:space="preserve">Dryer</t>
  </si>
  <si>
    <t xml:space="preserve">TUMBLE_DRYER</t>
  </si>
  <si>
    <t xml:space="preserve">dryer </t>
  </si>
  <si>
    <t xml:space="preserve">laundry </t>
  </si>
  <si>
    <t xml:space="preserve">Washing machine</t>
  </si>
  <si>
    <t xml:space="preserve">WASHING_MACHINE</t>
  </si>
  <si>
    <t xml:space="preserve">washingmachine </t>
  </si>
  <si>
    <t xml:space="preserve">Washer dryer</t>
  </si>
  <si>
    <t xml:space="preserve">WASHER_DRYER</t>
  </si>
  <si>
    <t xml:space="preserve">washer_dryer </t>
  </si>
  <si>
    <t xml:space="preserve">Basin</t>
  </si>
  <si>
    <t xml:space="preserve">BASIN</t>
  </si>
  <si>
    <t xml:space="preserve">basin </t>
  </si>
  <si>
    <t xml:space="preserve">self_washing </t>
  </si>
  <si>
    <t xml:space="preserve">Sink</t>
  </si>
  <si>
    <t xml:space="preserve">SINK</t>
  </si>
  <si>
    <t xml:space="preserve">sink </t>
  </si>
  <si>
    <t xml:space="preserve">Shower</t>
  </si>
  <si>
    <t xml:space="preserve">SHOWER</t>
  </si>
  <si>
    <t xml:space="preserve">shower </t>
  </si>
  <si>
    <t xml:space="preserve">Bath</t>
  </si>
  <si>
    <t xml:space="preserve">BATH</t>
  </si>
  <si>
    <t xml:space="preserve">bath </t>
  </si>
  <si>
    <t xml:space="preserve">Active occupant and activity statistics (derived from the german TOU.)</t>
  </si>
  <si>
    <t xml:space="preserve">Activity name</t>
  </si>
  <si>
    <t xml:space="preserve">Average activity probability (or average proportion of time where at least one active occupant is engaged in this activity)</t>
  </si>
  <si>
    <t xml:space="preserve">Watching television</t>
  </si>
  <si>
    <t xml:space="preserve">Performing cooking activities</t>
  </si>
  <si>
    <t xml:space="preserve">Doing laundry</t>
  </si>
  <si>
    <t xml:space="preserve">Washing or dressing</t>
  </si>
  <si>
    <t xml:space="preserve">Ironing</t>
  </si>
  <si>
    <t xml:space="preserve">Cleaning the house</t>
  </si>
  <si>
    <t xml:space="preserve">Using electronics</t>
  </si>
  <si>
    <t xml:space="preserve">Cleaning after dinner</t>
  </si>
  <si>
    <t xml:space="preserve">Lighting Model Configuration</t>
  </si>
  <si>
    <t xml:space="preserve">1. General configuration</t>
  </si>
  <si>
    <t xml:space="preserve">Mean</t>
  </si>
  <si>
    <t xml:space="preserve">S.D.</t>
  </si>
  <si>
    <t xml:space="preserve">House external global irradiance threshold</t>
  </si>
  <si>
    <t xml:space="preserve">W/m2</t>
  </si>
  <si>
    <t xml:space="preserve">Random variable, X</t>
  </si>
  <si>
    <t xml:space="preserve">Relative bulb use</t>
  </si>
  <si>
    <t xml:space="preserve">2. Relative bulb use weighting</t>
  </si>
  <si>
    <t xml:space="preserve">This represents the concept that some bulbs are used more frequently than others in a house.</t>
  </si>
  <si>
    <t xml:space="preserve">weighting</t>
  </si>
  <si>
    <t xml:space="preserve">Curve is of the form: h(t) = - Ln(X)</t>
  </si>
  <si>
    <t xml:space="preserve">3. Calibration scalar</t>
  </si>
  <si>
    <t xml:space="preserve">This calibration scaler is used to calibrate the model to so that it provides a particular average output over a large number of runs.</t>
  </si>
  <si>
    <t xml:space="preserve">Calibration scalar</t>
  </si>
  <si>
    <t xml:space="preserve">z</t>
  </si>
  <si>
    <t xml:space="preserve">4. Effective occupancy</t>
  </si>
  <si>
    <t xml:space="preserve">Effective occupancy represents the sharing of light use.</t>
  </si>
  <si>
    <t xml:space="preserve">Derived from:</t>
  </si>
  <si>
    <t xml:space="preserve">U.S. Department of Energy, Energy Information Administration, 1993 Residential Energy Consumption Survey, </t>
  </si>
  <si>
    <t xml:space="preserve">Mean Annual Electricity Consumption for Lighting, by Family Income by Number of Household Members</t>
  </si>
  <si>
    <t xml:space="preserve">Number of </t>
  </si>
  <si>
    <t xml:space="preserve">Effective</t>
  </si>
  <si>
    <t xml:space="preserve">active occupants</t>
  </si>
  <si>
    <t xml:space="preserve">5. Lighting event duration model</t>
  </si>
  <si>
    <t xml:space="preserve">This model defines how long a bulb will stay on for, if a switch-on event occurs.</t>
  </si>
  <si>
    <t xml:space="preserve">Source:</t>
  </si>
  <si>
    <t xml:space="preserve">M. Stokes, M. Rylatt, K. Lomas, A simple model of domestic lighting demand, Energy and Buildings 36 (2004) 103-116</t>
  </si>
  <si>
    <t xml:space="preserve">range of equal</t>
  </si>
  <si>
    <t xml:space="preserve">lower value</t>
  </si>
  <si>
    <t xml:space="preserve">upper value</t>
  </si>
  <si>
    <t xml:space="preserve">cumulative</t>
  </si>
  <si>
    <t xml:space="preserve">probability number</t>
  </si>
  <si>
    <t xml:space="preserve">(minutes)</t>
  </si>
  <si>
    <t xml:space="preserve">6. Installed bulbs</t>
  </si>
  <si>
    <t xml:space="preserve">Defines how the households are populated with lights, normal distribution</t>
  </si>
  <si>
    <t xml:space="preserve">Frondel 2019</t>
  </si>
  <si>
    <t xml:space="preserve">Mean number of bulbs</t>
  </si>
  <si>
    <t xml:space="preserve">Std for number of bulbs</t>
  </si>
  <si>
    <t xml:space="preserve">7. Bulb types</t>
  </si>
  <si>
    <t xml:space="preserve">Defines how the households are populated with lights</t>
  </si>
  <si>
    <t xml:space="preserve">You can add more lines to add some bulb types.</t>
  </si>
  <si>
    <t xml:space="preserve">Name</t>
  </si>
  <si>
    <t xml:space="preserve">Penetration</t>
  </si>
  <si>
    <t xml:space="preserve">Consumption[W]</t>
  </si>
  <si>
    <t xml:space="preserve">LED</t>
  </si>
  <si>
    <t xml:space="preserve">CFL</t>
  </si>
  <si>
    <t xml:space="preserve">Incandescent</t>
  </si>
  <si>
    <t xml:space="preserve">Sample installed bulbs data sheet</t>
  </si>
  <si>
    <t xml:space="preserve">Consumption in Watts of each individual bulbs</t>
  </si>
  <si>
    <t xml:space="preserve">Bulb nb</t>
  </si>
  <si>
    <t xml:space="preserve">House Nb</t>
  </si>
  <si>
    <t xml:space="preserve">Heating or Cooling system model parameters</t>
  </si>
  <si>
    <t xml:space="preserve"> guessed</t>
  </si>
  <si>
    <t xml:space="preserve">Primary heating system index</t>
  </si>
  <si>
    <t xml:space="preserve">Proportion of dwellings with this heating system</t>
  </si>
  <si>
    <t xml:space="preserve">Type of heating unit</t>
  </si>
  <si>
    <t xml:space="preserve">Type of system</t>
  </si>
  <si>
    <t xml:space="preserve">Type of fuel</t>
  </si>
  <si>
    <t xml:space="preserve">Fuel flow rate (nominal)</t>
  </si>
  <si>
    <t xml:space="preserve">Calorific value of fuel</t>
  </si>
  <si>
    <t xml:space="preserve">Calorific value of fuel flow rate</t>
  </si>
  <si>
    <t xml:space="preserve">Thermal efficiency</t>
  </si>
  <si>
    <t xml:space="preserve">Heat output of unit</t>
  </si>
  <si>
    <t xml:space="preserve">Standby power</t>
  </si>
  <si>
    <t xml:space="preserve">Pump power</t>
  </si>
  <si>
    <t xml:space="preserve">DHW cylinder volume</t>
  </si>
  <si>
    <t xml:space="preserve">DHW Tank Heat Loss</t>
  </si>
  <si>
    <t xml:space="preserve">DHW Thermal efficiency</t>
  </si>
  <si>
    <t xml:space="preserve">DHW Heat output of unit</t>
  </si>
  <si>
    <t xml:space="preserve">True = is combi</t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</si>
  <si>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fuel</t>
    </r>
  </si>
  <si>
    <r>
      <rPr>
        <i val="true"/>
        <sz val="10"/>
        <rFont val="Arial"/>
        <family val="2"/>
        <charset val="1"/>
      </rPr>
      <t xml:space="preserve">η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</si>
  <si>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</si>
  <si>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standby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</si>
  <si>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pump</t>
    </r>
  </si>
  <si>
    <r>
      <rPr>
        <i val="true"/>
        <sz val="10"/>
        <rFont val="Arial"/>
        <family val="2"/>
        <charset val="1"/>
      </rPr>
      <t xml:space="preserve">V</t>
    </r>
    <r>
      <rPr>
        <i val="true"/>
        <vertAlign val="subscript"/>
        <sz val="10"/>
        <rFont val="Arial"/>
        <family val="2"/>
        <charset val="1"/>
      </rPr>
      <t xml:space="preserve">cyl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</si>
  <si>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loss</t>
    </r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</si>
  <si>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/h or kW</t>
    </r>
  </si>
  <si>
    <r>
      <rPr>
        <sz val="10"/>
        <rFont val="Arial"/>
        <family val="2"/>
        <charset val="1"/>
      </rPr>
      <t xml:space="preserve">MJ/m</t>
    </r>
    <r>
      <rPr>
        <vertAlign val="superscript"/>
        <sz val="10"/>
        <rFont val="Arial"/>
        <family val="2"/>
        <charset val="1"/>
      </rPr>
      <t xml:space="preserve">3 </t>
    </r>
    <r>
      <rPr>
        <sz val="10"/>
        <rFont val="Arial"/>
        <family val="2"/>
        <charset val="1"/>
      </rPr>
      <t xml:space="preserve">or MJ/kWh</t>
    </r>
  </si>
  <si>
    <t xml:space="preserve">W</t>
  </si>
  <si>
    <t xml:space="preserve">%</t>
  </si>
  <si>
    <t xml:space="preserve">ltr</t>
  </si>
  <si>
    <r>
      <rPr>
        <sz val="10"/>
        <rFont val="Arial"/>
        <family val="2"/>
        <charset val="1"/>
      </rPr>
      <t xml:space="preserve">WK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</si>
  <si>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is_combi</t>
  </si>
  <si>
    <t xml:space="preserve">fuel_type </t>
  </si>
  <si>
    <t xml:space="preserve">fuel_flow_rate </t>
  </si>
  <si>
    <t xml:space="preserve">flow_rate_to_W </t>
  </si>
  <si>
    <t xml:space="preserve">heat_output_sh</t>
  </si>
  <si>
    <t xml:space="preserve">standby_power </t>
  </si>
  <si>
    <t xml:space="preserve">pump_power </t>
  </si>
  <si>
    <t xml:space="preserve">cyl_volume </t>
  </si>
  <si>
    <t xml:space="preserve">cyl_loss</t>
  </si>
  <si>
    <t xml:space="preserve">heat_output_dhw </t>
  </si>
  <si>
    <t xml:space="preserve">Boiler (regular)</t>
  </si>
  <si>
    <t xml:space="preserve">Mains gas</t>
  </si>
  <si>
    <t xml:space="preserve">Boiler (combi)</t>
  </si>
  <si>
    <t xml:space="preserve">Boiler (system)</t>
  </si>
  <si>
    <t xml:space="preserve">No Heating or Cooling</t>
  </si>
  <si>
    <t xml:space="preserve">Electricity</t>
  </si>
  <si>
    <t xml:space="preserve">Electric Water Heater</t>
  </si>
  <si>
    <t xml:space="preserve">Heat pump</t>
  </si>
  <si>
    <t xml:space="preserve">Low-order building thermal model parameters</t>
  </si>
  <si>
    <t xml:space="preserve">guessed</t>
  </si>
  <si>
    <t xml:space="preserve">Building index</t>
  </si>
  <si>
    <t xml:space="preserve">Proportion of dwellings of this building type</t>
  </si>
  <si>
    <t xml:space="preserve">Description</t>
  </si>
  <si>
    <t xml:space="preserve">Thermal transfer coefficient between outside air and external building thermal capacitance</t>
  </si>
  <si>
    <t xml:space="preserve">Thermal transfer coefficient between external building thermal capacitance and internal building thermal capacitance</t>
  </si>
  <si>
    <t xml:space="preserve">External building thermal capacitance</t>
  </si>
  <si>
    <t xml:space="preserve">Internal building thermal capacitance</t>
  </si>
  <si>
    <t xml:space="preserve">Global irradiance multiplier</t>
  </si>
  <si>
    <t xml:space="preserve">Ventilation rate, air changes per hour</t>
  </si>
  <si>
    <t xml:space="preserve">Floor area, living space</t>
  </si>
  <si>
    <t xml:space="preserve">Height, living space</t>
  </si>
  <si>
    <t xml:space="preserve">Thermal transfer coefficient representing ventilation heat loss between outside air and internal building thermal capacitance</t>
  </si>
  <si>
    <t xml:space="preserve">Heat output from emitters require to maintain interior temperature of 20 degrees with external temperature of -2 degrees, no other gains</t>
  </si>
  <si>
    <t xml:space="preserve">Nominal temperature of emitters</t>
  </si>
  <si>
    <t xml:space="preserve">Heat transfer coefficient of heat emitters</t>
  </si>
  <si>
    <t xml:space="preserve">Mass of water in heat emitters</t>
  </si>
  <si>
    <t xml:space="preserve">Thermal capacitance of heat emitters</t>
  </si>
  <si>
    <t xml:space="preserve">Nominal temperature of coolers</t>
  </si>
  <si>
    <t xml:space="preserve">Heat transfer coefficient of cool emitters to achieve interior temperature of 25 degrees with external 50, no other gains</t>
  </si>
  <si>
    <t xml:space="preserve">Thermal capacitance of cool emitters, sized to cool from 25 deg to nominal cooler temperature in five minutes</t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</si>
  <si>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ob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</si>
  <si>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bi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</si>
  <si>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b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</si>
  <si>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i</t>
    </r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</si>
  <si>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s</t>
    </r>
  </si>
  <si>
    <t xml:space="preserve">N</t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</si>
  <si>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</si>
  <si>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L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</si>
  <si>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v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</si>
  <si>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design</t>
    </r>
  </si>
  <si>
    <r>
      <rPr>
        <i val="true"/>
        <sz val="10"/>
        <rFont val="Arial"/>
        <family val="2"/>
        <charset val="1"/>
      </rPr>
      <t xml:space="preserve">θ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</si>
  <si>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</si>
  <si>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</si>
  <si>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em</t>
    </r>
  </si>
  <si>
    <t xml:space="preserve">W/K</t>
  </si>
  <si>
    <t xml:space="preserve">J/K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</si>
  <si>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</si>
  <si>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h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</si>
  <si>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m</t>
  </si>
  <si>
    <t xml:space="preserve">°C</t>
  </si>
  <si>
    <t xml:space="preserve"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</si>
  <si>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</si>
  <si>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</si>
  <si>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</si>
  <si>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</si>
  <si>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</si>
  <si>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</si>
  <si>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</si>
  <si>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</si>
  <si>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</si>
  <si>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</si>
  <si>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</si>
  <si>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 xml:space="preserve">Detached</t>
  </si>
  <si>
    <t xml:space="preserve">Improved detached</t>
  </si>
  <si>
    <t xml:space="preserve">Semi-detached</t>
  </si>
  <si>
    <t xml:space="preserve">Improved semi-detached</t>
  </si>
  <si>
    <t xml:space="preserve">Terraced</t>
  </si>
  <si>
    <t xml:space="preserve">Improved terrace</t>
  </si>
  <si>
    <t xml:space="preserve">Cement block appartment</t>
  </si>
  <si>
    <t xml:space="preserve">Small brick-built house</t>
  </si>
  <si>
    <t xml:space="preserve">Electric cars models</t>
  </si>
  <si>
    <t xml:space="preserve">Index</t>
  </si>
  <si>
    <t xml:space="preserve">Car Type</t>
  </si>
  <si>
    <t xml:space="preserve">Proportion of car</t>
  </si>
  <si>
    <t xml:space="preserve">Battery capacity</t>
  </si>
  <si>
    <t xml:space="preserve">Consumption</t>
  </si>
  <si>
    <t xml:space="preserve">Max charging power AC</t>
  </si>
  <si>
    <t xml:space="preserve">Max charging power DC</t>
  </si>
  <si>
    <t xml:space="preserve">Model brand example</t>
  </si>
  <si>
    <t xml:space="preserve">kWh</t>
  </si>
  <si>
    <t xml:space="preserve">kWh/100km</t>
  </si>
  <si>
    <t xml:space="preserve">kW</t>
  </si>
  <si>
    <t xml:space="preserve">Sport-fast</t>
  </si>
  <si>
    <t xml:space="preserve">Porsche Taycan</t>
  </si>
  <si>
    <t xml:space="preserve">Standard</t>
  </si>
  <si>
    <t xml:space="preserve">VW ID.3</t>
  </si>
  <si>
    <t xml:space="preserve">Heavy</t>
  </si>
  <si>
    <t xml:space="preserve">Audi e-tron Quattro</t>
  </si>
  <si>
    <t xml:space="preserve">Small</t>
  </si>
  <si>
    <t xml:space="preserve">VW e-Up!</t>
  </si>
  <si>
    <t xml:space="preserve">Electric cars charging station models</t>
  </si>
  <si>
    <t xml:space="preserve">Station Type</t>
  </si>
  <si>
    <t xml:space="preserve">Proportion of dwellings with this station</t>
  </si>
  <si>
    <t xml:space="preserve">Max charging power</t>
  </si>
  <si>
    <t xml:space="preserve">https://www.ladestation-zuhause.de/</t>
  </si>
  <si>
    <t xml:space="preserve">Standard Electricity plug</t>
  </si>
  <si>
    <t xml:space="preserve">Typ-1</t>
  </si>
  <si>
    <t xml:space="preserve">Typ-2</t>
  </si>
  <si>
    <t xml:space="preserve">CREST</t>
  </si>
  <si>
    <t xml:space="preserve">Occupancy</t>
  </si>
  <si>
    <t xml:space="preserve">we/wd</t>
  </si>
  <si>
    <t xml:space="preserve">v</t>
  </si>
  <si>
    <t xml:space="preserve">n residents</t>
  </si>
  <si>
    <t xml:space="preserve">social</t>
  </si>
  <si>
    <t xml:space="preserve">-</t>
  </si>
  <si>
    <t xml:space="preserve">seasonal</t>
  </si>
  <si>
    <t xml:space="preserve">set</t>
  </si>
  <si>
    <t xml:space="preserve">social set</t>
  </si>
  <si>
    <t xml:space="preserve">- </t>
  </si>
  <si>
    <t xml:space="preserve">not implemented</t>
  </si>
  <si>
    <t xml:space="preserve">water</t>
  </si>
  <si>
    <t xml:space="preserve">crest</t>
  </si>
  <si>
    <t xml:space="preserve">calibration</t>
  </si>
  <si>
    <t xml:space="preserve">not detailed</t>
  </si>
  <si>
    <t xml:space="preserve">Light</t>
  </si>
  <si>
    <t xml:space="preserve">bulbs</t>
  </si>
  <si>
    <t xml:space="preserve">gas</t>
  </si>
  <si>
    <t xml:space="preserve">heat pump</t>
  </si>
  <si>
    <t xml:space="preserve">variable T</t>
  </si>
  <si>
    <t xml:space="preserve">not data-based</t>
  </si>
  <si>
    <t xml:space="preserve">buildings </t>
  </si>
  <si>
    <t xml:space="preserve">Electric Cars</t>
  </si>
  <si>
    <t xml:space="preserve">model</t>
  </si>
  <si>
    <t xml:space="preserve">data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</si>
</sst>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"/>
    <numFmt numFmtId="166" formatCode="&quot;TRUE&quot;;&quot;TRUE&quot;;&quot;FALSE&quot;"/>
    <numFmt numFmtId="167" formatCode="0"/>
    <numFmt numFmtId="168" formatCode="0.00"/>
    <numFmt numFmtId="169" formatCode="0.0000"/>
    <numFmt numFmtId="170" formatCode="General"/>
    <numFmt numFmtId="171" formatCode="0.0"/>
    <numFmt numFmtId="172" formatCode="0%"/>
    <numFmt numFmtId="173" formatCode="\ * #,##0.00\ ;\-* #,##0.00\ ;\ * \-#\ ;\ @\ "/>
    <numFmt numFmtId="174" formatCode="\ * #,##0.0\ ;\-* #,##0.0\ ;\ * \-#\ ;\ 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b val="true"/>
      <sz val="10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"/>
      <family val="2"/>
    </font>
    <font>
      <sz val="8.25"/>
      <color rgb="FF000000"/>
      <name val="Arial"/>
      <family val="2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Mangal"/>
      <family val="2"/>
      <charset val="1"/>
    </font>
    <font>
      <sz val="1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CCFFCC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2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2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4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14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4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1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4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1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4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6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0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1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7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9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9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9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5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1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6" xfId="20"/>
    <cellStyle name="Accent 3 1" xfId="21"/>
    <cellStyle name="Accent 3 7" xfId="22"/>
    <cellStyle name="Heading 1 4" xfId="23"/>
    <cellStyle name="Heading 2 5" xfId="24"/>
    <cellStyle name="Heading 3" xfId="25"/>
    <cellStyle name="Normal 2" xfId="26"/>
    <cellStyle name="Normal 4 2" xfId="27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667419112114"/>
          <c:y val="0.110492624547732"/>
          <c:w val="0.821795836468523"/>
          <c:h val="0.543000278318953"/>
        </c:manualLayout>
      </c:layout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S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3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2.30258509299405</c:v>
                </c:pt>
                <c:pt idx="3">
                  <c:v>1.89711998488588</c:v>
                </c:pt>
                <c:pt idx="4">
                  <c:v>1.6094379124341</c:v>
                </c:pt>
                <c:pt idx="5">
                  <c:v>1.38629436111989</c:v>
                </c:pt>
                <c:pt idx="6">
                  <c:v>1.20397280432594</c:v>
                </c:pt>
                <c:pt idx="7">
                  <c:v>1.04982212449868</c:v>
                </c:pt>
                <c:pt idx="8">
                  <c:v>0.916290731874155</c:v>
                </c:pt>
                <c:pt idx="9">
                  <c:v>0.798507696217772</c:v>
                </c:pt>
                <c:pt idx="10">
                  <c:v>0.693147180559945</c:v>
                </c:pt>
                <c:pt idx="11">
                  <c:v>0.59783700075562</c:v>
                </c:pt>
                <c:pt idx="12">
                  <c:v>0.510825623765991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</c:v>
                </c:pt>
                <c:pt idx="16">
                  <c:v>0.22314355131421</c:v>
                </c:pt>
                <c:pt idx="17">
                  <c:v>0.162518929497775</c:v>
                </c:pt>
                <c:pt idx="18">
                  <c:v>0.105360515657826</c:v>
                </c:pt>
                <c:pt idx="19">
                  <c:v>0.0512932943875506</c:v>
                </c:pt>
                <c:pt idx="20">
                  <c:v>-0</c:v>
                </c:pt>
              </c:numCache>
            </c:numRef>
          </c:yVal>
          <c:smooth val="0"/>
        </c:ser>
        <c:axId val="83957702"/>
        <c:axId val="11775761"/>
      </c:scatterChart>
      <c:valAx>
        <c:axId val="83957702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35415099072"/>
              <c:y val="0.814082939048149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775761"/>
        <c:crosses val="autoZero"/>
        <c:crossBetween val="midCat"/>
      </c:valAx>
      <c:valAx>
        <c:axId val="1177576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0.045522949586155"/>
              <c:y val="0.12635680489841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95770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span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665854846566"/>
          <c:y val="0.0899818676337262"/>
          <c:w val="0.881027764247443"/>
          <c:h val="0.608114233907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4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</c:v>
                </c:pt>
                <c:pt idx="3">
                  <c:v>1.69370860927152</c:v>
                </c:pt>
                <c:pt idx="4">
                  <c:v>1.98344370860927</c:v>
                </c:pt>
                <c:pt idx="5">
                  <c:v>2.09437086092715</c:v>
                </c:pt>
              </c:numCache>
            </c:numRef>
          </c:val>
        </c:ser>
        <c:gapWidth val="150"/>
        <c:overlap val="0"/>
        <c:axId val="60719398"/>
        <c:axId val="12619218"/>
      </c:barChart>
      <c:catAx>
        <c:axId val="60719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20701412567"/>
              <c:y val="0.8485947416137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619218"/>
        <c:crosses val="autoZero"/>
        <c:auto val="1"/>
        <c:lblAlgn val="ctr"/>
        <c:lblOffset val="100"/>
        <c:noMultiLvlLbl val="0"/>
      </c:catAx>
      <c:valAx>
        <c:axId val="126192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0.00840233804188992"/>
              <c:y val="0.182910244786945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719398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4007633587786"/>
          <c:y val="0.13571869216533"/>
          <c:w val="0.853530534351145"/>
          <c:h val="0.615052436767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4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0.111111111111111</c:v>
                </c:pt>
                <c:pt idx="1">
                  <c:v>0.222222222222222</c:v>
                </c:pt>
                <c:pt idx="2">
                  <c:v>0.333333333333333</c:v>
                </c:pt>
                <c:pt idx="3">
                  <c:v>0.444444444444444</c:v>
                </c:pt>
                <c:pt idx="4">
                  <c:v>0.555555555555556</c:v>
                </c:pt>
                <c:pt idx="5">
                  <c:v>0.666666666666667</c:v>
                </c:pt>
                <c:pt idx="6">
                  <c:v>0.777777777777778</c:v>
                </c:pt>
                <c:pt idx="7">
                  <c:v>0.888888888888889</c:v>
                </c:pt>
                <c:pt idx="8">
                  <c:v>1</c:v>
                </c:pt>
              </c:numCache>
            </c:numRef>
          </c:yVal>
          <c:smooth val="0"/>
        </c:ser>
        <c:axId val="501027"/>
        <c:axId val="37390882"/>
      </c:scatterChart>
      <c:valAx>
        <c:axId val="5010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483301526718"/>
              <c:y val="0.86263623277812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390882"/>
        <c:crosses val="autoZero"/>
        <c:crossBetween val="midCat"/>
      </c:valAx>
      <c:valAx>
        <c:axId val="37390882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0.0215887404580153"/>
              <c:y val="0.20398930701213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10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693000</xdr:colOff>
      <xdr:row>9</xdr:row>
      <xdr:rowOff>32040</xdr:rowOff>
    </xdr:from>
    <xdr:to>
      <xdr:col>7</xdr:col>
      <xdr:colOff>531360</xdr:colOff>
      <xdr:row>17</xdr:row>
      <xdr:rowOff>24480</xdr:rowOff>
    </xdr:to>
    <xdr:graphicFrame>
      <xdr:nvGraphicFramePr>
        <xdr:cNvPr id="0" name="Chart 7"/>
        <xdr:cNvGraphicFramePr/>
      </xdr:nvGraphicFramePr>
      <xdr:xfrm>
        <a:off x="2328480" y="1522800"/>
        <a:ext cx="5740920" cy="129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639000</xdr:colOff>
      <xdr:row>44</xdr:row>
      <xdr:rowOff>67680</xdr:rowOff>
    </xdr:to>
    <xdr:graphicFrame>
      <xdr:nvGraphicFramePr>
        <xdr:cNvPr id="1" name="Chart 2_0"/>
        <xdr:cNvGraphicFramePr/>
      </xdr:nvGraphicFramePr>
      <xdr:xfrm>
        <a:off x="7171920" y="5660280"/>
        <a:ext cx="5912280" cy="158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762840</xdr:colOff>
      <xdr:row>62</xdr:row>
      <xdr:rowOff>75600</xdr:rowOff>
    </xdr:to>
    <xdr:graphicFrame>
      <xdr:nvGraphicFramePr>
        <xdr:cNvPr id="2" name="Chart 6_0"/>
        <xdr:cNvGraphicFramePr/>
      </xdr:nvGraphicFramePr>
      <xdr:xfrm>
        <a:off x="7171920" y="8431920"/>
        <a:ext cx="6036120" cy="175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287280</xdr:colOff>
      <xdr:row>10</xdr:row>
      <xdr:rowOff>105120</xdr:rowOff>
    </xdr:from>
    <xdr:to>
      <xdr:col>0</xdr:col>
      <xdr:colOff>524520</xdr:colOff>
      <xdr:row>13</xdr:row>
      <xdr:rowOff>95040</xdr:rowOff>
    </xdr:to>
    <xdr:sp>
      <xdr:nvSpPr>
        <xdr:cNvPr id="3" name="CustomShape 1"/>
        <xdr:cNvSpPr/>
      </xdr:nvSpPr>
      <xdr:spPr>
        <a:xfrm>
          <a:off x="287280" y="1758600"/>
          <a:ext cx="237240" cy="477360"/>
        </a:xfrm>
        <a:custGeom>
          <a:avLst/>
          <a:gdLst/>
          <a:ahLst/>
          <a:rect l="l" t="t" r="r" b="b"/>
          <a:pathLst>
            <a:path w="663" h="1330">
              <a:moveTo>
                <a:pt x="165" y="0"/>
              </a:moveTo>
              <a:lnTo>
                <a:pt x="165" y="996"/>
              </a:lnTo>
              <a:lnTo>
                <a:pt x="0" y="996"/>
              </a:lnTo>
              <a:lnTo>
                <a:pt x="331" y="1329"/>
              </a:lnTo>
              <a:lnTo>
                <a:pt x="662" y="996"/>
              </a:lnTo>
              <a:lnTo>
                <a:pt x="496" y="996"/>
              </a:lnTo>
              <a:lnTo>
                <a:pt x="496" y="0"/>
              </a:lnTo>
              <a:lnTo>
                <a:pt x="165" y="0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168480</xdr:colOff>
      <xdr:row>5</xdr:row>
      <xdr:rowOff>105120</xdr:rowOff>
    </xdr:from>
    <xdr:to>
      <xdr:col>3</xdr:col>
      <xdr:colOff>108360</xdr:colOff>
      <xdr:row>7</xdr:row>
      <xdr:rowOff>18360</xdr:rowOff>
    </xdr:to>
    <xdr:sp>
      <xdr:nvSpPr>
        <xdr:cNvPr id="4" name="CustomShape 1"/>
        <xdr:cNvSpPr/>
      </xdr:nvSpPr>
      <xdr:spPr>
        <a:xfrm>
          <a:off x="1798920" y="945720"/>
          <a:ext cx="755280" cy="238320"/>
        </a:xfrm>
        <a:custGeom>
          <a:avLst/>
          <a:gdLst/>
          <a:ahLst/>
          <a:rect l="l" t="t" r="r" b="b"/>
          <a:pathLst>
            <a:path w="2095" h="666">
              <a:moveTo>
                <a:pt x="0" y="166"/>
              </a:moveTo>
              <a:lnTo>
                <a:pt x="1570" y="166"/>
              </a:lnTo>
              <a:lnTo>
                <a:pt x="1570" y="0"/>
              </a:lnTo>
              <a:lnTo>
                <a:pt x="2094" y="332"/>
              </a:lnTo>
              <a:lnTo>
                <a:pt x="1570" y="665"/>
              </a:lnTo>
              <a:lnTo>
                <a:pt x="1570" y="498"/>
              </a:lnTo>
              <a:lnTo>
                <a:pt x="0" y="498"/>
              </a:lnTo>
              <a:lnTo>
                <a:pt x="0" y="16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REST_data/CREST_Demand_Model_v2.3.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P4" activeCellId="0" sqref="P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1.88"/>
    <col collapsed="false" customWidth="true" hidden="false" outlineLevel="0" max="3" min="3" style="0" width="5.43"/>
    <col collapsed="false" customWidth="true" hidden="false" outlineLevel="0" max="4" min="4" style="0" width="21.88"/>
    <col collapsed="false" customWidth="true" hidden="false" outlineLevel="0" max="5" min="5" style="0" width="16.55"/>
    <col collapsed="false" customWidth="true" hidden="false" outlineLevel="0" max="6" min="6" style="0" width="3.93"/>
    <col collapsed="false" customWidth="true" hidden="false" outlineLevel="0" max="7" min="7" style="0" width="21.88"/>
    <col collapsed="false" customWidth="true" hidden="false" outlineLevel="0" max="8" min="8" style="0" width="3.24"/>
    <col collapsed="false" customWidth="true" hidden="false" outlineLevel="0" max="10" min="9" style="0" width="21.88"/>
    <col collapsed="false" customWidth="true" hidden="false" outlineLevel="0" max="11" min="11" style="0" width="3.01"/>
    <col collapsed="false" customWidth="true" hidden="false" outlineLevel="0" max="13" min="12" style="0" width="21.88"/>
    <col collapsed="false" customWidth="true" hidden="false" outlineLevel="0" max="14" min="14" style="0" width="2.55"/>
  </cols>
  <sheetData>
    <row r="1" customFormat="false" ht="29.15" hidden="false" customHeight="false" outlineLevel="0" collapsed="false">
      <c r="A1" s="1" t="s">
        <v>0</v>
      </c>
    </row>
    <row r="2" s="2" customFormat="true" ht="22.05" hidden="false" customHeight="false" outlineLevel="0" collapsed="false">
      <c r="C2" s="3"/>
      <c r="D2" s="3"/>
      <c r="E2" s="3"/>
      <c r="I2" s="2" t="s">
        <v>1</v>
      </c>
      <c r="L2" s="2" t="s">
        <v>2</v>
      </c>
      <c r="O2" s="2" t="s">
        <v>3</v>
      </c>
      <c r="R2" s="2" t="s">
        <v>4</v>
      </c>
      <c r="T2" s="2" t="s">
        <v>5</v>
      </c>
    </row>
    <row r="3" s="4" customFormat="true" ht="15" hidden="false" customHeight="false" outlineLevel="0" collapsed="false">
      <c r="B3" s="4" t="s">
        <v>6</v>
      </c>
      <c r="D3" s="4" t="s">
        <v>7</v>
      </c>
      <c r="E3" s="4" t="s">
        <v>8</v>
      </c>
      <c r="G3" s="4" t="s">
        <v>9</v>
      </c>
      <c r="I3" s="4" t="s">
        <v>10</v>
      </c>
      <c r="J3" s="4" t="s">
        <v>11</v>
      </c>
      <c r="L3" s="4" t="s">
        <v>10</v>
      </c>
      <c r="M3" s="4" t="s">
        <v>12</v>
      </c>
      <c r="O3" s="4" t="s">
        <v>10</v>
      </c>
      <c r="P3" s="4" t="s">
        <v>13</v>
      </c>
    </row>
    <row r="4" s="5" customFormat="true" ht="144.25" hidden="false" customHeight="true" outlineLevel="0" collapsed="false">
      <c r="G4" s="5" t="s">
        <v>14</v>
      </c>
      <c r="I4" s="5" t="s">
        <v>15</v>
      </c>
      <c r="J4" s="5" t="s">
        <v>16</v>
      </c>
      <c r="L4" s="5" t="s">
        <v>17</v>
      </c>
      <c r="M4" s="5" t="s">
        <v>18</v>
      </c>
      <c r="O4" s="5" t="s">
        <v>19</v>
      </c>
      <c r="P4" s="5" t="s">
        <v>20</v>
      </c>
    </row>
    <row r="6" s="6" customFormat="true" ht="12.8" hidden="false" customHeight="false" outlineLevel="0" collapsed="false">
      <c r="B6" s="7" t="s">
        <v>21</v>
      </c>
      <c r="D6" s="6" t="s">
        <v>22</v>
      </c>
      <c r="E6" s="6" t="s">
        <v>23</v>
      </c>
      <c r="G6" s="6" t="s">
        <v>24</v>
      </c>
      <c r="I6" s="6" t="s">
        <v>25</v>
      </c>
      <c r="J6" s="6" t="s">
        <v>26</v>
      </c>
      <c r="L6" s="6" t="s">
        <v>27</v>
      </c>
      <c r="M6" s="6" t="s">
        <v>28</v>
      </c>
      <c r="O6" s="6" t="s">
        <v>29</v>
      </c>
      <c r="P6" s="6" t="s">
        <v>30</v>
      </c>
    </row>
    <row r="7" customFormat="false" ht="12.8" hidden="false" customHeight="false" outlineLevel="0" collapsed="false">
      <c r="B7" s="0" t="n">
        <v>100</v>
      </c>
      <c r="C7" s="0" t="s">
        <v>31</v>
      </c>
      <c r="D7" s="0" t="n">
        <v>2005</v>
      </c>
      <c r="G7" s="8" t="n">
        <f aca="false">TRUE()</f>
        <v>1</v>
      </c>
      <c r="I7" s="0" t="s">
        <v>32</v>
      </c>
      <c r="J7" s="0" t="s">
        <v>33</v>
      </c>
      <c r="M7" s="0" t="s">
        <v>34</v>
      </c>
      <c r="P7" s="0" t="s">
        <v>35</v>
      </c>
    </row>
    <row r="8" customFormat="false" ht="12.8" hidden="false" customHeight="false" outlineLevel="0" collapsed="false">
      <c r="C8" s="0" t="s">
        <v>36</v>
      </c>
      <c r="D8" s="0" t="n">
        <v>4</v>
      </c>
    </row>
    <row r="9" customFormat="false" ht="12.8" hidden="false" customHeight="false" outlineLevel="0" collapsed="false">
      <c r="C9" s="0" t="s">
        <v>37</v>
      </c>
      <c r="D9" s="0" t="n">
        <v>10</v>
      </c>
      <c r="E9" s="0" t="n">
        <v>3</v>
      </c>
    </row>
    <row r="10" customFormat="false" ht="12.8" hidden="false" customHeight="false" outlineLevel="0" collapsed="false">
      <c r="C10" s="0" t="s">
        <v>38</v>
      </c>
      <c r="D10" s="0" t="n">
        <v>4</v>
      </c>
    </row>
    <row r="11" customFormat="false" ht="12.8" hidden="false" customHeight="false" outlineLevel="0" collapsed="false">
      <c r="C11" s="0" t="s">
        <v>39</v>
      </c>
      <c r="D11" s="0" t="n">
        <v>0</v>
      </c>
    </row>
    <row r="12" customFormat="false" ht="12.8" hidden="false" customHeight="false" outlineLevel="0" collapsed="false">
      <c r="C12" s="0" t="s">
        <v>40</v>
      </c>
      <c r="D12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4.73"/>
  </cols>
  <sheetData>
    <row r="1" customFormat="false" ht="15" hidden="false" customHeight="false" outlineLevel="0" collapsed="false">
      <c r="A1" s="142" t="s">
        <v>475</v>
      </c>
      <c r="B1" s="142"/>
      <c r="C1" s="142"/>
      <c r="D1" s="143" t="s">
        <v>344</v>
      </c>
    </row>
    <row r="2" customFormat="false" ht="46.25" hidden="false" customHeight="false" outlineLevel="0" collapsed="false">
      <c r="A2" s="145" t="s">
        <v>456</v>
      </c>
      <c r="B2" s="145" t="s">
        <v>476</v>
      </c>
      <c r="C2" s="145" t="s">
        <v>477</v>
      </c>
      <c r="D2" s="145" t="s">
        <v>478</v>
      </c>
      <c r="E2" s="145"/>
      <c r="F2" s="0" t="s">
        <v>479</v>
      </c>
    </row>
    <row r="3" customFormat="false" ht="12.8" hidden="false" customHeight="false" outlineLevel="0" collapsed="false">
      <c r="A3" s="147"/>
      <c r="B3" s="147"/>
      <c r="C3" s="147"/>
      <c r="D3" s="147"/>
      <c r="E3" s="148"/>
    </row>
    <row r="4" customFormat="false" ht="12.8" hidden="false" customHeight="false" outlineLevel="0" collapsed="false">
      <c r="A4" s="149"/>
      <c r="B4" s="149"/>
      <c r="C4" s="149"/>
      <c r="D4" s="150" t="s">
        <v>466</v>
      </c>
      <c r="E4" s="149"/>
    </row>
    <row r="5" customFormat="false" ht="12.8" hidden="false" customHeight="false" outlineLevel="0" collapsed="false">
      <c r="A5" s="0" t="n">
        <v>1</v>
      </c>
      <c r="B5" s="0" t="s">
        <v>480</v>
      </c>
      <c r="C5" s="155" t="n">
        <v>0.2</v>
      </c>
      <c r="D5" s="83" t="n">
        <v>2.3</v>
      </c>
    </row>
    <row r="6" customFormat="false" ht="12.8" hidden="false" customHeight="false" outlineLevel="0" collapsed="false">
      <c r="A6" s="0" t="n">
        <v>2</v>
      </c>
      <c r="B6" s="0" t="s">
        <v>481</v>
      </c>
      <c r="C6" s="155" t="n">
        <v>0.6</v>
      </c>
      <c r="D6" s="83" t="n">
        <v>7.4</v>
      </c>
    </row>
    <row r="7" customFormat="false" ht="12.8" hidden="false" customHeight="false" outlineLevel="0" collapsed="false">
      <c r="A7" s="0" t="n">
        <v>3</v>
      </c>
      <c r="B7" s="0" t="s">
        <v>482</v>
      </c>
      <c r="C7" s="155" t="n">
        <v>0.2</v>
      </c>
      <c r="D7" s="83" t="n">
        <v>22</v>
      </c>
    </row>
    <row r="8" customFormat="false" ht="12.8" hidden="false" customHeight="false" outlineLevel="0" collapsed="false">
      <c r="C8" s="157"/>
      <c r="D8" s="83"/>
      <c r="E8" s="1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C1" s="0" t="s">
        <v>483</v>
      </c>
      <c r="D1" s="0" t="s">
        <v>125</v>
      </c>
    </row>
    <row r="2" customFormat="false" ht="12.8" hidden="false" customHeight="false" outlineLevel="0" collapsed="false">
      <c r="A2" s="0" t="s">
        <v>484</v>
      </c>
      <c r="B2" s="0" t="s">
        <v>485</v>
      </c>
      <c r="C2" s="0" t="s">
        <v>486</v>
      </c>
      <c r="D2" s="0" t="s">
        <v>486</v>
      </c>
    </row>
    <row r="3" customFormat="false" ht="12.8" hidden="false" customHeight="false" outlineLevel="0" collapsed="false">
      <c r="B3" s="0" t="s">
        <v>487</v>
      </c>
      <c r="C3" s="0" t="s">
        <v>486</v>
      </c>
      <c r="D3" s="0" t="s">
        <v>486</v>
      </c>
    </row>
    <row r="4" customFormat="false" ht="12.8" hidden="false" customHeight="false" outlineLevel="0" collapsed="false">
      <c r="B4" s="0" t="s">
        <v>488</v>
      </c>
      <c r="C4" s="0" t="s">
        <v>489</v>
      </c>
      <c r="D4" s="0" t="s">
        <v>486</v>
      </c>
    </row>
    <row r="5" customFormat="false" ht="12.8" hidden="false" customHeight="false" outlineLevel="0" collapsed="false">
      <c r="B5" s="0" t="s">
        <v>490</v>
      </c>
      <c r="C5" s="0" t="s">
        <v>489</v>
      </c>
      <c r="D5" s="0" t="s">
        <v>486</v>
      </c>
    </row>
    <row r="6" customFormat="false" ht="12.8" hidden="false" customHeight="false" outlineLevel="0" collapsed="false">
      <c r="A6" s="0" t="s">
        <v>75</v>
      </c>
      <c r="B6" s="0" t="s">
        <v>491</v>
      </c>
      <c r="C6" s="0" t="s">
        <v>486</v>
      </c>
      <c r="D6" s="0" t="s">
        <v>486</v>
      </c>
    </row>
    <row r="7" customFormat="false" ht="12.8" hidden="false" customHeight="false" outlineLevel="0" collapsed="false">
      <c r="B7" s="0" t="s">
        <v>492</v>
      </c>
      <c r="C7" s="0" t="s">
        <v>493</v>
      </c>
      <c r="D7" s="0" t="s">
        <v>494</v>
      </c>
    </row>
    <row r="8" customFormat="false" ht="12.8" hidden="false" customHeight="false" outlineLevel="0" collapsed="false">
      <c r="B8" s="0" t="s">
        <v>495</v>
      </c>
      <c r="C8" s="0" t="s">
        <v>486</v>
      </c>
      <c r="D8" s="0" t="s">
        <v>496</v>
      </c>
    </row>
    <row r="9" customFormat="false" ht="12.8" hidden="false" customHeight="false" outlineLevel="0" collapsed="false">
      <c r="B9" s="0" t="s">
        <v>497</v>
      </c>
      <c r="C9" s="0" t="s">
        <v>486</v>
      </c>
      <c r="D9" s="0" t="s">
        <v>498</v>
      </c>
    </row>
    <row r="10" customFormat="false" ht="12.8" hidden="false" customHeight="false" outlineLevel="0" collapsed="false">
      <c r="A10" s="0" t="s">
        <v>499</v>
      </c>
      <c r="B10" s="0" t="s">
        <v>500</v>
      </c>
      <c r="C10" s="0" t="s">
        <v>486</v>
      </c>
      <c r="D10" s="0" t="s">
        <v>489</v>
      </c>
    </row>
    <row r="11" customFormat="false" ht="12.8" hidden="false" customHeight="false" outlineLevel="0" collapsed="false">
      <c r="B11" s="0" t="s">
        <v>497</v>
      </c>
      <c r="C11" s="0" t="s">
        <v>486</v>
      </c>
      <c r="D11" s="0" t="s">
        <v>489</v>
      </c>
    </row>
    <row r="12" customFormat="false" ht="12.8" hidden="false" customHeight="false" outlineLevel="0" collapsed="false">
      <c r="A12" s="0" t="s">
        <v>5</v>
      </c>
      <c r="B12" s="0" t="s">
        <v>501</v>
      </c>
      <c r="C12" s="0" t="s">
        <v>486</v>
      </c>
      <c r="D12" s="0" t="s">
        <v>496</v>
      </c>
    </row>
    <row r="13" customFormat="false" ht="12.8" hidden="false" customHeight="false" outlineLevel="0" collapsed="false">
      <c r="B13" s="0" t="s">
        <v>502</v>
      </c>
      <c r="C13" s="0" t="s">
        <v>489</v>
      </c>
      <c r="D13" s="0" t="s">
        <v>486</v>
      </c>
    </row>
    <row r="14" customFormat="false" ht="12.8" hidden="false" customHeight="false" outlineLevel="0" collapsed="false">
      <c r="B14" s="0" t="s">
        <v>503</v>
      </c>
      <c r="C14" s="0" t="s">
        <v>489</v>
      </c>
      <c r="D14" s="0" t="s">
        <v>504</v>
      </c>
    </row>
    <row r="15" customFormat="false" ht="12.8" hidden="false" customHeight="false" outlineLevel="0" collapsed="false">
      <c r="B15" s="0" t="s">
        <v>505</v>
      </c>
      <c r="C15" s="0" t="s">
        <v>486</v>
      </c>
      <c r="D15" s="0" t="s">
        <v>496</v>
      </c>
    </row>
    <row r="16" customFormat="false" ht="12.8" hidden="false" customHeight="false" outlineLevel="0" collapsed="false">
      <c r="A16" s="0" t="s">
        <v>506</v>
      </c>
      <c r="B16" s="0" t="s">
        <v>507</v>
      </c>
      <c r="C16" s="0" t="s">
        <v>489</v>
      </c>
      <c r="D16" s="0" t="s">
        <v>486</v>
      </c>
    </row>
    <row r="17" customFormat="false" ht="12.8" hidden="false" customHeight="false" outlineLevel="0" collapsed="false">
      <c r="B17" s="0" t="s">
        <v>508</v>
      </c>
      <c r="C17" s="0" t="s">
        <v>489</v>
      </c>
      <c r="D17" s="0" t="s">
        <v>489</v>
      </c>
    </row>
    <row r="18" customFormat="false" ht="12.8" hidden="false" customHeight="false" outlineLevel="0" collapsed="false">
      <c r="B18" s="0" t="s">
        <v>497</v>
      </c>
      <c r="C18" s="0" t="s">
        <v>489</v>
      </c>
      <c r="D18" s="0" t="s">
        <v>489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8984375" defaultRowHeight="12.8" zeroHeight="false" outlineLevelRow="0" outlineLevelCol="0"/>
  <sheetData>
    <row r="1" customFormat="false" ht="29.15" hidden="false" customHeight="false" outlineLevel="0" collapsed="false">
      <c r="A1" s="1" t="s">
        <v>41</v>
      </c>
    </row>
    <row r="3" customFormat="false" ht="12.8" hidden="false" customHeight="false" outlineLevel="0" collapsed="false">
      <c r="A3" s="0" t="s">
        <v>42</v>
      </c>
    </row>
    <row r="6" customFormat="false" ht="37.3" hidden="false" customHeight="true" outlineLevel="0" collapsed="false">
      <c r="A6" s="9" t="s">
        <v>43</v>
      </c>
      <c r="B6" s="9"/>
      <c r="C6" s="9" t="s">
        <v>44</v>
      </c>
      <c r="D6" s="9"/>
      <c r="E6" s="9" t="s">
        <v>45</v>
      </c>
      <c r="F6" s="9" t="s">
        <v>46</v>
      </c>
      <c r="G6" s="9" t="s">
        <v>47</v>
      </c>
    </row>
    <row r="7" customFormat="false" ht="12.8" hidden="false" customHeight="false" outlineLevel="0" collapsed="false">
      <c r="A7" s="0" t="s">
        <v>48</v>
      </c>
      <c r="C7" s="0" t="n">
        <v>10</v>
      </c>
      <c r="E7" s="0" t="n">
        <v>1</v>
      </c>
      <c r="G7" s="0" t="n">
        <v>1</v>
      </c>
    </row>
    <row r="8" customFormat="false" ht="12.8" hidden="false" customHeight="false" outlineLevel="0" collapsed="false">
      <c r="A8" s="0" t="s">
        <v>49</v>
      </c>
      <c r="C8" s="0" t="n">
        <v>10</v>
      </c>
      <c r="E8" s="0" t="n">
        <v>1</v>
      </c>
      <c r="G8" s="0" t="n">
        <v>2</v>
      </c>
    </row>
    <row r="9" customFormat="false" ht="12.8" hidden="false" customHeight="false" outlineLevel="0" collapsed="false">
      <c r="A9" s="0" t="s">
        <v>50</v>
      </c>
      <c r="C9" s="0" t="n">
        <v>10</v>
      </c>
      <c r="E9" s="0" t="n">
        <v>2</v>
      </c>
    </row>
    <row r="10" customFormat="false" ht="12.8" hidden="false" customHeight="false" outlineLevel="0" collapsed="false">
      <c r="A10" s="0" t="s">
        <v>51</v>
      </c>
      <c r="C10" s="0" t="n">
        <v>10</v>
      </c>
      <c r="E10" s="0" t="n">
        <v>3</v>
      </c>
    </row>
    <row r="11" customFormat="false" ht="12.8" hidden="false" customHeight="false" outlineLevel="0" collapsed="false">
      <c r="A11" s="0" t="s">
        <v>52</v>
      </c>
      <c r="C11" s="0" t="n">
        <v>10</v>
      </c>
      <c r="E11" s="0" t="n">
        <v>4</v>
      </c>
    </row>
    <row r="12" customFormat="false" ht="12.8" hidden="false" customHeight="false" outlineLevel="0" collapsed="false">
      <c r="A12" s="0" t="s">
        <v>53</v>
      </c>
      <c r="C12" s="0" t="n">
        <v>10</v>
      </c>
      <c r="E1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L52" activeCellId="0" sqref="L5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8.47"/>
    <col collapsed="false" customWidth="true" hidden="false" outlineLevel="0" max="6" min="6" style="0" width="16.09"/>
  </cols>
  <sheetData>
    <row r="1" customFormat="false" ht="15" hidden="false" customHeight="false" outlineLevel="0" collapsed="false">
      <c r="A1" s="10" t="s">
        <v>54</v>
      </c>
      <c r="B1" s="11"/>
      <c r="C1" s="11"/>
      <c r="D1" s="11"/>
      <c r="E1" s="11"/>
      <c r="F1" s="11"/>
      <c r="G1" s="11"/>
      <c r="H1" s="12"/>
      <c r="I1" s="11" t="s">
        <v>55</v>
      </c>
      <c r="J1" s="11"/>
      <c r="K1" s="13" t="s">
        <v>56</v>
      </c>
      <c r="L1" s="11" t="s">
        <v>57</v>
      </c>
      <c r="M1" s="11"/>
      <c r="N1" s="11"/>
      <c r="O1" s="11"/>
      <c r="P1" s="11"/>
      <c r="Q1" s="11"/>
      <c r="R1" s="11"/>
      <c r="S1" s="11"/>
      <c r="T1" s="14"/>
      <c r="U1" s="0" t="s">
        <v>58</v>
      </c>
      <c r="W1" s="15"/>
      <c r="X1" s="0" t="s">
        <v>59</v>
      </c>
      <c r="Y1" s="11"/>
      <c r="Z1" s="11"/>
      <c r="AA1" s="16"/>
      <c r="AB1" s="11" t="s">
        <v>60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7"/>
      <c r="I2" s="11" t="s">
        <v>61</v>
      </c>
      <c r="J2" s="11"/>
      <c r="K2" s="11"/>
      <c r="L2" s="11"/>
      <c r="M2" s="11"/>
      <c r="N2" s="11"/>
      <c r="O2" s="11"/>
      <c r="P2" s="11"/>
      <c r="Q2" s="11"/>
      <c r="R2" s="11"/>
      <c r="S2" s="11"/>
      <c r="W2" s="18"/>
      <c r="X2" s="0" t="s">
        <v>62</v>
      </c>
      <c r="Y2" s="11"/>
      <c r="Z2" s="11"/>
      <c r="AA2" s="19" t="s">
        <v>56</v>
      </c>
      <c r="AB2" s="11" t="s">
        <v>63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customFormat="false" ht="12.8" hidden="false" customHeight="false" outlineLevel="0" collapsed="false">
      <c r="A3" s="20" t="s">
        <v>64</v>
      </c>
      <c r="B3" s="21" t="s">
        <v>65</v>
      </c>
      <c r="C3" s="21"/>
      <c r="D3" s="21"/>
      <c r="E3" s="22" t="s">
        <v>66</v>
      </c>
      <c r="F3" s="21" t="s">
        <v>67</v>
      </c>
      <c r="G3" s="21"/>
      <c r="H3" s="21"/>
      <c r="I3" s="21"/>
      <c r="J3" s="21"/>
      <c r="K3" s="21"/>
      <c r="L3" s="21"/>
      <c r="M3" s="21"/>
      <c r="N3" s="21"/>
      <c r="O3" s="21"/>
      <c r="P3" s="23"/>
      <c r="Q3" s="23"/>
      <c r="R3" s="21"/>
      <c r="S3" s="24"/>
      <c r="T3" s="24"/>
      <c r="U3" s="24"/>
      <c r="V3" s="25"/>
      <c r="W3" s="24"/>
      <c r="X3" s="25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6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11"/>
      <c r="AX3" s="27"/>
      <c r="AY3" s="27"/>
      <c r="AZ3" s="27"/>
      <c r="BA3" s="27"/>
      <c r="BB3" s="27"/>
      <c r="BC3" s="27"/>
      <c r="BD3" s="27"/>
      <c r="BE3" s="11"/>
      <c r="BF3" s="27"/>
    </row>
    <row r="4" customFormat="false" ht="12.8" hidden="false" customHeight="false" outlineLevel="0" collapsed="false">
      <c r="A4" s="28"/>
      <c r="B4" s="27"/>
      <c r="C4" s="29"/>
      <c r="D4" s="29"/>
      <c r="E4" s="30" t="s">
        <v>68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31"/>
      <c r="Q4" s="31"/>
      <c r="R4" s="29"/>
      <c r="S4" s="27"/>
      <c r="T4" s="27"/>
      <c r="U4" s="27"/>
      <c r="V4" s="32"/>
      <c r="W4" s="27"/>
      <c r="X4" s="32"/>
      <c r="Y4" s="27"/>
      <c r="Z4" s="27"/>
      <c r="AA4" s="27" t="s">
        <v>69</v>
      </c>
      <c r="AB4" s="27" t="s">
        <v>69</v>
      </c>
      <c r="AC4" s="27" t="s">
        <v>70</v>
      </c>
      <c r="AD4" s="27" t="s">
        <v>71</v>
      </c>
      <c r="AE4" s="27" t="s">
        <v>72</v>
      </c>
      <c r="AF4" s="27" t="s">
        <v>73</v>
      </c>
      <c r="AG4" s="27" t="s">
        <v>74</v>
      </c>
      <c r="AH4" s="27" t="s">
        <v>75</v>
      </c>
      <c r="AI4" s="33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11"/>
      <c r="AX4" s="27"/>
      <c r="AY4" s="27"/>
      <c r="AZ4" s="27"/>
      <c r="BA4" s="27"/>
      <c r="BB4" s="27"/>
      <c r="BC4" s="27"/>
      <c r="BD4" s="27"/>
      <c r="BE4" s="11"/>
      <c r="BF4" s="27"/>
    </row>
    <row r="5" customFormat="false" ht="12.8" hidden="false" customHeight="false" outlineLevel="0" collapsed="false">
      <c r="A5" s="28"/>
      <c r="B5" s="27"/>
      <c r="C5" s="29"/>
      <c r="D5" s="29"/>
      <c r="E5" s="30" t="s">
        <v>76</v>
      </c>
      <c r="F5" s="34" t="s">
        <v>77</v>
      </c>
      <c r="G5" s="34" t="s">
        <v>77</v>
      </c>
      <c r="H5" s="34" t="s">
        <v>78</v>
      </c>
      <c r="I5" s="34" t="s">
        <v>79</v>
      </c>
      <c r="J5" s="34" t="s">
        <v>80</v>
      </c>
      <c r="K5" s="34" t="s">
        <v>73</v>
      </c>
      <c r="L5" s="34" t="s">
        <v>81</v>
      </c>
      <c r="M5" s="34" t="s">
        <v>82</v>
      </c>
      <c r="N5" s="34" t="s">
        <v>83</v>
      </c>
      <c r="O5" s="34" t="s">
        <v>84</v>
      </c>
      <c r="P5" s="31"/>
      <c r="Q5" s="31"/>
      <c r="R5" s="29"/>
      <c r="S5" s="27"/>
      <c r="T5" s="27"/>
      <c r="U5" s="34" t="s">
        <v>85</v>
      </c>
      <c r="V5" s="32"/>
      <c r="W5" s="27"/>
      <c r="X5" s="32"/>
      <c r="Y5" s="27"/>
      <c r="Z5" s="34" t="s">
        <v>86</v>
      </c>
      <c r="AA5" s="34" t="s">
        <v>87</v>
      </c>
      <c r="AB5" s="34" t="s">
        <v>88</v>
      </c>
      <c r="AC5" s="34" t="s">
        <v>89</v>
      </c>
      <c r="AD5" s="34" t="s">
        <v>90</v>
      </c>
      <c r="AE5" s="34" t="s">
        <v>91</v>
      </c>
      <c r="AF5" s="34" t="s">
        <v>92</v>
      </c>
      <c r="AG5" s="27" t="s">
        <v>93</v>
      </c>
      <c r="AH5" s="27" t="s">
        <v>94</v>
      </c>
      <c r="AI5" s="33" t="s">
        <v>95</v>
      </c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11"/>
      <c r="AX5" s="27"/>
      <c r="AY5" s="27"/>
      <c r="AZ5" s="27"/>
      <c r="BA5" s="27"/>
      <c r="BB5" s="27"/>
      <c r="BC5" s="27"/>
      <c r="BD5" s="27"/>
      <c r="BE5" s="11"/>
      <c r="BF5" s="27"/>
    </row>
    <row r="6" customFormat="false" ht="12.8" hidden="false" customHeight="false" outlineLevel="0" collapsed="false">
      <c r="A6" s="28"/>
      <c r="B6" s="27"/>
      <c r="C6" s="29"/>
      <c r="D6" s="29"/>
      <c r="E6" s="30" t="s">
        <v>96</v>
      </c>
      <c r="F6" s="34" t="s">
        <v>97</v>
      </c>
      <c r="G6" s="34" t="s">
        <v>98</v>
      </c>
      <c r="H6" s="34" t="s">
        <v>99</v>
      </c>
      <c r="I6" s="34" t="s">
        <v>100</v>
      </c>
      <c r="J6" s="34" t="s">
        <v>101</v>
      </c>
      <c r="K6" s="34" t="s">
        <v>102</v>
      </c>
      <c r="L6" s="34" t="s">
        <v>103</v>
      </c>
      <c r="M6" s="34" t="s">
        <v>104</v>
      </c>
      <c r="N6" s="34" t="s">
        <v>105</v>
      </c>
      <c r="O6" s="34" t="s">
        <v>106</v>
      </c>
      <c r="P6" s="32" t="s">
        <v>107</v>
      </c>
      <c r="Q6" s="32"/>
      <c r="R6" s="27"/>
      <c r="S6" s="27" t="s">
        <v>108</v>
      </c>
      <c r="T6" s="27" t="s">
        <v>107</v>
      </c>
      <c r="U6" s="34" t="s">
        <v>109</v>
      </c>
      <c r="V6" s="32" t="s">
        <v>110</v>
      </c>
      <c r="W6" s="27" t="s">
        <v>111</v>
      </c>
      <c r="X6" s="32" t="s">
        <v>112</v>
      </c>
      <c r="Y6" s="27" t="s">
        <v>112</v>
      </c>
      <c r="Z6" s="34" t="s">
        <v>113</v>
      </c>
      <c r="AA6" s="34" t="s">
        <v>114</v>
      </c>
      <c r="AB6" s="34" t="s">
        <v>115</v>
      </c>
      <c r="AC6" s="34" t="s">
        <v>116</v>
      </c>
      <c r="AD6" s="34" t="s">
        <v>117</v>
      </c>
      <c r="AE6" s="34" t="s">
        <v>118</v>
      </c>
      <c r="AF6" s="34"/>
      <c r="AG6" s="27" t="s">
        <v>119</v>
      </c>
      <c r="AH6" s="27" t="s">
        <v>120</v>
      </c>
      <c r="AI6" s="33" t="s">
        <v>121</v>
      </c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11"/>
      <c r="AX6" s="27"/>
      <c r="AY6" s="27"/>
      <c r="AZ6" s="27"/>
      <c r="BA6" s="27"/>
      <c r="BB6" s="27"/>
      <c r="BC6" s="27"/>
      <c r="BD6" s="27"/>
      <c r="BE6" s="11"/>
      <c r="BF6" s="27"/>
    </row>
    <row r="7" customFormat="false" ht="12.8" hidden="false" customHeight="false" outlineLevel="0" collapsed="false">
      <c r="A7" s="28"/>
      <c r="B7" s="29" t="s">
        <v>122</v>
      </c>
      <c r="C7" s="29" t="s">
        <v>123</v>
      </c>
      <c r="D7" s="29"/>
      <c r="E7" s="30"/>
      <c r="F7" s="34" t="s">
        <v>124</v>
      </c>
      <c r="G7" s="34" t="s">
        <v>125</v>
      </c>
      <c r="H7" s="34" t="s">
        <v>126</v>
      </c>
      <c r="I7" s="34" t="s">
        <v>114</v>
      </c>
      <c r="J7" s="34" t="s">
        <v>127</v>
      </c>
      <c r="K7" s="34"/>
      <c r="L7" s="34"/>
      <c r="M7" s="34" t="s">
        <v>126</v>
      </c>
      <c r="N7" s="34" t="s">
        <v>128</v>
      </c>
      <c r="O7" s="34" t="s">
        <v>129</v>
      </c>
      <c r="P7" s="32" t="s">
        <v>120</v>
      </c>
      <c r="Q7" s="32"/>
      <c r="R7" s="27"/>
      <c r="S7" s="27" t="s">
        <v>130</v>
      </c>
      <c r="T7" s="27" t="s">
        <v>131</v>
      </c>
      <c r="U7" s="34" t="s">
        <v>132</v>
      </c>
      <c r="V7" s="32" t="s">
        <v>133</v>
      </c>
      <c r="W7" s="27" t="s">
        <v>134</v>
      </c>
      <c r="X7" s="32" t="s">
        <v>134</v>
      </c>
      <c r="Y7" s="27" t="s">
        <v>135</v>
      </c>
      <c r="Z7" s="34" t="s">
        <v>114</v>
      </c>
      <c r="AA7" s="34"/>
      <c r="AB7" s="34"/>
      <c r="AC7" s="34" t="s">
        <v>136</v>
      </c>
      <c r="AD7" s="34" t="s">
        <v>137</v>
      </c>
      <c r="AE7" s="34"/>
      <c r="AF7" s="34"/>
      <c r="AG7" s="27" t="s">
        <v>138</v>
      </c>
      <c r="AH7" s="27" t="s">
        <v>139</v>
      </c>
      <c r="AI7" s="33" t="s">
        <v>140</v>
      </c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11"/>
      <c r="AX7" s="27"/>
      <c r="AY7" s="27"/>
      <c r="AZ7" s="27"/>
      <c r="BA7" s="27"/>
      <c r="BB7" s="27"/>
      <c r="BC7" s="27"/>
      <c r="BD7" s="27"/>
      <c r="BE7" s="11"/>
      <c r="BF7" s="27"/>
    </row>
    <row r="8" customFormat="false" ht="12.8" hidden="false" customHeight="false" outlineLevel="0" collapsed="false">
      <c r="A8" s="35"/>
      <c r="B8" s="36"/>
      <c r="C8" s="37"/>
      <c r="D8" s="37"/>
      <c r="E8" s="38"/>
      <c r="F8" s="37"/>
      <c r="G8" s="37"/>
      <c r="H8" s="37"/>
      <c r="I8" s="37" t="s">
        <v>141</v>
      </c>
      <c r="J8" s="37" t="s">
        <v>141</v>
      </c>
      <c r="K8" s="37"/>
      <c r="L8" s="37"/>
      <c r="M8" s="37" t="s">
        <v>142</v>
      </c>
      <c r="N8" s="37" t="s">
        <v>143</v>
      </c>
      <c r="O8" s="37" t="s">
        <v>144</v>
      </c>
      <c r="P8" s="39" t="s">
        <v>145</v>
      </c>
      <c r="Q8" s="39"/>
      <c r="R8" s="37"/>
      <c r="S8" s="37" t="s">
        <v>146</v>
      </c>
      <c r="T8" s="37" t="s">
        <v>143</v>
      </c>
      <c r="U8" s="40" t="s">
        <v>143</v>
      </c>
      <c r="V8" s="39" t="s">
        <v>145</v>
      </c>
      <c r="W8" s="37"/>
      <c r="X8" s="39" t="s">
        <v>147</v>
      </c>
      <c r="Y8" s="37" t="s">
        <v>147</v>
      </c>
      <c r="Z8" s="40" t="s">
        <v>148</v>
      </c>
      <c r="AA8" s="40" t="s">
        <v>143</v>
      </c>
      <c r="AB8" s="40" t="s">
        <v>143</v>
      </c>
      <c r="AC8" s="40" t="s">
        <v>143</v>
      </c>
      <c r="AD8" s="40" t="s">
        <v>143</v>
      </c>
      <c r="AE8" s="40" t="s">
        <v>143</v>
      </c>
      <c r="AF8" s="40"/>
      <c r="AG8" s="37" t="s">
        <v>147</v>
      </c>
      <c r="AH8" s="37"/>
      <c r="AI8" s="41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11"/>
      <c r="AX8" s="27"/>
      <c r="AY8" s="27"/>
      <c r="AZ8" s="27"/>
      <c r="BA8" s="27"/>
      <c r="BB8" s="27"/>
      <c r="BC8" s="27"/>
      <c r="BD8" s="27"/>
      <c r="BE8" s="11"/>
      <c r="BF8" s="27"/>
    </row>
    <row r="9" customFormat="false" ht="12.8" hidden="false" customHeight="false" outlineLevel="0" collapsed="false">
      <c r="A9" s="20"/>
      <c r="B9" s="21"/>
      <c r="C9" s="21"/>
      <c r="D9" s="21"/>
      <c r="E9" s="42"/>
      <c r="F9" s="21" t="s">
        <v>149</v>
      </c>
      <c r="G9" s="21"/>
      <c r="H9" s="43"/>
      <c r="I9" s="44"/>
      <c r="J9" s="45"/>
      <c r="K9" s="45"/>
      <c r="L9" s="45"/>
      <c r="M9" s="46"/>
      <c r="N9" s="45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7"/>
      <c r="AH9" s="24"/>
      <c r="AI9" s="26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customFormat="false" ht="12.8" hidden="false" customHeight="false" outlineLevel="0" collapsed="false">
      <c r="A10" s="28"/>
      <c r="B10" s="29"/>
      <c r="C10" s="29"/>
      <c r="D10" s="29"/>
      <c r="E10" s="48" t="s">
        <v>66</v>
      </c>
      <c r="F10" s="29"/>
      <c r="G10" s="29"/>
      <c r="H10" s="43"/>
      <c r="I10" s="29"/>
      <c r="J10" s="49"/>
      <c r="K10" s="49"/>
      <c r="L10" s="49"/>
      <c r="M10" s="46"/>
      <c r="N10" s="49"/>
      <c r="O10" s="49"/>
      <c r="P10" s="50"/>
      <c r="Q10" s="50"/>
      <c r="R10" s="50"/>
      <c r="S10" s="50"/>
      <c r="T10" s="50"/>
      <c r="U10" s="50"/>
      <c r="V10" s="50"/>
      <c r="W10" s="51"/>
      <c r="X10" s="51"/>
      <c r="Y10" s="51"/>
      <c r="Z10" s="51"/>
      <c r="AA10" s="27" t="s">
        <v>150</v>
      </c>
      <c r="AB10" s="27" t="s">
        <v>150</v>
      </c>
      <c r="AC10" s="27" t="s">
        <v>70</v>
      </c>
      <c r="AD10" s="27" t="s">
        <v>71</v>
      </c>
      <c r="AE10" s="27" t="s">
        <v>72</v>
      </c>
      <c r="AF10" s="27" t="s">
        <v>73</v>
      </c>
      <c r="AG10" s="27" t="s">
        <v>74</v>
      </c>
      <c r="AH10" s="52"/>
      <c r="AI10" s="33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customFormat="false" ht="12.8" hidden="false" customHeight="false" outlineLevel="0" collapsed="false">
      <c r="A11" s="28"/>
      <c r="B11" s="27"/>
      <c r="C11" s="29"/>
      <c r="D11" s="29"/>
      <c r="E11" s="48" t="s">
        <v>68</v>
      </c>
      <c r="F11" s="34" t="s">
        <v>77</v>
      </c>
      <c r="G11" s="34"/>
      <c r="H11" s="34" t="s">
        <v>78</v>
      </c>
      <c r="I11" s="34" t="s">
        <v>79</v>
      </c>
      <c r="J11" s="34" t="s">
        <v>80</v>
      </c>
      <c r="K11" s="34" t="s">
        <v>73</v>
      </c>
      <c r="L11" s="34" t="s">
        <v>81</v>
      </c>
      <c r="M11" s="34" t="s">
        <v>82</v>
      </c>
      <c r="N11" s="34" t="s">
        <v>83</v>
      </c>
      <c r="O11" s="34" t="s">
        <v>84</v>
      </c>
      <c r="P11" s="34"/>
      <c r="Q11" s="34"/>
      <c r="R11" s="34"/>
      <c r="S11" s="27"/>
      <c r="T11" s="27"/>
      <c r="U11" s="34" t="s">
        <v>85</v>
      </c>
      <c r="V11" s="34"/>
      <c r="W11" s="27"/>
      <c r="X11" s="51"/>
      <c r="Y11" s="27"/>
      <c r="Z11" s="34" t="s">
        <v>86</v>
      </c>
      <c r="AA11" s="34" t="s">
        <v>87</v>
      </c>
      <c r="AB11" s="34" t="s">
        <v>88</v>
      </c>
      <c r="AC11" s="34" t="s">
        <v>151</v>
      </c>
      <c r="AD11" s="34" t="s">
        <v>152</v>
      </c>
      <c r="AE11" s="34" t="s">
        <v>91</v>
      </c>
      <c r="AF11" s="34" t="s">
        <v>92</v>
      </c>
      <c r="AG11" s="27" t="s">
        <v>93</v>
      </c>
      <c r="AH11" s="53"/>
      <c r="AI11" s="33"/>
      <c r="AJ11" s="52"/>
      <c r="AK11" s="52"/>
      <c r="AL11" s="52"/>
      <c r="AM11" s="52"/>
      <c r="AN11" s="27"/>
      <c r="AO11" s="27"/>
      <c r="AP11" s="27"/>
      <c r="AQ11" s="27"/>
      <c r="AR11" s="27"/>
      <c r="AS11" s="27"/>
      <c r="AT11" s="27"/>
      <c r="AU11" s="27"/>
      <c r="AV11" s="27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customFormat="false" ht="12.8" hidden="false" customHeight="false" outlineLevel="0" collapsed="false">
      <c r="A12" s="28"/>
      <c r="B12" s="54"/>
      <c r="C12" s="29"/>
      <c r="D12" s="29"/>
      <c r="E12" s="48" t="s">
        <v>76</v>
      </c>
      <c r="F12" s="34" t="s">
        <v>97</v>
      </c>
      <c r="G12" s="34"/>
      <c r="H12" s="34" t="s">
        <v>99</v>
      </c>
      <c r="I12" s="34" t="s">
        <v>100</v>
      </c>
      <c r="J12" s="34" t="s">
        <v>101</v>
      </c>
      <c r="K12" s="34" t="s">
        <v>102</v>
      </c>
      <c r="L12" s="34" t="s">
        <v>103</v>
      </c>
      <c r="M12" s="34" t="s">
        <v>104</v>
      </c>
      <c r="N12" s="34" t="s">
        <v>153</v>
      </c>
      <c r="O12" s="34" t="s">
        <v>106</v>
      </c>
      <c r="Q12" s="34" t="s">
        <v>107</v>
      </c>
      <c r="R12" s="34"/>
      <c r="S12" s="34" t="s">
        <v>107</v>
      </c>
      <c r="T12" s="34" t="s">
        <v>108</v>
      </c>
      <c r="U12" s="34" t="s">
        <v>109</v>
      </c>
      <c r="V12" s="34" t="s">
        <v>154</v>
      </c>
      <c r="W12" s="27" t="s">
        <v>154</v>
      </c>
      <c r="X12" s="27" t="s">
        <v>112</v>
      </c>
      <c r="Y12" s="27" t="s">
        <v>112</v>
      </c>
      <c r="Z12" s="34" t="s">
        <v>113</v>
      </c>
      <c r="AA12" s="34" t="s">
        <v>114</v>
      </c>
      <c r="AB12" s="34" t="s">
        <v>115</v>
      </c>
      <c r="AC12" s="34" t="s">
        <v>116</v>
      </c>
      <c r="AD12" s="34" t="s">
        <v>117</v>
      </c>
      <c r="AE12" s="34" t="s">
        <v>118</v>
      </c>
      <c r="AF12" s="34"/>
      <c r="AG12" s="27" t="s">
        <v>119</v>
      </c>
      <c r="AH12" s="27"/>
      <c r="AI12" s="55"/>
      <c r="AJ12" s="27"/>
      <c r="AK12" s="52"/>
      <c r="AL12" s="52"/>
      <c r="AM12" s="52"/>
      <c r="AN12" s="52"/>
      <c r="AO12" s="27"/>
      <c r="AP12" s="27"/>
      <c r="AQ12" s="27"/>
      <c r="AR12" s="27"/>
      <c r="AS12" s="27"/>
      <c r="AT12" s="27"/>
      <c r="AU12" s="27"/>
      <c r="AV12" s="27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customFormat="false" ht="12.8" hidden="false" customHeight="false" outlineLevel="0" collapsed="false">
      <c r="A13" s="28"/>
      <c r="B13" s="29" t="s">
        <v>155</v>
      </c>
      <c r="C13" s="29" t="s">
        <v>123</v>
      </c>
      <c r="D13" s="29"/>
      <c r="E13" s="48" t="s">
        <v>96</v>
      </c>
      <c r="F13" s="34" t="s">
        <v>124</v>
      </c>
      <c r="G13" s="34"/>
      <c r="H13" s="34" t="s">
        <v>126</v>
      </c>
      <c r="I13" s="34" t="s">
        <v>114</v>
      </c>
      <c r="J13" s="34" t="s">
        <v>127</v>
      </c>
      <c r="K13" s="34"/>
      <c r="L13" s="34"/>
      <c r="M13" s="34" t="s">
        <v>126</v>
      </c>
      <c r="N13" s="34" t="s">
        <v>128</v>
      </c>
      <c r="O13" s="34" t="s">
        <v>129</v>
      </c>
      <c r="Q13" s="34" t="s">
        <v>156</v>
      </c>
      <c r="R13" s="34"/>
      <c r="S13" s="34" t="s">
        <v>157</v>
      </c>
      <c r="T13" s="34" t="s">
        <v>23</v>
      </c>
      <c r="U13" s="34" t="s">
        <v>132</v>
      </c>
      <c r="V13" s="34" t="s">
        <v>156</v>
      </c>
      <c r="W13" s="27" t="s">
        <v>158</v>
      </c>
      <c r="X13" s="27" t="s">
        <v>134</v>
      </c>
      <c r="Y13" s="27" t="s">
        <v>135</v>
      </c>
      <c r="Z13" s="34" t="s">
        <v>114</v>
      </c>
      <c r="AA13" s="34"/>
      <c r="AB13" s="34"/>
      <c r="AC13" s="34" t="s">
        <v>136</v>
      </c>
      <c r="AD13" s="34" t="s">
        <v>137</v>
      </c>
      <c r="AE13" s="34"/>
      <c r="AF13" s="34"/>
      <c r="AG13" s="27" t="s">
        <v>138</v>
      </c>
      <c r="AH13" s="27"/>
      <c r="AI13" s="55"/>
      <c r="AJ13" s="27"/>
      <c r="AK13" s="52"/>
      <c r="AL13" s="52"/>
      <c r="AM13" s="52"/>
      <c r="AN13" s="52"/>
      <c r="AO13" s="27"/>
      <c r="AP13" s="27"/>
      <c r="AQ13" s="27"/>
      <c r="AR13" s="27"/>
      <c r="AS13" s="27"/>
      <c r="AT13" s="27"/>
      <c r="AU13" s="27"/>
      <c r="AV13" s="27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customFormat="false" ht="12.8" hidden="false" customHeight="false" outlineLevel="0" collapsed="false">
      <c r="A14" s="56"/>
      <c r="B14" s="37"/>
      <c r="C14" s="57"/>
      <c r="D14" s="57"/>
      <c r="E14" s="58"/>
      <c r="F14" s="40"/>
      <c r="G14" s="40"/>
      <c r="H14" s="43"/>
      <c r="I14" s="40" t="s">
        <v>159</v>
      </c>
      <c r="J14" s="40" t="s">
        <v>159</v>
      </c>
      <c r="K14" s="37"/>
      <c r="L14" s="37"/>
      <c r="M14" s="37" t="s">
        <v>142</v>
      </c>
      <c r="N14" s="37" t="s">
        <v>143</v>
      </c>
      <c r="O14" s="37" t="s">
        <v>144</v>
      </c>
      <c r="Q14" s="40" t="s">
        <v>160</v>
      </c>
      <c r="R14" s="40"/>
      <c r="S14" s="40" t="s">
        <v>161</v>
      </c>
      <c r="T14" s="40" t="s">
        <v>143</v>
      </c>
      <c r="U14" s="40" t="s">
        <v>143</v>
      </c>
      <c r="V14" s="40" t="s">
        <v>160</v>
      </c>
      <c r="W14" s="37" t="s">
        <v>162</v>
      </c>
      <c r="X14" s="37" t="s">
        <v>163</v>
      </c>
      <c r="Y14" s="37" t="s">
        <v>163</v>
      </c>
      <c r="Z14" s="40" t="s">
        <v>164</v>
      </c>
      <c r="AA14" s="40" t="s">
        <v>143</v>
      </c>
      <c r="AB14" s="40" t="s">
        <v>143</v>
      </c>
      <c r="AC14" s="40" t="s">
        <v>143</v>
      </c>
      <c r="AD14" s="40" t="s">
        <v>143</v>
      </c>
      <c r="AE14" s="40" t="s">
        <v>143</v>
      </c>
      <c r="AF14" s="40"/>
      <c r="AG14" s="37" t="s">
        <v>163</v>
      </c>
      <c r="AH14" s="37"/>
      <c r="AI14" s="59"/>
      <c r="AJ14" s="27"/>
      <c r="AK14" s="52"/>
      <c r="AL14" s="52"/>
      <c r="AM14" s="52"/>
      <c r="AN14" s="52"/>
      <c r="AO14" s="27"/>
      <c r="AP14" s="27"/>
      <c r="AQ14" s="27"/>
      <c r="AR14" s="27"/>
      <c r="AS14" s="27"/>
      <c r="AT14" s="27"/>
      <c r="AU14" s="27"/>
      <c r="AV14" s="27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="61" customFormat="true" ht="12.8" hidden="false" customHeight="false" outlineLevel="0" collapsed="false">
      <c r="A15" s="60"/>
      <c r="C15" s="61" t="s">
        <v>165</v>
      </c>
      <c r="D15" s="61" t="s">
        <v>166</v>
      </c>
      <c r="E15" s="62" t="s">
        <v>167</v>
      </c>
      <c r="F15" s="61" t="s">
        <v>168</v>
      </c>
      <c r="L15" s="61" t="s">
        <v>169</v>
      </c>
      <c r="P15" s="61" t="s">
        <v>170</v>
      </c>
      <c r="Q15" s="61" t="s">
        <v>171</v>
      </c>
      <c r="R15" s="61" t="s">
        <v>172</v>
      </c>
      <c r="T15" s="62" t="s">
        <v>173</v>
      </c>
      <c r="U15" s="62" t="s">
        <v>174</v>
      </c>
      <c r="V15" s="61" t="s">
        <v>175</v>
      </c>
      <c r="Y15" s="62" t="s">
        <v>176</v>
      </c>
      <c r="AF15" s="62" t="s">
        <v>177</v>
      </c>
      <c r="AH15" s="62" t="s">
        <v>178</v>
      </c>
      <c r="AI15" s="62" t="s">
        <v>179</v>
      </c>
    </row>
    <row r="16" s="82" customFormat="true" ht="12.8" hidden="false" customHeight="false" outlineLevel="0" collapsed="false">
      <c r="A16" s="63" t="s">
        <v>180</v>
      </c>
      <c r="B16" s="64" t="s">
        <v>181</v>
      </c>
      <c r="C16" s="65" t="s">
        <v>182</v>
      </c>
      <c r="D16" s="66" t="s">
        <v>183</v>
      </c>
      <c r="E16" s="67" t="n">
        <v>0.997</v>
      </c>
      <c r="F16" s="66" t="s">
        <v>184</v>
      </c>
      <c r="G16" s="65"/>
      <c r="H16" s="68" t="n">
        <f aca="false">IF(F16="level", 1, VLOOKUP(F16,ActivityStats!$C$4:$D$12,2,FALSE()))</f>
        <v>1</v>
      </c>
      <c r="I16" s="69" t="n">
        <f aca="false">365*24*60</f>
        <v>525600</v>
      </c>
      <c r="J16" s="69" t="n">
        <f aca="false">H16*I16</f>
        <v>525600</v>
      </c>
      <c r="K16" s="70" t="n">
        <f aca="false">J16/I16</f>
        <v>1</v>
      </c>
      <c r="L16" s="71" t="n">
        <f aca="false">IF(F16="level",FALSE(), TRUE())</f>
        <v>0</v>
      </c>
      <c r="M16" s="46" t="n">
        <f aca="false">IF(L16 = FALSE(),1,ActivityStats!$D$12)</f>
        <v>1</v>
      </c>
      <c r="N16" s="72" t="n">
        <f aca="false">M16*I16</f>
        <v>525600</v>
      </c>
      <c r="O16" s="70" t="n">
        <f aca="false">K16/M16</f>
        <v>1</v>
      </c>
      <c r="P16" s="73" t="n">
        <v>130</v>
      </c>
      <c r="Q16" s="74" t="n">
        <v>0</v>
      </c>
      <c r="R16" s="74" t="n">
        <f aca="false">IF(Q16&gt;0, TRUE(), FALSE())</f>
        <v>0</v>
      </c>
      <c r="S16" s="75" t="n">
        <f aca="false">P16*T16/(60*1000)</f>
        <v>0.039</v>
      </c>
      <c r="T16" s="74" t="n">
        <v>18</v>
      </c>
      <c r="U16" s="65" t="n">
        <f aca="false">2*T16</f>
        <v>36</v>
      </c>
      <c r="V16" s="65" t="n">
        <v>0</v>
      </c>
      <c r="W16" s="76" t="n">
        <f aca="false">V16*I16/(60*1000)</f>
        <v>0</v>
      </c>
      <c r="X16" s="77" t="n">
        <v>297.1</v>
      </c>
      <c r="Y16" s="76" t="n">
        <f aca="false">X16-W16</f>
        <v>297.1</v>
      </c>
      <c r="Z16" s="78" t="n">
        <f aca="false">Y16/((P16-V16)*T16)*60*1000</f>
        <v>7617.94871794872</v>
      </c>
      <c r="AA16" s="79" t="n">
        <f aca="false">Z16*T16</f>
        <v>137123.076923077</v>
      </c>
      <c r="AB16" s="79" t="n">
        <f aca="false">Z16*U16</f>
        <v>274246.153846154</v>
      </c>
      <c r="AC16" s="80" t="n">
        <f aca="false">N16-AA16-AB16</f>
        <v>114230.769230769</v>
      </c>
      <c r="AD16" s="80" t="n">
        <f aca="false">AC16*O16</f>
        <v>114230.769230769</v>
      </c>
      <c r="AE16" s="80" t="n">
        <f aca="false">AD16/Z16</f>
        <v>14.9949511948839</v>
      </c>
      <c r="AF16" s="81" t="n">
        <f aca="false">1/AE16</f>
        <v>0.0666891133557801</v>
      </c>
      <c r="AG16" s="80" t="n">
        <f aca="false">X16*E16</f>
        <v>296.2087</v>
      </c>
      <c r="AH16" s="75" t="n">
        <v>0.8</v>
      </c>
      <c r="AI16" s="75" t="n">
        <v>1</v>
      </c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</row>
    <row r="17" customFormat="false" ht="12.8" hidden="false" customHeight="false" outlineLevel="0" collapsed="false">
      <c r="A17" s="29"/>
      <c r="B17" s="83" t="s">
        <v>181</v>
      </c>
      <c r="C17" s="84" t="s">
        <v>185</v>
      </c>
      <c r="D17" s="85" t="s">
        <v>183</v>
      </c>
      <c r="E17" s="86" t="n">
        <v>0.233</v>
      </c>
      <c r="F17" s="85" t="s">
        <v>184</v>
      </c>
      <c r="G17" s="84"/>
      <c r="H17" s="43" t="n">
        <f aca="false">IF(F17="level", 1, VLOOKUP(F17,ActivityStats!$C$4:$D$12,2,FALSE()))</f>
        <v>1</v>
      </c>
      <c r="I17" s="49" t="n">
        <f aca="false">365*24*60</f>
        <v>525600</v>
      </c>
      <c r="J17" s="49" t="n">
        <f aca="false">H17*I17</f>
        <v>525600</v>
      </c>
      <c r="K17" s="46" t="n">
        <f aca="false">J17/I17</f>
        <v>1</v>
      </c>
      <c r="L17" s="87" t="n">
        <f aca="false">IF(F17="level",FALSE(), TRUE())</f>
        <v>0</v>
      </c>
      <c r="M17" s="46" t="n">
        <f aca="false">IF(L17 = FALSE(),1,ActivityStats!$D$12)</f>
        <v>1</v>
      </c>
      <c r="N17" s="88" t="n">
        <f aca="false">M17*I17</f>
        <v>525600</v>
      </c>
      <c r="O17" s="46" t="n">
        <f aca="false">K17/M17</f>
        <v>1</v>
      </c>
      <c r="P17" s="89" t="n">
        <v>130</v>
      </c>
      <c r="Q17" s="90" t="n">
        <v>0</v>
      </c>
      <c r="R17" s="90" t="n">
        <f aca="false">IF(Q17&gt;0, TRUE(), FALSE())</f>
        <v>0</v>
      </c>
      <c r="S17" s="27" t="n">
        <f aca="false">P17*T17/(60*1000)</f>
        <v>0.039</v>
      </c>
      <c r="T17" s="90" t="n">
        <v>18</v>
      </c>
      <c r="U17" s="84" t="n">
        <f aca="false">2*T17</f>
        <v>36</v>
      </c>
      <c r="V17" s="84" t="n">
        <v>0</v>
      </c>
      <c r="W17" s="51" t="n">
        <f aca="false">V17*I17/(60*1000)</f>
        <v>0</v>
      </c>
      <c r="X17" s="91" t="n">
        <v>297.1</v>
      </c>
      <c r="Y17" s="51" t="n">
        <f aca="false">X17-W17</f>
        <v>297.1</v>
      </c>
      <c r="Z17" s="92" t="n">
        <f aca="false">Y17/((P17-V17)*T17)*60*1000</f>
        <v>7617.94871794872</v>
      </c>
      <c r="AA17" s="93" t="n">
        <f aca="false">Z17*T17</f>
        <v>137123.076923077</v>
      </c>
      <c r="AB17" s="93" t="n">
        <f aca="false">Z17*U17</f>
        <v>274246.153846154</v>
      </c>
      <c r="AC17" s="52" t="n">
        <f aca="false">N17-AA17-AB17</f>
        <v>114230.769230769</v>
      </c>
      <c r="AD17" s="52" t="n">
        <f aca="false">AC17*O17</f>
        <v>114230.769230769</v>
      </c>
      <c r="AE17" s="52" t="n">
        <f aca="false">AD17/Z17</f>
        <v>14.9949511948839</v>
      </c>
      <c r="AF17" s="94" t="n">
        <f aca="false">1/AE17</f>
        <v>0.0666891133557801</v>
      </c>
      <c r="AG17" s="52" t="n">
        <f aca="false">X17*E17</f>
        <v>69.2243</v>
      </c>
      <c r="AH17" s="27" t="n">
        <v>0.8</v>
      </c>
      <c r="AI17" s="27" t="n">
        <v>1</v>
      </c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11"/>
      <c r="AX17" s="27"/>
      <c r="AY17" s="27"/>
      <c r="AZ17" s="27"/>
      <c r="BA17" s="27"/>
      <c r="BB17" s="27"/>
      <c r="BC17" s="27"/>
      <c r="BD17" s="27"/>
      <c r="BE17" s="11"/>
      <c r="BF17" s="27"/>
    </row>
    <row r="18" customFormat="false" ht="12.8" hidden="false" customHeight="false" outlineLevel="0" collapsed="false">
      <c r="A18" s="95"/>
      <c r="B18" s="83" t="s">
        <v>186</v>
      </c>
      <c r="C18" s="84" t="s">
        <v>187</v>
      </c>
      <c r="D18" s="85" t="s">
        <v>188</v>
      </c>
      <c r="E18" s="86" t="n">
        <v>0.482</v>
      </c>
      <c r="F18" s="85" t="s">
        <v>184</v>
      </c>
      <c r="G18" s="84"/>
      <c r="H18" s="43" t="n">
        <f aca="false">IF(F18="level", 1, VLOOKUP(F18,ActivityStats!$C$4:$D$12,2,FALSE()))</f>
        <v>1</v>
      </c>
      <c r="I18" s="49" t="n">
        <f aca="false">365*24*60</f>
        <v>525600</v>
      </c>
      <c r="J18" s="49" t="n">
        <f aca="false">H18*I18</f>
        <v>525600</v>
      </c>
      <c r="K18" s="46" t="n">
        <f aca="false">J18/I18</f>
        <v>1</v>
      </c>
      <c r="L18" s="87" t="n">
        <f aca="false">IF(F18="level",FALSE(), TRUE())</f>
        <v>0</v>
      </c>
      <c r="M18" s="46" t="n">
        <f aca="false">IF(L18 = FALSE(),1,ActivityStats!$D$12)</f>
        <v>1</v>
      </c>
      <c r="N18" s="88" t="n">
        <f aca="false">M18*I18</f>
        <v>525600</v>
      </c>
      <c r="O18" s="46" t="n">
        <f aca="false">K18/M18</f>
        <v>1</v>
      </c>
      <c r="P18" s="89" t="n">
        <v>220</v>
      </c>
      <c r="Q18" s="90" t="n">
        <v>0</v>
      </c>
      <c r="R18" s="90" t="n">
        <f aca="false">IF(Q18&gt;0, TRUE(), FALSE())</f>
        <v>0</v>
      </c>
      <c r="S18" s="27" t="n">
        <f aca="false">P18*T18/(60*1000)</f>
        <v>0.0806666666666667</v>
      </c>
      <c r="T18" s="84" t="n">
        <v>22</v>
      </c>
      <c r="U18" s="84" t="n">
        <f aca="false">2*T18</f>
        <v>44</v>
      </c>
      <c r="V18" s="84" t="n">
        <v>0</v>
      </c>
      <c r="W18" s="51" t="n">
        <f aca="false">V18*I18/(60*1000)</f>
        <v>0</v>
      </c>
      <c r="X18" s="91" t="n">
        <v>407</v>
      </c>
      <c r="Y18" s="51" t="n">
        <f aca="false">X18-W18</f>
        <v>407</v>
      </c>
      <c r="Z18" s="92" t="n">
        <f aca="false">Y18/((P18-V18)*T18)*60*1000</f>
        <v>5045.45454545455</v>
      </c>
      <c r="AA18" s="93" t="n">
        <f aca="false">Z18*T18</f>
        <v>111000</v>
      </c>
      <c r="AB18" s="93" t="n">
        <f aca="false">Z18*U18</f>
        <v>222000</v>
      </c>
      <c r="AC18" s="52" t="n">
        <f aca="false">N18-AA18-AB18</f>
        <v>192600</v>
      </c>
      <c r="AD18" s="52" t="n">
        <f aca="false">AC18*O18</f>
        <v>192600</v>
      </c>
      <c r="AE18" s="52" t="n">
        <f aca="false">AD18/Z18</f>
        <v>38.172972972973</v>
      </c>
      <c r="AF18" s="94" t="n">
        <f aca="false">1/AE18</f>
        <v>0.0261965448881337</v>
      </c>
      <c r="AG18" s="52" t="n">
        <f aca="false">X18*E18</f>
        <v>196.174</v>
      </c>
      <c r="AH18" s="27" t="n">
        <v>0.8</v>
      </c>
      <c r="AI18" s="33" t="n">
        <v>1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11"/>
      <c r="AX18" s="27"/>
      <c r="AY18" s="27"/>
      <c r="AZ18" s="27"/>
      <c r="BA18" s="27"/>
      <c r="BB18" s="27"/>
      <c r="BC18" s="27"/>
      <c r="BD18" s="27"/>
      <c r="BE18" s="11"/>
      <c r="BF18" s="27"/>
    </row>
    <row r="19" customFormat="false" ht="12.8" hidden="false" customHeight="false" outlineLevel="0" collapsed="false">
      <c r="A19" s="95"/>
      <c r="B19" s="83" t="s">
        <v>186</v>
      </c>
      <c r="C19" s="84" t="s">
        <v>189</v>
      </c>
      <c r="D19" s="85" t="s">
        <v>188</v>
      </c>
      <c r="E19" s="86" t="n">
        <v>0.057</v>
      </c>
      <c r="F19" s="85" t="s">
        <v>184</v>
      </c>
      <c r="G19" s="84"/>
      <c r="H19" s="43" t="n">
        <f aca="false">IF(F19="level", 1, VLOOKUP(F19,ActivityStats!$C$4:$D$12,2,FALSE()))</f>
        <v>1</v>
      </c>
      <c r="I19" s="49" t="n">
        <f aca="false">365*24*60</f>
        <v>525600</v>
      </c>
      <c r="J19" s="49" t="n">
        <f aca="false">H19*I19</f>
        <v>525600</v>
      </c>
      <c r="K19" s="46" t="n">
        <f aca="false">J19/I19</f>
        <v>1</v>
      </c>
      <c r="L19" s="87" t="n">
        <f aca="false">IF(F19="level",FALSE(), TRUE())</f>
        <v>0</v>
      </c>
      <c r="M19" s="46" t="n">
        <f aca="false">IF(L19 = FALSE(),1,ActivityStats!$D$12)</f>
        <v>1</v>
      </c>
      <c r="N19" s="88" t="n">
        <f aca="false">M19*I19</f>
        <v>525600</v>
      </c>
      <c r="O19" s="46" t="n">
        <f aca="false">K19/M19</f>
        <v>1</v>
      </c>
      <c r="P19" s="89" t="n">
        <v>220</v>
      </c>
      <c r="Q19" s="90" t="n">
        <v>0</v>
      </c>
      <c r="R19" s="90" t="n">
        <f aca="false">IF(Q19&gt;0, TRUE(), FALSE())</f>
        <v>0</v>
      </c>
      <c r="S19" s="27" t="n">
        <f aca="false">P19*T19/(60*1000)</f>
        <v>0.0806666666666667</v>
      </c>
      <c r="T19" s="84" t="n">
        <v>22</v>
      </c>
      <c r="U19" s="84" t="n">
        <f aca="false">2*T19</f>
        <v>44</v>
      </c>
      <c r="V19" s="84" t="n">
        <v>0</v>
      </c>
      <c r="W19" s="51" t="n">
        <f aca="false">V19*I19/(60*1000)</f>
        <v>0</v>
      </c>
      <c r="X19" s="91" t="n">
        <v>407</v>
      </c>
      <c r="Y19" s="51" t="n">
        <f aca="false">X19-W19</f>
        <v>407</v>
      </c>
      <c r="Z19" s="92" t="n">
        <f aca="false">Y19/((P19-V19)*T19)*60*1000</f>
        <v>5045.45454545455</v>
      </c>
      <c r="AA19" s="93" t="n">
        <f aca="false">Z19*T19</f>
        <v>111000</v>
      </c>
      <c r="AB19" s="93" t="n">
        <f aca="false">Z19*U19</f>
        <v>222000</v>
      </c>
      <c r="AC19" s="52" t="n">
        <f aca="false">N19-AA19-AB19</f>
        <v>192600</v>
      </c>
      <c r="AD19" s="52" t="n">
        <f aca="false">AC19*O19</f>
        <v>192600</v>
      </c>
      <c r="AE19" s="52" t="n">
        <f aca="false">AD19/Z19</f>
        <v>38.172972972973</v>
      </c>
      <c r="AF19" s="94" t="n">
        <f aca="false">1/AE19</f>
        <v>0.0261965448881337</v>
      </c>
      <c r="AG19" s="52" t="n">
        <f aca="false">X19*E19</f>
        <v>23.199</v>
      </c>
      <c r="AH19" s="27" t="n">
        <v>0.8</v>
      </c>
      <c r="AI19" s="33" t="n">
        <v>1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11"/>
      <c r="AX19" s="27"/>
      <c r="AY19" s="27"/>
      <c r="AZ19" s="27"/>
      <c r="BA19" s="27"/>
      <c r="BB19" s="27"/>
      <c r="BC19" s="27"/>
      <c r="BD19" s="27"/>
      <c r="BE19" s="11"/>
      <c r="BF19" s="27"/>
    </row>
    <row r="20" customFormat="false" ht="12.8" hidden="false" customHeight="false" outlineLevel="0" collapsed="false">
      <c r="A20" s="95" t="s">
        <v>190</v>
      </c>
      <c r="B20" s="83" t="s">
        <v>191</v>
      </c>
      <c r="C20" s="84" t="s">
        <v>192</v>
      </c>
      <c r="D20" s="85" t="s">
        <v>193</v>
      </c>
      <c r="E20" s="86" t="n">
        <v>0.849</v>
      </c>
      <c r="F20" s="85" t="s">
        <v>194</v>
      </c>
      <c r="G20" s="84" t="n">
        <v>612</v>
      </c>
      <c r="H20" s="43" t="n">
        <f aca="false">IF(F20="level", 1, VLOOKUP(F20,ActivityStats!$C$4:$D$12,2,FALSE()))</f>
        <v>0.47775902852124</v>
      </c>
      <c r="I20" s="49" t="n">
        <f aca="false">365*24*60</f>
        <v>525600</v>
      </c>
      <c r="J20" s="49" t="n">
        <f aca="false">H20*I20</f>
        <v>251110.145390764</v>
      </c>
      <c r="K20" s="46" t="n">
        <f aca="false">J20/I20</f>
        <v>0.47775902852124</v>
      </c>
      <c r="L20" s="87" t="n">
        <f aca="false">IF(F20="level",FALSE(), TRUE())</f>
        <v>1</v>
      </c>
      <c r="M20" s="46" t="n">
        <f aca="false">IF(L20 = FALSE(),1,ActivityStats!$D$12)</f>
        <v>0.47775902852124</v>
      </c>
      <c r="N20" s="88" t="n">
        <f aca="false">M20*I20</f>
        <v>251110.145390764</v>
      </c>
      <c r="O20" s="46" t="n">
        <f aca="false">K20/M20</f>
        <v>1</v>
      </c>
      <c r="P20" s="90" t="n">
        <v>2</v>
      </c>
      <c r="Q20" s="90" t="n">
        <v>0</v>
      </c>
      <c r="R20" s="90" t="n">
        <f aca="false">IF(Q20&gt;0, TRUE(), FALSE())</f>
        <v>0</v>
      </c>
      <c r="S20" s="27" t="n">
        <f aca="false">P20*T20/(60*1000)</f>
        <v>0</v>
      </c>
      <c r="T20" s="84" t="n">
        <v>0</v>
      </c>
      <c r="U20" s="84" t="n">
        <v>0</v>
      </c>
      <c r="V20" s="84" t="n">
        <v>1</v>
      </c>
      <c r="W20" s="51" t="n">
        <f aca="false">V20*I20/(60*1000)</f>
        <v>8.76</v>
      </c>
      <c r="X20" s="94" t="n">
        <v>8.76</v>
      </c>
      <c r="Y20" s="51" t="n">
        <f aca="false">X20-W20</f>
        <v>0</v>
      </c>
      <c r="Z20" s="92" t="n">
        <v>0</v>
      </c>
      <c r="AA20" s="93" t="n">
        <f aca="false">Z20*T20</f>
        <v>0</v>
      </c>
      <c r="AB20" s="93" t="n">
        <f aca="false">Z20*U20</f>
        <v>0</v>
      </c>
      <c r="AC20" s="52" t="n">
        <f aca="false">N20-AA20-AB20</f>
        <v>251110.145390764</v>
      </c>
      <c r="AD20" s="52" t="n">
        <f aca="false">AC20*O20</f>
        <v>251110.145390764</v>
      </c>
      <c r="AE20" s="52" t="n">
        <v>0</v>
      </c>
      <c r="AF20" s="94" t="n">
        <v>1</v>
      </c>
      <c r="AG20" s="52" t="n">
        <f aca="false">X20*E20</f>
        <v>7.43724</v>
      </c>
      <c r="AH20" s="27" t="n">
        <v>1</v>
      </c>
      <c r="AI20" s="33" t="n">
        <v>1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11"/>
      <c r="AX20" s="27"/>
      <c r="AY20" s="27"/>
      <c r="AZ20" s="27"/>
      <c r="BA20" s="27"/>
      <c r="BB20" s="27"/>
      <c r="BC20" s="27"/>
      <c r="BD20" s="27"/>
      <c r="BE20" s="11"/>
      <c r="BF20" s="27"/>
    </row>
    <row r="21" customFormat="false" ht="12.8" hidden="false" customHeight="false" outlineLevel="0" collapsed="false">
      <c r="A21" s="95"/>
      <c r="B21" s="29" t="s">
        <v>195</v>
      </c>
      <c r="C21" s="84" t="s">
        <v>196</v>
      </c>
      <c r="D21" s="85" t="s">
        <v>197</v>
      </c>
      <c r="E21" s="96" t="n">
        <v>0.9</v>
      </c>
      <c r="F21" s="85" t="s">
        <v>198</v>
      </c>
      <c r="G21" s="84" t="n">
        <v>432</v>
      </c>
      <c r="H21" s="43" t="n">
        <f aca="false">IF(F21="LEVEL", 1, VLOOKUP(F21,ActivityStats!$C$4:$D$12,2,FALSE()))</f>
        <v>0.00809295793279327</v>
      </c>
      <c r="I21" s="49" t="n">
        <f aca="false">365*24*60</f>
        <v>525600</v>
      </c>
      <c r="J21" s="49" t="n">
        <f aca="false">H21*I21</f>
        <v>4253.65868947614</v>
      </c>
      <c r="K21" s="46" t="n">
        <f aca="false">J21/I21</f>
        <v>0.00809295793279327</v>
      </c>
      <c r="L21" s="87" t="n">
        <f aca="false">IF(F21="level",FALSE(), TRUE())</f>
        <v>1</v>
      </c>
      <c r="M21" s="46" t="n">
        <f aca="false">IF(L21 = FALSE(),1,ActivityStats!$D$12)</f>
        <v>0.47775902852124</v>
      </c>
      <c r="N21" s="88" t="n">
        <f aca="false">M21*I21</f>
        <v>251110.145390764</v>
      </c>
      <c r="O21" s="46" t="n">
        <f aca="false">K21/M21</f>
        <v>0.0169394139088121</v>
      </c>
      <c r="P21" s="90" t="n">
        <v>1000</v>
      </c>
      <c r="Q21" s="90" t="n">
        <v>0</v>
      </c>
      <c r="R21" s="90" t="n">
        <f aca="false">IF(Q21&gt;0, TRUE(), FALSE())</f>
        <v>0</v>
      </c>
      <c r="S21" s="27" t="n">
        <f aca="false">P21*T21/(60*1000)</f>
        <v>0.5</v>
      </c>
      <c r="T21" s="84" t="n">
        <v>30</v>
      </c>
      <c r="U21" s="84" t="n">
        <v>0</v>
      </c>
      <c r="V21" s="84" t="n">
        <v>0</v>
      </c>
      <c r="W21" s="97" t="n">
        <f aca="false">V21*I21/(60*1000)</f>
        <v>0</v>
      </c>
      <c r="X21" s="98" t="n">
        <v>17.7297346053873</v>
      </c>
      <c r="Y21" s="97" t="n">
        <f aca="false">X21-W21</f>
        <v>17.7297346053873</v>
      </c>
      <c r="Z21" s="92" t="n">
        <f aca="false">Y21/((P21-V21)*T21)*60*1000</f>
        <v>35.4594692107746</v>
      </c>
      <c r="AA21" s="93" t="n">
        <f aca="false">Z21*T21</f>
        <v>1063.78407632324</v>
      </c>
      <c r="AB21" s="93" t="n">
        <f aca="false">Z21*U21</f>
        <v>0</v>
      </c>
      <c r="AC21" s="52" t="n">
        <f aca="false">N21-AA21-AB21</f>
        <v>250046.361314441</v>
      </c>
      <c r="AD21" s="52" t="n">
        <f aca="false">AC21*O21</f>
        <v>4235.6388106977</v>
      </c>
      <c r="AE21" s="52" t="n">
        <f aca="false">AD21/Z21</f>
        <v>119.45014702619</v>
      </c>
      <c r="AF21" s="94" t="n">
        <f aca="false">1/AE21</f>
        <v>0.00837169333731118</v>
      </c>
      <c r="AG21" s="52" t="n">
        <f aca="false">X21*E21</f>
        <v>15.9567611448486</v>
      </c>
      <c r="AH21" s="27" t="n">
        <v>1</v>
      </c>
      <c r="AI21" s="33" t="n">
        <v>1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11"/>
      <c r="AX21" s="27"/>
      <c r="AY21" s="27"/>
      <c r="AZ21" s="27"/>
      <c r="BA21" s="27"/>
      <c r="BB21" s="27"/>
      <c r="BC21" s="27"/>
      <c r="BD21" s="27"/>
      <c r="BE21" s="11"/>
      <c r="BF21" s="27"/>
    </row>
    <row r="22" customFormat="false" ht="12.8" hidden="false" customHeight="false" outlineLevel="0" collapsed="false">
      <c r="A22" s="95"/>
      <c r="B22" s="29" t="s">
        <v>199</v>
      </c>
      <c r="C22" s="84" t="s">
        <v>200</v>
      </c>
      <c r="D22" s="85" t="s">
        <v>201</v>
      </c>
      <c r="E22" s="96" t="n">
        <v>0.937</v>
      </c>
      <c r="F22" s="85" t="s">
        <v>202</v>
      </c>
      <c r="G22" s="84" t="n">
        <v>421</v>
      </c>
      <c r="H22" s="43" t="n">
        <f aca="false">IF(F22="LEVEL", 1, VLOOKUP(F22,ActivityStats!$C$4:$D$12,2,FALSE()))</f>
        <v>0.0529504866187396</v>
      </c>
      <c r="I22" s="49" t="n">
        <f aca="false">365*24*60</f>
        <v>525600</v>
      </c>
      <c r="J22" s="49" t="n">
        <f aca="false">H22*I22</f>
        <v>27830.7757668095</v>
      </c>
      <c r="K22" s="46" t="n">
        <f aca="false">J22/I22</f>
        <v>0.0529504866187396</v>
      </c>
      <c r="L22" s="87" t="n">
        <f aca="false">IF(F22="level",FALSE(), TRUE())</f>
        <v>1</v>
      </c>
      <c r="M22" s="46" t="n">
        <f aca="false">IF(L22 = FALSE(),1,ActivityStats!$D$12)</f>
        <v>0.47775902852124</v>
      </c>
      <c r="N22" s="88" t="n">
        <f aca="false">M22*I22</f>
        <v>251110.145390764</v>
      </c>
      <c r="O22" s="46" t="n">
        <f aca="false">K22/M22</f>
        <v>0.110830949197615</v>
      </c>
      <c r="P22" s="90" t="n">
        <v>2000</v>
      </c>
      <c r="Q22" s="90" t="n">
        <v>0</v>
      </c>
      <c r="R22" s="90" t="n">
        <f aca="false">IF(Q22&gt;0, TRUE(), FALSE())</f>
        <v>0</v>
      </c>
      <c r="S22" s="27" t="n">
        <f aca="false">P22*T22/(60*1000)</f>
        <v>0.666666666666667</v>
      </c>
      <c r="T22" s="84" t="n">
        <v>20</v>
      </c>
      <c r="U22" s="84" t="n">
        <v>0</v>
      </c>
      <c r="V22" s="84" t="n">
        <v>0</v>
      </c>
      <c r="W22" s="97" t="n">
        <f aca="false">V22*I22/(60*1000)</f>
        <v>0</v>
      </c>
      <c r="X22" s="98" t="n">
        <v>73.5783986123575</v>
      </c>
      <c r="Y22" s="97" t="n">
        <f aca="false">X22-W22</f>
        <v>73.5783986123575</v>
      </c>
      <c r="Z22" s="92" t="n">
        <f aca="false">Y22/((P22-V22)*T22)*60*1000</f>
        <v>110.367597918536</v>
      </c>
      <c r="AA22" s="93" t="n">
        <f aca="false">Z22*T22</f>
        <v>2207.35195837072</v>
      </c>
      <c r="AB22" s="93" t="n">
        <f aca="false">Z22*U22</f>
        <v>0</v>
      </c>
      <c r="AC22" s="52" t="n">
        <f aca="false">N22-AA22-AB22</f>
        <v>248902.793432393</v>
      </c>
      <c r="AD22" s="52" t="n">
        <f aca="false">AC22*O22</f>
        <v>27586.1328540501</v>
      </c>
      <c r="AE22" s="52" t="n">
        <f aca="false">AD22/Z22</f>
        <v>249.947750737601</v>
      </c>
      <c r="AF22" s="94" t="n">
        <f aca="false">1/AE22</f>
        <v>0.00400083616295397</v>
      </c>
      <c r="AG22" s="52" t="n">
        <f aca="false">X22*E22</f>
        <v>68.942959499779</v>
      </c>
      <c r="AH22" s="27" t="n">
        <v>1</v>
      </c>
      <c r="AI22" s="33" t="n">
        <v>0.7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11"/>
      <c r="AX22" s="27"/>
      <c r="AY22" s="27"/>
      <c r="AZ22" s="27"/>
      <c r="BA22" s="27"/>
      <c r="BB22" s="27"/>
      <c r="BC22" s="27"/>
      <c r="BD22" s="27"/>
      <c r="BE22" s="11"/>
      <c r="BF22" s="27"/>
    </row>
    <row r="23" customFormat="false" ht="12.8" hidden="false" customHeight="false" outlineLevel="0" collapsed="false">
      <c r="A23" s="95"/>
      <c r="B23" s="83" t="s">
        <v>203</v>
      </c>
      <c r="C23" s="84" t="s">
        <v>204</v>
      </c>
      <c r="D23" s="85" t="s">
        <v>205</v>
      </c>
      <c r="E23" s="86" t="n">
        <v>0.442</v>
      </c>
      <c r="F23" s="85" t="s">
        <v>206</v>
      </c>
      <c r="G23" s="84" t="n">
        <v>84</v>
      </c>
      <c r="H23" s="43" t="n">
        <f aca="false">IF(F23="LEVEL", 1, VLOOKUP(F23,ActivityStats!$C$4:$D$12,2,FALSE()))</f>
        <v>0.0456507194552938</v>
      </c>
      <c r="I23" s="49" t="n">
        <f aca="false">365*24*60</f>
        <v>525600</v>
      </c>
      <c r="J23" s="49" t="n">
        <f aca="false">H23*I23</f>
        <v>23994.0181457024</v>
      </c>
      <c r="K23" s="46" t="n">
        <f aca="false">J23/I23</f>
        <v>0.0456507194552938</v>
      </c>
      <c r="L23" s="87" t="n">
        <f aca="false">IF(F23="level",FALSE(), TRUE())</f>
        <v>1</v>
      </c>
      <c r="M23" s="46" t="n">
        <f aca="false">IF(L23 = FALSE(),1,ActivityStats!$D$12)</f>
        <v>0.47775902852124</v>
      </c>
      <c r="N23" s="88" t="n">
        <f aca="false">M23*I23</f>
        <v>251110.145390764</v>
      </c>
      <c r="O23" s="46" t="n">
        <f aca="false">K23/M23</f>
        <v>0.0955517671672097</v>
      </c>
      <c r="P23" s="90" t="n">
        <v>140.7</v>
      </c>
      <c r="Q23" s="90" t="n">
        <v>0</v>
      </c>
      <c r="R23" s="90" t="n">
        <f aca="false">IF(Q23&gt;0, TRUE(), FALSE())</f>
        <v>0</v>
      </c>
      <c r="S23" s="27" t="n">
        <f aca="false">P23*T23/(60*1000)</f>
        <v>0.4221</v>
      </c>
      <c r="T23" s="99" t="n">
        <v>180</v>
      </c>
      <c r="U23" s="84" t="n">
        <v>0</v>
      </c>
      <c r="V23" s="84" t="n">
        <v>5</v>
      </c>
      <c r="W23" s="51" t="n">
        <f aca="false">V23*I23/(60*1000)</f>
        <v>43.8</v>
      </c>
      <c r="X23" s="98" t="n">
        <v>348</v>
      </c>
      <c r="Y23" s="51" t="n">
        <f aca="false">X23-W23</f>
        <v>304.2</v>
      </c>
      <c r="Z23" s="92" t="n">
        <f aca="false">Y23/((P23-V23)*T23)*60*1000</f>
        <v>747.236551215918</v>
      </c>
      <c r="AA23" s="93" t="n">
        <f aca="false">Z23*T23</f>
        <v>134502.579218865</v>
      </c>
      <c r="AB23" s="93" t="n">
        <f aca="false">Z23*U23</f>
        <v>0</v>
      </c>
      <c r="AC23" s="52" t="n">
        <f aca="false">N23-AA23-AB23</f>
        <v>116607.566171899</v>
      </c>
      <c r="AD23" s="52" t="n">
        <f aca="false">AC23*O23</f>
        <v>11142.0590127922</v>
      </c>
      <c r="AE23" s="52" t="n">
        <f aca="false">AD23/Z23</f>
        <v>14.9110198031155</v>
      </c>
      <c r="AF23" s="94" t="n">
        <f aca="false">1/AE23</f>
        <v>0.0670644941260868</v>
      </c>
      <c r="AG23" s="52" t="n">
        <f aca="false">X23*E23</f>
        <v>153.816</v>
      </c>
      <c r="AH23" s="27" t="n">
        <v>0.9</v>
      </c>
      <c r="AI23" s="33" t="n">
        <v>1</v>
      </c>
      <c r="AJ23" s="27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11"/>
      <c r="AX23" s="27"/>
      <c r="AY23" s="51"/>
      <c r="AZ23" s="51"/>
      <c r="BA23" s="51"/>
      <c r="BB23" s="51"/>
      <c r="BC23" s="51"/>
      <c r="BD23" s="51"/>
      <c r="BE23" s="11"/>
      <c r="BF23" s="27"/>
    </row>
    <row r="24" customFormat="false" ht="12.8" hidden="false" customHeight="false" outlineLevel="0" collapsed="false">
      <c r="A24" s="95"/>
      <c r="B24" s="83" t="s">
        <v>203</v>
      </c>
      <c r="C24" s="84" t="s">
        <v>207</v>
      </c>
      <c r="D24" s="85" t="s">
        <v>205</v>
      </c>
      <c r="E24" s="86" t="n">
        <v>0.102</v>
      </c>
      <c r="F24" s="85" t="s">
        <v>206</v>
      </c>
      <c r="G24" s="84" t="n">
        <v>84</v>
      </c>
      <c r="H24" s="43" t="n">
        <f aca="false">IF(F24="LEVEL", 1, VLOOKUP(F24,ActivityStats!$C$4:$D$12,2,FALSE()))</f>
        <v>0.0456507194552938</v>
      </c>
      <c r="I24" s="49" t="n">
        <f aca="false">365*24*60</f>
        <v>525600</v>
      </c>
      <c r="J24" s="49" t="n">
        <f aca="false">H24*I24</f>
        <v>23994.0181457024</v>
      </c>
      <c r="K24" s="46" t="n">
        <f aca="false">J24/I24</f>
        <v>0.0456507194552938</v>
      </c>
      <c r="L24" s="87" t="n">
        <f aca="false">IF(F24="level",FALSE(), TRUE())</f>
        <v>1</v>
      </c>
      <c r="M24" s="46" t="n">
        <f aca="false">IF(L24 = FALSE(),1,ActivityStats!$D$12)</f>
        <v>0.47775902852124</v>
      </c>
      <c r="N24" s="88" t="n">
        <f aca="false">M24*I24</f>
        <v>251110.145390764</v>
      </c>
      <c r="O24" s="46" t="n">
        <f aca="false">K24/M24</f>
        <v>0.0955517671672097</v>
      </c>
      <c r="P24" s="90" t="n">
        <v>140.7</v>
      </c>
      <c r="Q24" s="90" t="n">
        <v>0</v>
      </c>
      <c r="R24" s="90" t="n">
        <f aca="false">IF(Q24&gt;0, TRUE(), FALSE())</f>
        <v>0</v>
      </c>
      <c r="S24" s="27" t="n">
        <f aca="false">P24*T24/(60*1000)</f>
        <v>0.4221</v>
      </c>
      <c r="T24" s="99" t="n">
        <v>180</v>
      </c>
      <c r="U24" s="84" t="n">
        <v>0</v>
      </c>
      <c r="V24" s="84" t="n">
        <v>5</v>
      </c>
      <c r="W24" s="51" t="n">
        <f aca="false">V24*I24/(60*1000)</f>
        <v>43.8</v>
      </c>
      <c r="X24" s="98" t="n">
        <v>348</v>
      </c>
      <c r="Y24" s="51" t="n">
        <f aca="false">X24-W24</f>
        <v>304.2</v>
      </c>
      <c r="Z24" s="92" t="n">
        <f aca="false">Y24/((P24-V24)*T24)*60*1000</f>
        <v>747.236551215918</v>
      </c>
      <c r="AA24" s="93" t="n">
        <f aca="false">Z24*T24</f>
        <v>134502.579218865</v>
      </c>
      <c r="AB24" s="93" t="n">
        <f aca="false">Z24*U24</f>
        <v>0</v>
      </c>
      <c r="AC24" s="52" t="n">
        <f aca="false">N24-AA24-AB24</f>
        <v>116607.566171899</v>
      </c>
      <c r="AD24" s="52" t="n">
        <f aca="false">AC24*O24</f>
        <v>11142.0590127922</v>
      </c>
      <c r="AE24" s="52" t="n">
        <f aca="false">AD24/Z24</f>
        <v>14.9110198031155</v>
      </c>
      <c r="AF24" s="94" t="n">
        <f aca="false">1/AE24</f>
        <v>0.0670644941260868</v>
      </c>
      <c r="AG24" s="52" t="n">
        <f aca="false">X24*E24</f>
        <v>35.496</v>
      </c>
      <c r="AH24" s="27" t="n">
        <v>0.9</v>
      </c>
      <c r="AI24" s="33" t="n">
        <v>1</v>
      </c>
      <c r="AJ24" s="27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11"/>
      <c r="AX24" s="27"/>
      <c r="AY24" s="51"/>
      <c r="AZ24" s="51"/>
      <c r="BA24" s="51"/>
      <c r="BB24" s="51"/>
      <c r="BC24" s="51"/>
      <c r="BD24" s="51"/>
      <c r="BE24" s="11"/>
      <c r="BF24" s="27"/>
    </row>
    <row r="25" customFormat="false" ht="12.8" hidden="false" customHeight="false" outlineLevel="0" collapsed="false">
      <c r="A25" s="95"/>
      <c r="B25" s="83" t="s">
        <v>208</v>
      </c>
      <c r="C25" s="84" t="s">
        <v>209</v>
      </c>
      <c r="D25" s="85" t="s">
        <v>210</v>
      </c>
      <c r="E25" s="86" t="n">
        <v>0.739</v>
      </c>
      <c r="F25" s="85" t="s">
        <v>206</v>
      </c>
      <c r="G25" s="84" t="n">
        <v>84</v>
      </c>
      <c r="H25" s="43" t="n">
        <f aca="false">IF(F25="LEVEL", 1, VLOOKUP(F25,ActivityStats!$C$4:$D$12,2,FALSE()))</f>
        <v>0.0456507194552938</v>
      </c>
      <c r="I25" s="49" t="n">
        <f aca="false">365*24*60</f>
        <v>525600</v>
      </c>
      <c r="J25" s="49" t="n">
        <f aca="false">H25*I25</f>
        <v>23994.0181457024</v>
      </c>
      <c r="K25" s="46" t="n">
        <f aca="false">J25/I25</f>
        <v>0.0456507194552938</v>
      </c>
      <c r="L25" s="87" t="n">
        <f aca="false">IF(F25="level",FALSE(), TRUE())</f>
        <v>1</v>
      </c>
      <c r="M25" s="46" t="n">
        <f aca="false">IF(L25 = FALSE(),1,ActivityStats!$D$12)</f>
        <v>0.47775902852124</v>
      </c>
      <c r="N25" s="88" t="n">
        <f aca="false">M25*I25</f>
        <v>251110.145390764</v>
      </c>
      <c r="O25" s="46" t="n">
        <f aca="false">K25/M25</f>
        <v>0.0955517671672097</v>
      </c>
      <c r="P25" s="100" t="n">
        <v>60</v>
      </c>
      <c r="Q25" s="90" t="n">
        <v>0</v>
      </c>
      <c r="R25" s="90" t="n">
        <f aca="false">IF(Q25&gt;0, TRUE(), FALSE())</f>
        <v>0</v>
      </c>
      <c r="S25" s="27" t="n">
        <f aca="false">P25*T25/(60*1000)</f>
        <v>0.13</v>
      </c>
      <c r="T25" s="101" t="n">
        <v>130</v>
      </c>
      <c r="U25" s="101" t="n">
        <v>360</v>
      </c>
      <c r="V25" s="102" t="n">
        <v>1</v>
      </c>
      <c r="W25" s="51" t="n">
        <f aca="false">V25*I25/(60*1000)</f>
        <v>8.76</v>
      </c>
      <c r="X25" s="91" t="n">
        <v>69.2</v>
      </c>
      <c r="Y25" s="51" t="n">
        <f aca="false">X25-W25</f>
        <v>60.44</v>
      </c>
      <c r="Z25" s="92" t="n">
        <f aca="false">Y25/((P25-V25)*T25)*60*1000</f>
        <v>472.803129074316</v>
      </c>
      <c r="AA25" s="93" t="n">
        <f aca="false">Z25*T25</f>
        <v>61464.406779661</v>
      </c>
      <c r="AB25" s="93" t="n">
        <f aca="false">Z25*U25</f>
        <v>170209.126466754</v>
      </c>
      <c r="AC25" s="52" t="n">
        <f aca="false">N25-AA25-AB25</f>
        <v>19436.6121443491</v>
      </c>
      <c r="AD25" s="52" t="n">
        <f aca="false">AC25*O25</f>
        <v>1857.20263813621</v>
      </c>
      <c r="AE25" s="52" t="n">
        <f aca="false">AD25/Z25</f>
        <v>3.92806756962958</v>
      </c>
      <c r="AF25" s="94" t="n">
        <f aca="false">1/AE25</f>
        <v>0.254578105461231</v>
      </c>
      <c r="AG25" s="52" t="n">
        <f aca="false">X25*E25</f>
        <v>51.1388</v>
      </c>
      <c r="AH25" s="27" t="n">
        <v>0.9</v>
      </c>
      <c r="AI25" s="33" t="n">
        <v>1</v>
      </c>
      <c r="AJ25" s="27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11"/>
      <c r="AX25" s="27"/>
      <c r="AY25" s="51"/>
      <c r="AZ25" s="51"/>
      <c r="BA25" s="51"/>
      <c r="BB25" s="51"/>
      <c r="BC25" s="51"/>
      <c r="BD25" s="51"/>
      <c r="BE25" s="11"/>
      <c r="BF25" s="27"/>
    </row>
    <row r="26" customFormat="false" ht="12.8" hidden="false" customHeight="false" outlineLevel="0" collapsed="false">
      <c r="A26" s="95"/>
      <c r="B26" s="83" t="s">
        <v>208</v>
      </c>
      <c r="C26" s="84" t="s">
        <v>211</v>
      </c>
      <c r="D26" s="85" t="s">
        <v>210</v>
      </c>
      <c r="E26" s="86" t="n">
        <v>0.332</v>
      </c>
      <c r="F26" s="85" t="s">
        <v>206</v>
      </c>
      <c r="G26" s="84" t="n">
        <v>84</v>
      </c>
      <c r="H26" s="43" t="n">
        <f aca="false">IF(F26="LEVEL", 1, VLOOKUP(F26,ActivityStats!$C$4:$D$12,2,FALSE()))</f>
        <v>0.0456507194552938</v>
      </c>
      <c r="I26" s="49" t="n">
        <f aca="false">365*24*60</f>
        <v>525600</v>
      </c>
      <c r="J26" s="49" t="n">
        <f aca="false">H26*I26</f>
        <v>23994.0181457024</v>
      </c>
      <c r="K26" s="46" t="n">
        <f aca="false">J26/I26</f>
        <v>0.0456507194552938</v>
      </c>
      <c r="L26" s="87" t="n">
        <f aca="false">IF(F26="level",FALSE(), TRUE())</f>
        <v>1</v>
      </c>
      <c r="M26" s="46" t="n">
        <f aca="false">IF(L26 = FALSE(),1,ActivityStats!$D$12)</f>
        <v>0.47775902852124</v>
      </c>
      <c r="N26" s="88" t="n">
        <f aca="false">M26*I26</f>
        <v>251110.145390764</v>
      </c>
      <c r="O26" s="46" t="n">
        <f aca="false">K26/M26</f>
        <v>0.0955517671672097</v>
      </c>
      <c r="P26" s="100" t="n">
        <v>60</v>
      </c>
      <c r="Q26" s="90" t="n">
        <v>0</v>
      </c>
      <c r="R26" s="90" t="n">
        <f aca="false">IF(Q26&gt;0, TRUE(), FALSE())</f>
        <v>0</v>
      </c>
      <c r="S26" s="27" t="n">
        <f aca="false">P26*T26/(60*1000)</f>
        <v>0.13</v>
      </c>
      <c r="T26" s="101" t="n">
        <v>130</v>
      </c>
      <c r="U26" s="101" t="n">
        <v>360</v>
      </c>
      <c r="V26" s="102" t="n">
        <v>1</v>
      </c>
      <c r="W26" s="51" t="n">
        <f aca="false">V26*I26/(60*1000)</f>
        <v>8.76</v>
      </c>
      <c r="X26" s="91" t="n">
        <v>69.2</v>
      </c>
      <c r="Y26" s="51" t="n">
        <f aca="false">X26-W26</f>
        <v>60.44</v>
      </c>
      <c r="Z26" s="92" t="n">
        <f aca="false">Y26/((P26-V26)*T26)*60*1000</f>
        <v>472.803129074316</v>
      </c>
      <c r="AA26" s="93" t="n">
        <f aca="false">Z26*T26</f>
        <v>61464.406779661</v>
      </c>
      <c r="AB26" s="93" t="n">
        <f aca="false">Z26*U26</f>
        <v>170209.126466754</v>
      </c>
      <c r="AC26" s="52" t="n">
        <f aca="false">N26-AA26-AB26</f>
        <v>19436.6121443491</v>
      </c>
      <c r="AD26" s="52" t="n">
        <f aca="false">AC26*O26</f>
        <v>1857.20263813621</v>
      </c>
      <c r="AE26" s="52" t="n">
        <f aca="false">AD26/Z26</f>
        <v>3.92806756962958</v>
      </c>
      <c r="AF26" s="94" t="n">
        <f aca="false">1/AE26</f>
        <v>0.254578105461231</v>
      </c>
      <c r="AG26" s="52" t="n">
        <f aca="false">X26*E26</f>
        <v>22.9744</v>
      </c>
      <c r="AH26" s="27" t="n">
        <v>0.9</v>
      </c>
      <c r="AI26" s="33" t="n">
        <v>1</v>
      </c>
      <c r="AJ26" s="27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11"/>
      <c r="AX26" s="27"/>
      <c r="AY26" s="51"/>
      <c r="AZ26" s="51"/>
      <c r="BA26" s="51"/>
      <c r="BB26" s="51"/>
      <c r="BC26" s="51"/>
      <c r="BD26" s="51"/>
      <c r="BE26" s="11"/>
      <c r="BF26" s="27"/>
    </row>
    <row r="27" customFormat="false" ht="12.8" hidden="false" customHeight="false" outlineLevel="0" collapsed="false">
      <c r="A27" s="95"/>
      <c r="B27" s="83" t="s">
        <v>212</v>
      </c>
      <c r="C27" s="84" t="s">
        <v>213</v>
      </c>
      <c r="D27" s="85" t="s">
        <v>214</v>
      </c>
      <c r="E27" s="86" t="n">
        <v>0.475</v>
      </c>
      <c r="F27" s="85" t="s">
        <v>206</v>
      </c>
      <c r="G27" s="84" t="n">
        <v>84</v>
      </c>
      <c r="H27" s="43" t="n">
        <f aca="false">IF(F27="LEVEL", 1, VLOOKUP(F27,ActivityStats!$C$4:$D$12,2,FALSE()))</f>
        <v>0.0456507194552938</v>
      </c>
      <c r="I27" s="49" t="n">
        <f aca="false">365*24*60</f>
        <v>525600</v>
      </c>
      <c r="J27" s="49" t="n">
        <f aca="false">H27*I27</f>
        <v>23994.0181457024</v>
      </c>
      <c r="K27" s="46" t="n">
        <f aca="false">J27/I27</f>
        <v>0.0456507194552938</v>
      </c>
      <c r="L27" s="87" t="n">
        <f aca="false">IF(F27="level",FALSE(), TRUE())</f>
        <v>1</v>
      </c>
      <c r="M27" s="46" t="n">
        <f aca="false">IF(L27 = FALSE(),1,ActivityStats!$D$12)</f>
        <v>0.47775902852124</v>
      </c>
      <c r="N27" s="88" t="n">
        <f aca="false">M27*I27</f>
        <v>251110.145390764</v>
      </c>
      <c r="O27" s="46" t="n">
        <f aca="false">K27/M27</f>
        <v>0.0955517671672097</v>
      </c>
      <c r="P27" s="100" t="n">
        <v>12</v>
      </c>
      <c r="Q27" s="90" t="n">
        <v>0</v>
      </c>
      <c r="R27" s="90" t="n">
        <f aca="false">IF(Q27&gt;0, TRUE(), FALSE())</f>
        <v>0</v>
      </c>
      <c r="S27" s="27" t="n">
        <f aca="false">P27*T27/(60*1000)</f>
        <v>0.024</v>
      </c>
      <c r="T27" s="101" t="n">
        <v>120</v>
      </c>
      <c r="U27" s="101" t="n">
        <v>360</v>
      </c>
      <c r="V27" s="102" t="n">
        <v>1</v>
      </c>
      <c r="W27" s="51" t="n">
        <f aca="false">V27*I27/(60*1000)</f>
        <v>8.76</v>
      </c>
      <c r="X27" s="103" t="n">
        <v>12</v>
      </c>
      <c r="Y27" s="51" t="n">
        <f aca="false">X27-W27</f>
        <v>3.24</v>
      </c>
      <c r="Z27" s="92" t="n">
        <f aca="false">Y27/((P27-V27)*T27)*60*1000</f>
        <v>147.272727272727</v>
      </c>
      <c r="AA27" s="93" t="n">
        <f aca="false">Z27*T27</f>
        <v>17672.7272727273</v>
      </c>
      <c r="AB27" s="93" t="n">
        <f aca="false">Z27*U27</f>
        <v>53018.1818181818</v>
      </c>
      <c r="AC27" s="52" t="n">
        <f aca="false">N27-AA27-AB27</f>
        <v>180419.236299855</v>
      </c>
      <c r="AD27" s="52" t="n">
        <f aca="false">AC27*O27</f>
        <v>17239.3768594095</v>
      </c>
      <c r="AE27" s="52" t="n">
        <f aca="false">AD27/Z27</f>
        <v>117.057497193521</v>
      </c>
      <c r="AF27" s="94" t="n">
        <f aca="false">1/AE27</f>
        <v>0.008542810362217</v>
      </c>
      <c r="AG27" s="52" t="n">
        <f aca="false">X27*E27</f>
        <v>5.7</v>
      </c>
      <c r="AH27" s="27" t="n">
        <v>0.9</v>
      </c>
      <c r="AI27" s="33" t="n">
        <v>1</v>
      </c>
      <c r="AJ27" s="27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11"/>
      <c r="AX27" s="27"/>
      <c r="AY27" s="51"/>
      <c r="AZ27" s="51"/>
      <c r="BA27" s="51"/>
      <c r="BB27" s="51"/>
      <c r="BC27" s="51"/>
      <c r="BD27" s="51"/>
      <c r="BE27" s="11"/>
      <c r="BF27" s="27"/>
    </row>
    <row r="28" customFormat="false" ht="12.8" hidden="false" customHeight="false" outlineLevel="0" collapsed="false">
      <c r="A28" s="95"/>
      <c r="B28" s="83" t="s">
        <v>215</v>
      </c>
      <c r="C28" s="84" t="s">
        <v>216</v>
      </c>
      <c r="D28" s="85" t="s">
        <v>217</v>
      </c>
      <c r="E28" s="86" t="n">
        <v>0.752</v>
      </c>
      <c r="F28" s="85" t="s">
        <v>206</v>
      </c>
      <c r="G28" s="84" t="n">
        <v>849</v>
      </c>
      <c r="H28" s="43" t="n">
        <f aca="false">IF(F28="LEVEL", 1, VLOOKUP(F28,ActivityStats!$C$4:$D$12,2,FALSE()))</f>
        <v>0.0456507194552938</v>
      </c>
      <c r="I28" s="49" t="n">
        <f aca="false">365*24*60</f>
        <v>525600</v>
      </c>
      <c r="J28" s="49" t="n">
        <f aca="false">H28*I28</f>
        <v>23994.0181457024</v>
      </c>
      <c r="K28" s="46" t="n">
        <f aca="false">J28/I28</f>
        <v>0.0456507194552938</v>
      </c>
      <c r="L28" s="87" t="n">
        <f aca="false">IF(F28="level",FALSE(), TRUE())</f>
        <v>1</v>
      </c>
      <c r="M28" s="46" t="n">
        <f aca="false">IF(L28 = FALSE(),1,ActivityStats!$D$12)</f>
        <v>0.47775902852124</v>
      </c>
      <c r="N28" s="88" t="n">
        <f aca="false">M28*I28</f>
        <v>251110.145390764</v>
      </c>
      <c r="O28" s="46" t="n">
        <f aca="false">K28/M28</f>
        <v>0.0955517671672097</v>
      </c>
      <c r="P28" s="90" t="n">
        <v>335.2</v>
      </c>
      <c r="Q28" s="90" t="n">
        <v>0</v>
      </c>
      <c r="R28" s="90" t="n">
        <f aca="false">IF(Q28&gt;0, TRUE(), FALSE())</f>
        <v>0</v>
      </c>
      <c r="S28" s="27" t="n">
        <f aca="false">P28*T28/(60*1000)</f>
        <v>0.0223466666666667</v>
      </c>
      <c r="T28" s="84" t="n">
        <v>4</v>
      </c>
      <c r="U28" s="84" t="n">
        <v>0</v>
      </c>
      <c r="V28" s="84" t="n">
        <v>4</v>
      </c>
      <c r="W28" s="51" t="n">
        <f aca="false">V28*I28/(60*1000)</f>
        <v>35.04</v>
      </c>
      <c r="X28" s="94" t="n">
        <v>49.499661152891</v>
      </c>
      <c r="Y28" s="51" t="n">
        <f aca="false">X28-W28</f>
        <v>14.459661152891</v>
      </c>
      <c r="Z28" s="92" t="n">
        <f aca="false">Y28/((P28-V28)*T28)*60*1000</f>
        <v>654.875958011368</v>
      </c>
      <c r="AA28" s="93" t="n">
        <f aca="false">Z28*T28</f>
        <v>2619.50383204547</v>
      </c>
      <c r="AB28" s="93" t="n">
        <f aca="false">Z28*U28</f>
        <v>0</v>
      </c>
      <c r="AC28" s="52" t="n">
        <f aca="false">N28-AA28-AB28</f>
        <v>248490.641558718</v>
      </c>
      <c r="AD28" s="52" t="n">
        <f aca="false">AC28*O28</f>
        <v>23743.7199254492</v>
      </c>
      <c r="AE28" s="52" t="n">
        <f aca="false">AD28/Z28</f>
        <v>36.2568202954811</v>
      </c>
      <c r="AF28" s="94" t="n">
        <f aca="false">1/AE28</f>
        <v>0.0275810176361394</v>
      </c>
      <c r="AG28" s="52" t="n">
        <f aca="false">X28*E28</f>
        <v>37.223745186974</v>
      </c>
      <c r="AH28" s="27" t="n">
        <v>0.9</v>
      </c>
      <c r="AI28" s="33" t="n">
        <v>1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11"/>
      <c r="AX28" s="27"/>
      <c r="AY28" s="27"/>
      <c r="AZ28" s="27"/>
      <c r="BA28" s="27"/>
      <c r="BB28" s="27"/>
      <c r="BC28" s="27"/>
      <c r="BD28" s="27"/>
      <c r="BE28" s="11"/>
      <c r="BF28" s="27"/>
    </row>
    <row r="29" customFormat="false" ht="12.8" hidden="false" customHeight="false" outlineLevel="0" collapsed="false">
      <c r="A29" s="95"/>
      <c r="B29" s="83" t="s">
        <v>218</v>
      </c>
      <c r="C29" s="84" t="s">
        <v>219</v>
      </c>
      <c r="D29" s="85" t="s">
        <v>220</v>
      </c>
      <c r="E29" s="86" t="n">
        <v>0.943</v>
      </c>
      <c r="F29" s="85" t="s">
        <v>221</v>
      </c>
      <c r="G29" s="84" t="n">
        <v>820</v>
      </c>
      <c r="H29" s="43" t="n">
        <f aca="false">IF(F29="LEVEL", 1, VLOOKUP(F29,ActivityStats!$C$4:$D$12,2,FALSE()))</f>
        <v>0.228549421174936</v>
      </c>
      <c r="I29" s="49" t="n">
        <f aca="false">365*24*60</f>
        <v>525600</v>
      </c>
      <c r="J29" s="49" t="n">
        <f aca="false">H29*I29</f>
        <v>120125.575769546</v>
      </c>
      <c r="K29" s="46" t="n">
        <f aca="false">J29/I29</f>
        <v>0.228549421174936</v>
      </c>
      <c r="L29" s="87" t="n">
        <f aca="false">IF(F29="level",FALSE(), TRUE())</f>
        <v>1</v>
      </c>
      <c r="M29" s="46" t="n">
        <f aca="false">IF(L29 = FALSE(),1,ActivityStats!$D$12)</f>
        <v>0.47775902852124</v>
      </c>
      <c r="N29" s="88" t="n">
        <f aca="false">M29*I29</f>
        <v>251110.145390764</v>
      </c>
      <c r="O29" s="46" t="n">
        <f aca="false">K29/M29</f>
        <v>0.478378026433833</v>
      </c>
      <c r="P29" s="90" t="n">
        <v>124</v>
      </c>
      <c r="Q29" s="90" t="n">
        <v>0</v>
      </c>
      <c r="R29" s="90" t="n">
        <f aca="false">IF(Q29&gt;0, TRUE(), FALSE())</f>
        <v>0</v>
      </c>
      <c r="S29" s="27" t="n">
        <f aca="false">P29*T29/(60*1000)</f>
        <v>0.150866666666667</v>
      </c>
      <c r="T29" s="84" t="n">
        <v>73</v>
      </c>
      <c r="U29" s="84" t="n">
        <v>0</v>
      </c>
      <c r="V29" s="84" t="n">
        <v>3</v>
      </c>
      <c r="W29" s="51" t="n">
        <f aca="false">V29*I29/(60*1000)</f>
        <v>26.28</v>
      </c>
      <c r="X29" s="91" t="n">
        <v>129.61</v>
      </c>
      <c r="Y29" s="51" t="n">
        <f aca="false">X29-W29</f>
        <v>103.33</v>
      </c>
      <c r="Z29" s="92" t="n">
        <f aca="false">Y29/((P29-V29)*T29)*60*1000</f>
        <v>701.890637382543</v>
      </c>
      <c r="AA29" s="93" t="n">
        <f aca="false">Z29*T29</f>
        <v>51238.0165289256</v>
      </c>
      <c r="AB29" s="93" t="n">
        <f aca="false">Z29*U29</f>
        <v>0</v>
      </c>
      <c r="AC29" s="52" t="n">
        <f aca="false">N29-AA29-AB29</f>
        <v>199872.128861838</v>
      </c>
      <c r="AD29" s="52" t="n">
        <f aca="false">AC29*O29</f>
        <v>95614.4345440548</v>
      </c>
      <c r="AE29" s="52" t="n">
        <f aca="false">AD29/Z29</f>
        <v>136.224120185754</v>
      </c>
      <c r="AF29" s="94" t="n">
        <f aca="false">1/AE29</f>
        <v>0.00734084388753189</v>
      </c>
      <c r="AG29" s="52" t="n">
        <f aca="false">X29*E29</f>
        <v>122.22223</v>
      </c>
      <c r="AH29" s="27" t="n">
        <v>1</v>
      </c>
      <c r="AI29" s="33" t="n">
        <v>1</v>
      </c>
      <c r="AJ29" s="27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11"/>
      <c r="AX29" s="27"/>
      <c r="AY29" s="51"/>
      <c r="AZ29" s="51"/>
      <c r="BA29" s="51"/>
      <c r="BB29" s="51"/>
      <c r="BC29" s="51"/>
      <c r="BD29" s="51"/>
      <c r="BE29" s="11"/>
      <c r="BF29" s="27"/>
    </row>
    <row r="30" customFormat="false" ht="12.8" hidden="false" customHeight="false" outlineLevel="0" collapsed="false">
      <c r="A30" s="95"/>
      <c r="B30" s="83" t="s">
        <v>218</v>
      </c>
      <c r="C30" s="84" t="s">
        <v>222</v>
      </c>
      <c r="D30" s="85" t="s">
        <v>220</v>
      </c>
      <c r="E30" s="86" t="n">
        <v>0.618</v>
      </c>
      <c r="F30" s="85" t="s">
        <v>221</v>
      </c>
      <c r="G30" s="84" t="n">
        <v>820</v>
      </c>
      <c r="H30" s="43" t="n">
        <f aca="false">IF(F30="LEVEL", 1, VLOOKUP(F30,ActivityStats!$C$4:$D$12,2,FALSE()))</f>
        <v>0.228549421174936</v>
      </c>
      <c r="I30" s="49" t="n">
        <f aca="false">365*24*60</f>
        <v>525600</v>
      </c>
      <c r="J30" s="49" t="n">
        <f aca="false">H30*I30</f>
        <v>120125.575769546</v>
      </c>
      <c r="K30" s="46" t="n">
        <f aca="false">J30/I30</f>
        <v>0.228549421174936</v>
      </c>
      <c r="L30" s="87" t="n">
        <f aca="false">IF(F30="level",FALSE(), TRUE())</f>
        <v>1</v>
      </c>
      <c r="M30" s="46" t="n">
        <f aca="false">IF(L30 = FALSE(),1,ActivityStats!$D$12)</f>
        <v>0.47775902852124</v>
      </c>
      <c r="N30" s="88" t="n">
        <f aca="false">M30*I30</f>
        <v>251110.145390764</v>
      </c>
      <c r="O30" s="46" t="n">
        <f aca="false">K30/M30</f>
        <v>0.478378026433833</v>
      </c>
      <c r="P30" s="90" t="n">
        <v>124</v>
      </c>
      <c r="Q30" s="90" t="n">
        <v>0</v>
      </c>
      <c r="R30" s="90" t="n">
        <f aca="false">IF(Q30&gt;0, TRUE(), FALSE())</f>
        <v>0</v>
      </c>
      <c r="S30" s="27" t="n">
        <f aca="false">P30*T30/(60*1000)</f>
        <v>0.150866666666667</v>
      </c>
      <c r="T30" s="84" t="n">
        <v>73</v>
      </c>
      <c r="U30" s="84" t="n">
        <v>0</v>
      </c>
      <c r="V30" s="84" t="n">
        <v>3</v>
      </c>
      <c r="W30" s="51" t="n">
        <f aca="false">V30*I30/(60*1000)</f>
        <v>26.28</v>
      </c>
      <c r="X30" s="91" t="n">
        <v>129.61</v>
      </c>
      <c r="Y30" s="51" t="n">
        <f aca="false">X30-W30</f>
        <v>103.33</v>
      </c>
      <c r="Z30" s="92" t="n">
        <f aca="false">Y30/((P30-V30)*T30)*60*1000</f>
        <v>701.890637382543</v>
      </c>
      <c r="AA30" s="93" t="n">
        <f aca="false">Z30*T30</f>
        <v>51238.0165289256</v>
      </c>
      <c r="AB30" s="93" t="n">
        <f aca="false">Z30*U30</f>
        <v>0</v>
      </c>
      <c r="AC30" s="52" t="n">
        <f aca="false">N30-AA30-AB30</f>
        <v>199872.128861838</v>
      </c>
      <c r="AD30" s="52" t="n">
        <f aca="false">AC30*O30</f>
        <v>95614.4345440548</v>
      </c>
      <c r="AE30" s="52" t="n">
        <f aca="false">AD30/Z30</f>
        <v>136.224120185754</v>
      </c>
      <c r="AF30" s="94" t="n">
        <f aca="false">1/AE30</f>
        <v>0.00734084388753189</v>
      </c>
      <c r="AG30" s="52" t="n">
        <f aca="false">X30*E30</f>
        <v>80.09898</v>
      </c>
      <c r="AH30" s="27" t="n">
        <v>1</v>
      </c>
      <c r="AI30" s="33" t="n">
        <v>1</v>
      </c>
      <c r="AJ30" s="27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11"/>
      <c r="AX30" s="27"/>
      <c r="AY30" s="51"/>
      <c r="AZ30" s="51"/>
      <c r="BA30" s="51"/>
      <c r="BB30" s="51"/>
      <c r="BC30" s="51"/>
      <c r="BD30" s="51"/>
      <c r="BE30" s="11"/>
      <c r="BF30" s="27"/>
    </row>
    <row r="31" customFormat="false" ht="12.8" hidden="false" customHeight="false" outlineLevel="0" collapsed="false">
      <c r="A31" s="95"/>
      <c r="B31" s="83" t="s">
        <v>223</v>
      </c>
      <c r="C31" s="84" t="s">
        <v>224</v>
      </c>
      <c r="D31" s="85" t="s">
        <v>225</v>
      </c>
      <c r="E31" s="86" t="n">
        <v>0.607</v>
      </c>
      <c r="F31" s="85" t="s">
        <v>221</v>
      </c>
      <c r="G31" s="84" t="n">
        <v>820</v>
      </c>
      <c r="H31" s="43" t="n">
        <f aca="false">IF(F31="LEVEL", 1, VLOOKUP(F31,ActivityStats!$C$4:$D$12,2,FALSE()))</f>
        <v>0.228549421174936</v>
      </c>
      <c r="I31" s="49" t="n">
        <f aca="false">365*24*60</f>
        <v>525600</v>
      </c>
      <c r="J31" s="49" t="n">
        <f aca="false">H31*I31</f>
        <v>120125.575769546</v>
      </c>
      <c r="K31" s="46" t="n">
        <f aca="false">J31/I31</f>
        <v>0.228549421174936</v>
      </c>
      <c r="L31" s="87" t="n">
        <f aca="false">IF(F31="level",FALSE(), TRUE())</f>
        <v>1</v>
      </c>
      <c r="M31" s="46" t="n">
        <f aca="false">IF(L31 = FALSE(),1,ActivityStats!$D$12)</f>
        <v>0.47775902852124</v>
      </c>
      <c r="N31" s="88" t="n">
        <f aca="false">M31*I31</f>
        <v>251110.145390764</v>
      </c>
      <c r="O31" s="46" t="n">
        <f aca="false">K31/M31</f>
        <v>0.478378026433833</v>
      </c>
      <c r="P31" s="90" t="n">
        <v>33.5521973529143</v>
      </c>
      <c r="Q31" s="90" t="n">
        <v>0</v>
      </c>
      <c r="R31" s="90" t="n">
        <f aca="false">IF(Q31&gt;0, TRUE(), FALSE())</f>
        <v>0</v>
      </c>
      <c r="S31" s="27" t="n">
        <f aca="false">P31*T31/(60*1000)</f>
        <v>0.0408218401127124</v>
      </c>
      <c r="T31" s="84" t="n">
        <v>73</v>
      </c>
      <c r="U31" s="84" t="n">
        <v>0</v>
      </c>
      <c r="V31" s="84" t="n">
        <v>2</v>
      </c>
      <c r="W31" s="51" t="n">
        <f aca="false">V31*I31/(60*1000)</f>
        <v>17.52</v>
      </c>
      <c r="X31" s="94" t="n">
        <v>73.7310058969084</v>
      </c>
      <c r="Y31" s="51" t="n">
        <f aca="false">X31-W31</f>
        <v>56.2110058969084</v>
      </c>
      <c r="Z31" s="92" t="n">
        <f aca="false">Y31/((P31-V31)*T31)*60*1000</f>
        <v>1464.26653737683</v>
      </c>
      <c r="AA31" s="93" t="n">
        <f aca="false">Z31*T31</f>
        <v>106891.457228509</v>
      </c>
      <c r="AB31" s="93" t="n">
        <f aca="false">Z31*U31</f>
        <v>0</v>
      </c>
      <c r="AC31" s="52" t="n">
        <f aca="false">N31-AA31-AB31</f>
        <v>144218.688162255</v>
      </c>
      <c r="AD31" s="52" t="n">
        <f aca="false">AC31*O31</f>
        <v>68991.0514179359</v>
      </c>
      <c r="AE31" s="52" t="n">
        <f aca="false">AD31/Z31</f>
        <v>47.11645704991</v>
      </c>
      <c r="AF31" s="94" t="n">
        <f aca="false">1/AE31</f>
        <v>0.0212240066977173</v>
      </c>
      <c r="AG31" s="52" t="n">
        <f aca="false">X31*E31</f>
        <v>44.7547205794234</v>
      </c>
      <c r="AH31" s="27" t="n">
        <v>1</v>
      </c>
      <c r="AI31" s="33" t="n">
        <v>1</v>
      </c>
      <c r="AJ31" s="27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11"/>
      <c r="AX31" s="27"/>
      <c r="AY31" s="51"/>
      <c r="AZ31" s="51"/>
      <c r="BA31" s="51"/>
      <c r="BB31" s="51"/>
      <c r="BC31" s="51"/>
      <c r="BD31" s="51"/>
      <c r="BE31" s="11"/>
      <c r="BF31" s="27"/>
    </row>
    <row r="32" customFormat="false" ht="12.8" hidden="false" customHeight="false" outlineLevel="0" collapsed="false">
      <c r="A32" s="95"/>
      <c r="B32" s="29" t="s">
        <v>226</v>
      </c>
      <c r="C32" s="84" t="s">
        <v>227</v>
      </c>
      <c r="D32" s="85" t="s">
        <v>228</v>
      </c>
      <c r="E32" s="86" t="n">
        <v>0.927</v>
      </c>
      <c r="F32" s="85" t="s">
        <v>221</v>
      </c>
      <c r="G32" s="84" t="n">
        <v>820</v>
      </c>
      <c r="H32" s="43" t="n">
        <f aca="false">IF(F32="LEVEL", 1, VLOOKUP(F32,ActivityStats!$C$4:$D$12,2,FALSE()))</f>
        <v>0.228549421174936</v>
      </c>
      <c r="I32" s="49" t="n">
        <f aca="false">365*24*60</f>
        <v>525600</v>
      </c>
      <c r="J32" s="49" t="n">
        <f aca="false">H32*I32</f>
        <v>120125.575769546</v>
      </c>
      <c r="K32" s="46" t="n">
        <f aca="false">J32/I32</f>
        <v>0.228549421174936</v>
      </c>
      <c r="L32" s="87" t="n">
        <f aca="false">IF(F32="level",FALSE(), TRUE())</f>
        <v>1</v>
      </c>
      <c r="M32" s="46" t="n">
        <f aca="false">IF(L32 = FALSE(),1,ActivityStats!$D$12)</f>
        <v>0.47775902852124</v>
      </c>
      <c r="N32" s="88" t="n">
        <f aca="false">M32*I32</f>
        <v>251110.145390764</v>
      </c>
      <c r="O32" s="46" t="n">
        <f aca="false">K32/M32</f>
        <v>0.478378026433833</v>
      </c>
      <c r="P32" s="90" t="n">
        <v>26.8237423726735</v>
      </c>
      <c r="Q32" s="90" t="n">
        <v>0</v>
      </c>
      <c r="R32" s="90" t="n">
        <f aca="false">IF(Q32&gt;0, TRUE(), FALSE())</f>
        <v>0</v>
      </c>
      <c r="S32" s="27" t="n">
        <f aca="false">P32*T32/(60*1000)</f>
        <v>0.0326355532200861</v>
      </c>
      <c r="T32" s="84" t="n">
        <v>73</v>
      </c>
      <c r="U32" s="84" t="n">
        <v>0</v>
      </c>
      <c r="V32" s="84" t="n">
        <v>15</v>
      </c>
      <c r="W32" s="51" t="n">
        <f aca="false">V32*I32/(60*1000)</f>
        <v>131.4</v>
      </c>
      <c r="X32" s="94" t="n">
        <v>152.464284201826</v>
      </c>
      <c r="Y32" s="51" t="n">
        <f aca="false">X32-W32</f>
        <v>21.064284201826</v>
      </c>
      <c r="Z32" s="92" t="n">
        <f aca="false">Y32/((P32-V32)*T32)*60*1000</f>
        <v>1464.26653737686</v>
      </c>
      <c r="AA32" s="93" t="n">
        <f aca="false">Z32*T32</f>
        <v>106891.457228511</v>
      </c>
      <c r="AB32" s="93" t="n">
        <f aca="false">Z32*U32</f>
        <v>0</v>
      </c>
      <c r="AC32" s="52" t="n">
        <f aca="false">N32-AA32-AB32</f>
        <v>144218.688162253</v>
      </c>
      <c r="AD32" s="52" t="n">
        <f aca="false">AC32*O32</f>
        <v>68991.051417935</v>
      </c>
      <c r="AE32" s="52" t="n">
        <f aca="false">AD32/Z32</f>
        <v>47.1164570499085</v>
      </c>
      <c r="AF32" s="94" t="n">
        <f aca="false">1/AE32</f>
        <v>0.021224006697718</v>
      </c>
      <c r="AG32" s="52" t="n">
        <f aca="false">X32*E32</f>
        <v>141.334391455093</v>
      </c>
      <c r="AH32" s="27" t="n">
        <v>1</v>
      </c>
      <c r="AI32" s="33" t="n">
        <v>1</v>
      </c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11"/>
      <c r="AX32" s="27"/>
      <c r="AY32" s="27"/>
      <c r="AZ32" s="27"/>
      <c r="BA32" s="27"/>
      <c r="BB32" s="27"/>
      <c r="BC32" s="27"/>
      <c r="BD32" s="27"/>
      <c r="BE32" s="11"/>
      <c r="BF32" s="27"/>
    </row>
    <row r="33" customFormat="false" ht="12.8" hidden="false" customHeight="false" outlineLevel="0" collapsed="false">
      <c r="A33" s="95"/>
      <c r="B33" s="83" t="s">
        <v>229</v>
      </c>
      <c r="C33" s="84" t="s">
        <v>230</v>
      </c>
      <c r="D33" s="85" t="s">
        <v>231</v>
      </c>
      <c r="E33" s="86" t="n">
        <v>0.297</v>
      </c>
      <c r="F33" s="85" t="s">
        <v>206</v>
      </c>
      <c r="G33" s="84" t="n">
        <v>763</v>
      </c>
      <c r="H33" s="43" t="n">
        <f aca="false">IF(F33="LEVEL", 1, VLOOKUP(F33,ActivityStats!$C$4:$D$12,2,FALSE()))</f>
        <v>0.0456507194552938</v>
      </c>
      <c r="I33" s="49" t="n">
        <f aca="false">365*24*60</f>
        <v>525600</v>
      </c>
      <c r="J33" s="49" t="n">
        <f aca="false">H33*I33</f>
        <v>23994.0181457024</v>
      </c>
      <c r="K33" s="46" t="n">
        <f aca="false">J33/I33</f>
        <v>0.0456507194552938</v>
      </c>
      <c r="L33" s="87" t="n">
        <f aca="false">IF(F33="level",FALSE(), TRUE())</f>
        <v>1</v>
      </c>
      <c r="M33" s="46" t="n">
        <f aca="false">IF(L33 = FALSE(),1,ActivityStats!$D$12)</f>
        <v>0.47775902852124</v>
      </c>
      <c r="N33" s="88" t="n">
        <f aca="false">M33*I33</f>
        <v>251110.145390764</v>
      </c>
      <c r="O33" s="46" t="n">
        <f aca="false">K33/M33</f>
        <v>0.0955517671672097</v>
      </c>
      <c r="P33" s="100" t="n">
        <v>84</v>
      </c>
      <c r="Q33" s="90" t="n">
        <v>0</v>
      </c>
      <c r="R33" s="90" t="n">
        <f aca="false">IF(Q33&gt;0, TRUE(), FALSE())</f>
        <v>0</v>
      </c>
      <c r="S33" s="27" t="n">
        <f aca="false">P33*T33/(60*1000)</f>
        <v>0.1134</v>
      </c>
      <c r="T33" s="104" t="n">
        <v>81</v>
      </c>
      <c r="U33" s="84" t="n">
        <v>0</v>
      </c>
      <c r="V33" s="102" t="n">
        <v>14</v>
      </c>
      <c r="W33" s="51" t="n">
        <f aca="false">V33*I33/(60*1000)</f>
        <v>122.64</v>
      </c>
      <c r="X33" s="105" t="n">
        <v>210</v>
      </c>
      <c r="Y33" s="51" t="n">
        <f aca="false">X33-W33</f>
        <v>87.36</v>
      </c>
      <c r="Z33" s="92" t="n">
        <f aca="false">Y33/((P33-V33)*T33)*60*1000</f>
        <v>924.444444444445</v>
      </c>
      <c r="AA33" s="93" t="n">
        <f aca="false">Z33*T33</f>
        <v>74880</v>
      </c>
      <c r="AB33" s="93" t="n">
        <f aca="false">Z33*U33</f>
        <v>0</v>
      </c>
      <c r="AC33" s="52" t="n">
        <f aca="false">N33-AA33-AB33</f>
        <v>176230.145390764</v>
      </c>
      <c r="AD33" s="52" t="n">
        <f aca="false">AC33*O33</f>
        <v>16839.1018202218</v>
      </c>
      <c r="AE33" s="52" t="n">
        <f aca="false">AD33/Z33</f>
        <v>18.2153745651437</v>
      </c>
      <c r="AF33" s="94" t="n">
        <f aca="false">1/AE33</f>
        <v>0.0548986789387007</v>
      </c>
      <c r="AG33" s="52" t="n">
        <f aca="false">X33*E33</f>
        <v>62.37</v>
      </c>
      <c r="AH33" s="27" t="n">
        <v>1</v>
      </c>
      <c r="AI33" s="33" t="n">
        <v>1</v>
      </c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11"/>
      <c r="AX33" s="27"/>
      <c r="AY33" s="27"/>
      <c r="AZ33" s="27"/>
      <c r="BA33" s="27"/>
      <c r="BB33" s="27"/>
      <c r="BC33" s="27"/>
      <c r="BD33" s="27"/>
      <c r="BE33" s="11"/>
      <c r="BF33" s="27"/>
    </row>
    <row r="34" customFormat="false" ht="12.8" hidden="false" customHeight="false" outlineLevel="0" collapsed="false">
      <c r="A34" s="95" t="s">
        <v>232</v>
      </c>
      <c r="B34" s="83" t="s">
        <v>233</v>
      </c>
      <c r="C34" s="84" t="s">
        <v>234</v>
      </c>
      <c r="D34" s="85" t="s">
        <v>235</v>
      </c>
      <c r="E34" s="86" t="n">
        <v>0.94</v>
      </c>
      <c r="F34" s="85" t="s">
        <v>236</v>
      </c>
      <c r="G34" s="84" t="n">
        <v>412</v>
      </c>
      <c r="H34" s="43" t="n">
        <f aca="false">IF(F34="LEVEL", 1, VLOOKUP(F34,ActivityStats!$C$4:$D$12,2,FALSE()))</f>
        <v>0.0606130677183567</v>
      </c>
      <c r="I34" s="49" t="n">
        <f aca="false">365*24*60</f>
        <v>525600</v>
      </c>
      <c r="J34" s="49" t="n">
        <f aca="false">H34*I34</f>
        <v>31858.2283927683</v>
      </c>
      <c r="K34" s="46" t="n">
        <f aca="false">J34/I34</f>
        <v>0.0606130677183567</v>
      </c>
      <c r="L34" s="87" t="n">
        <f aca="false">IF(F34="level",FALSE(), TRUE())</f>
        <v>1</v>
      </c>
      <c r="M34" s="46" t="n">
        <f aca="false">IF(L34 = FALSE(),1,ActivityStats!$D$12)</f>
        <v>0.47775902852124</v>
      </c>
      <c r="N34" s="88" t="n">
        <f aca="false">M34*I34</f>
        <v>251110.145390764</v>
      </c>
      <c r="O34" s="46" t="n">
        <f aca="false">K34/M34</f>
        <v>0.12686953903512</v>
      </c>
      <c r="P34" s="90" t="n">
        <v>2400</v>
      </c>
      <c r="Q34" s="90" t="n">
        <v>0</v>
      </c>
      <c r="R34" s="90" t="n">
        <f aca="false">IF(Q34&gt;0, TRUE(), FALSE())</f>
        <v>0</v>
      </c>
      <c r="S34" s="27" t="n">
        <f aca="false">P34*T34/(60*1000)</f>
        <v>0.64</v>
      </c>
      <c r="T34" s="84" t="n">
        <v>16</v>
      </c>
      <c r="U34" s="84" t="n">
        <v>0</v>
      </c>
      <c r="V34" s="84" t="n">
        <v>1</v>
      </c>
      <c r="W34" s="51" t="n">
        <f aca="false">V34*I34/(60*1000)</f>
        <v>8.76</v>
      </c>
      <c r="X34" s="94" t="n">
        <v>276.105844135875</v>
      </c>
      <c r="Y34" s="51" t="n">
        <f aca="false">X34-W34</f>
        <v>267.345844135875</v>
      </c>
      <c r="Z34" s="92" t="n">
        <f aca="false">Y34/((P34-V34)*T34)*60*1000</f>
        <v>417.902007298679</v>
      </c>
      <c r="AA34" s="93" t="n">
        <f aca="false">Z34*T34</f>
        <v>6686.43211677887</v>
      </c>
      <c r="AB34" s="93" t="n">
        <f aca="false">Z34*U34</f>
        <v>0</v>
      </c>
      <c r="AC34" s="52" t="n">
        <f aca="false">N34-AA34-AB34</f>
        <v>244423.713273985</v>
      </c>
      <c r="AD34" s="52" t="n">
        <f aca="false">AC34*O34</f>
        <v>31009.9238323229</v>
      </c>
      <c r="AE34" s="52" t="n">
        <f aca="false">AD34/Z34</f>
        <v>74.203816422829</v>
      </c>
      <c r="AF34" s="94" t="n">
        <f aca="false">1/AE34</f>
        <v>0.0134763958002078</v>
      </c>
      <c r="AG34" s="52" t="n">
        <f aca="false">X34*E34</f>
        <v>259.539493487722</v>
      </c>
      <c r="AH34" s="27" t="n">
        <v>1</v>
      </c>
      <c r="AI34" s="33" t="n">
        <v>0.3</v>
      </c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11"/>
      <c r="AX34" s="27"/>
      <c r="AY34" s="27"/>
      <c r="AZ34" s="27"/>
      <c r="BA34" s="27"/>
      <c r="BB34" s="27"/>
      <c r="BC34" s="27"/>
      <c r="BD34" s="27"/>
      <c r="BE34" s="11"/>
      <c r="BF34" s="27"/>
    </row>
    <row r="35" customFormat="false" ht="12.8" hidden="false" customHeight="false" outlineLevel="0" collapsed="false">
      <c r="A35" s="95"/>
      <c r="B35" s="83" t="s">
        <v>237</v>
      </c>
      <c r="C35" s="84" t="s">
        <v>238</v>
      </c>
      <c r="D35" s="85" t="s">
        <v>239</v>
      </c>
      <c r="E35" s="86" t="n">
        <v>0.061</v>
      </c>
      <c r="F35" s="85" t="s">
        <v>236</v>
      </c>
      <c r="G35" s="84" t="n">
        <v>412</v>
      </c>
      <c r="H35" s="43" t="n">
        <f aca="false">IF(F35="LEVEL", 1, VLOOKUP(F35,ActivityStats!$C$4:$D$12,2,FALSE()))</f>
        <v>0.0606130677183567</v>
      </c>
      <c r="I35" s="49" t="n">
        <f aca="false">365*24*60</f>
        <v>525600</v>
      </c>
      <c r="J35" s="49" t="n">
        <f aca="false">H35*I35</f>
        <v>31858.2283927683</v>
      </c>
      <c r="K35" s="46" t="n">
        <f aca="false">J35/I35</f>
        <v>0.0606130677183567</v>
      </c>
      <c r="L35" s="87" t="n">
        <f aca="false">IF(F35="level",FALSE(), TRUE())</f>
        <v>1</v>
      </c>
      <c r="M35" s="46" t="n">
        <f aca="false">IF(L35 = FALSE(),1,ActivityStats!$D$12)</f>
        <v>0.47775902852124</v>
      </c>
      <c r="N35" s="88" t="n">
        <f aca="false">M35*I35</f>
        <v>251110.145390764</v>
      </c>
      <c r="O35" s="46" t="n">
        <f aca="false">K35/M35</f>
        <v>0.12686953903512</v>
      </c>
      <c r="P35" s="89" t="n">
        <v>0</v>
      </c>
      <c r="Q35" s="90" t="n">
        <v>0</v>
      </c>
      <c r="R35" s="90" t="n">
        <f aca="false">IF(Q35&gt;0, TRUE(), FALSE())</f>
        <v>0</v>
      </c>
      <c r="S35" s="27" t="n">
        <f aca="false">P35*T35/(60*1000)</f>
        <v>0</v>
      </c>
      <c r="T35" s="84" t="n">
        <v>16</v>
      </c>
      <c r="U35" s="84" t="n">
        <v>0</v>
      </c>
      <c r="V35" s="99" t="n">
        <v>0</v>
      </c>
      <c r="W35" s="51" t="n">
        <f aca="false">V35*I35/(60*1000)</f>
        <v>0</v>
      </c>
      <c r="X35" s="103" t="n">
        <v>0</v>
      </c>
      <c r="Y35" s="51" t="n">
        <f aca="false">X35-W35</f>
        <v>0</v>
      </c>
      <c r="Z35" s="92" t="n">
        <v>0</v>
      </c>
      <c r="AA35" s="93" t="n">
        <f aca="false">Z35*T35</f>
        <v>0</v>
      </c>
      <c r="AB35" s="93" t="n">
        <f aca="false">Z35*U35</f>
        <v>0</v>
      </c>
      <c r="AC35" s="52" t="n">
        <f aca="false">N35-AA35-AB35</f>
        <v>251110.145390764</v>
      </c>
      <c r="AD35" s="52" t="n">
        <f aca="false">AC35*O35</f>
        <v>31858.2283927683</v>
      </c>
      <c r="AE35" s="52" t="n">
        <v>0</v>
      </c>
      <c r="AF35" s="94" t="n">
        <v>0</v>
      </c>
      <c r="AG35" s="52" t="n">
        <f aca="false">X35*E35</f>
        <v>0</v>
      </c>
      <c r="AH35" s="27" t="n">
        <v>1</v>
      </c>
      <c r="AI35" s="33" t="n">
        <v>0.3</v>
      </c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11"/>
      <c r="AX35" s="27"/>
      <c r="AY35" s="27"/>
      <c r="AZ35" s="27"/>
      <c r="BA35" s="27"/>
      <c r="BB35" s="27"/>
      <c r="BC35" s="27"/>
      <c r="BD35" s="27"/>
      <c r="BE35" s="11"/>
      <c r="BF35" s="27"/>
    </row>
    <row r="36" customFormat="false" ht="12.8" hidden="false" customHeight="false" outlineLevel="0" collapsed="false">
      <c r="A36" s="95"/>
      <c r="B36" s="29" t="s">
        <v>240</v>
      </c>
      <c r="C36" s="84" t="s">
        <v>241</v>
      </c>
      <c r="D36" s="85" t="s">
        <v>242</v>
      </c>
      <c r="E36" s="106" t="n">
        <v>0.616</v>
      </c>
      <c r="F36" s="85" t="s">
        <v>236</v>
      </c>
      <c r="G36" s="84" t="n">
        <v>412</v>
      </c>
      <c r="H36" s="43" t="n">
        <f aca="false">IF(F36="LEVEL", 1, VLOOKUP(F36,ActivityStats!$C$4:$D$12,2,FALSE()))</f>
        <v>0.0606130677183567</v>
      </c>
      <c r="I36" s="49" t="n">
        <f aca="false">365*24*60</f>
        <v>525600</v>
      </c>
      <c r="J36" s="49" t="n">
        <f aca="false">H36*I36</f>
        <v>31858.2283927683</v>
      </c>
      <c r="K36" s="46" t="n">
        <f aca="false">J36/I36</f>
        <v>0.0606130677183567</v>
      </c>
      <c r="L36" s="87" t="n">
        <f aca="false">IF(F36="level",FALSE(), TRUE())</f>
        <v>1</v>
      </c>
      <c r="M36" s="46" t="n">
        <f aca="false">IF(L36 = FALSE(),1,ActivityStats!$D$12)</f>
        <v>0.47775902852124</v>
      </c>
      <c r="N36" s="88" t="n">
        <f aca="false">M36*I36</f>
        <v>251110.145390764</v>
      </c>
      <c r="O36" s="46" t="n">
        <f aca="false">K36/M36</f>
        <v>0.12686953903512</v>
      </c>
      <c r="P36" s="90" t="n">
        <v>2125</v>
      </c>
      <c r="Q36" s="90" t="n">
        <v>0</v>
      </c>
      <c r="R36" s="90" t="n">
        <f aca="false">IF(Q36&gt;0, TRUE(), FALSE())</f>
        <v>0</v>
      </c>
      <c r="S36" s="27" t="n">
        <f aca="false">P36*T36/(60*1000)</f>
        <v>0.95625</v>
      </c>
      <c r="T36" s="84" t="n">
        <v>27</v>
      </c>
      <c r="U36" s="84" t="n">
        <v>0</v>
      </c>
      <c r="V36" s="84" t="n">
        <v>3</v>
      </c>
      <c r="W36" s="51" t="n">
        <f aca="false">V36*I36/(60*1000)</f>
        <v>26.28</v>
      </c>
      <c r="X36" s="91" t="n">
        <v>49.26</v>
      </c>
      <c r="Y36" s="51" t="n">
        <f aca="false">X36-W36</f>
        <v>22.98</v>
      </c>
      <c r="Z36" s="92" t="n">
        <f aca="false">Y36/((P36-V36)*T36)*60*1000</f>
        <v>24.0653471567703</v>
      </c>
      <c r="AA36" s="93" t="n">
        <f aca="false">Z36*T36</f>
        <v>649.764373232799</v>
      </c>
      <c r="AB36" s="93" t="n">
        <f aca="false">Z36*U36</f>
        <v>0</v>
      </c>
      <c r="AC36" s="52" t="n">
        <f aca="false">N36-AA36-AB36</f>
        <v>250460.381017531</v>
      </c>
      <c r="AD36" s="52" t="n">
        <f aca="false">AC36*O36</f>
        <v>31775.7930862548</v>
      </c>
      <c r="AE36" s="52" t="n">
        <f aca="false">AD36/Z36</f>
        <v>1320.3962061821</v>
      </c>
      <c r="AF36" s="94" t="n">
        <f aca="false">1/AE36</f>
        <v>0.000757348434748596</v>
      </c>
      <c r="AG36" s="52" t="n">
        <f aca="false">X36*E36</f>
        <v>30.34416</v>
      </c>
      <c r="AH36" s="27" t="n">
        <v>1</v>
      </c>
      <c r="AI36" s="33" t="n">
        <v>0.6</v>
      </c>
      <c r="AJ36" s="27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11"/>
      <c r="AX36" s="27"/>
      <c r="AY36" s="51"/>
      <c r="AZ36" s="51"/>
      <c r="BA36" s="51"/>
      <c r="BB36" s="51"/>
      <c r="BC36" s="51"/>
      <c r="BD36" s="51"/>
      <c r="BE36" s="11"/>
      <c r="BF36" s="27"/>
    </row>
    <row r="37" customFormat="false" ht="12.8" hidden="false" customHeight="false" outlineLevel="0" collapsed="false">
      <c r="A37" s="95"/>
      <c r="B37" s="83" t="s">
        <v>243</v>
      </c>
      <c r="C37" s="84" t="s">
        <v>244</v>
      </c>
      <c r="D37" s="85" t="s">
        <v>245</v>
      </c>
      <c r="E37" s="86" t="n">
        <v>0.713</v>
      </c>
      <c r="F37" s="85" t="s">
        <v>236</v>
      </c>
      <c r="G37" s="84" t="n">
        <v>412</v>
      </c>
      <c r="H37" s="43" t="n">
        <f aca="false">IF(F37="LEVEL", 1, VLOOKUP(F37,ActivityStats!$C$4:$D$12,2,FALSE()))</f>
        <v>0.0606130677183567</v>
      </c>
      <c r="I37" s="49" t="n">
        <f aca="false">365*24*60</f>
        <v>525600</v>
      </c>
      <c r="J37" s="49" t="n">
        <f aca="false">H37*I37</f>
        <v>31858.2283927683</v>
      </c>
      <c r="K37" s="46" t="n">
        <f aca="false">J37/I37</f>
        <v>0.0606130677183567</v>
      </c>
      <c r="L37" s="87" t="n">
        <f aca="false">IF(F37="level",FALSE(), TRUE())</f>
        <v>1</v>
      </c>
      <c r="M37" s="46" t="n">
        <f aca="false">IF(L37 = FALSE(),1,ActivityStats!$D$12)</f>
        <v>0.47775902852124</v>
      </c>
      <c r="N37" s="88" t="n">
        <f aca="false">M37*I37</f>
        <v>251110.145390764</v>
      </c>
      <c r="O37" s="46" t="n">
        <f aca="false">K37/M37</f>
        <v>0.12686953903512</v>
      </c>
      <c r="P37" s="90" t="n">
        <v>1250</v>
      </c>
      <c r="Q37" s="90" t="n">
        <v>0</v>
      </c>
      <c r="R37" s="90" t="n">
        <f aca="false">IF(Q37&gt;0, TRUE(), FALSE())</f>
        <v>0</v>
      </c>
      <c r="S37" s="27" t="n">
        <f aca="false">P37*T37/(60*1000)</f>
        <v>0.625</v>
      </c>
      <c r="T37" s="84" t="n">
        <v>30</v>
      </c>
      <c r="U37" s="84" t="n">
        <v>0</v>
      </c>
      <c r="V37" s="84" t="n">
        <v>2</v>
      </c>
      <c r="W37" s="51" t="n">
        <f aca="false">V37*I37/(60*1000)</f>
        <v>17.52</v>
      </c>
      <c r="X37" s="94" t="n">
        <v>76.5624571821228</v>
      </c>
      <c r="Y37" s="51" t="n">
        <f aca="false">X37-W37</f>
        <v>59.0424571821228</v>
      </c>
      <c r="Z37" s="92" t="n">
        <f aca="false">Y37/((P37-V37)*T37)*60*1000</f>
        <v>94.6193224072481</v>
      </c>
      <c r="AA37" s="93" t="n">
        <f aca="false">Z37*T37</f>
        <v>2838.57967221744</v>
      </c>
      <c r="AB37" s="93" t="n">
        <f aca="false">Z37*U37</f>
        <v>0</v>
      </c>
      <c r="AC37" s="52" t="n">
        <f aca="false">N37-AA37-AB37</f>
        <v>248271.565718546</v>
      </c>
      <c r="AD37" s="52" t="n">
        <f aca="false">AC37*O37</f>
        <v>31498.0990982396</v>
      </c>
      <c r="AE37" s="52" t="n">
        <f aca="false">AD37/Z37</f>
        <v>332.892883788256</v>
      </c>
      <c r="AF37" s="94" t="n">
        <f aca="false">1/AE37</f>
        <v>0.00300396929072257</v>
      </c>
      <c r="AG37" s="52" t="n">
        <f aca="false">X37*E37</f>
        <v>54.5890319708536</v>
      </c>
      <c r="AH37" s="27" t="n">
        <v>1</v>
      </c>
      <c r="AI37" s="33" t="n">
        <v>1</v>
      </c>
      <c r="AJ37" s="27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11"/>
      <c r="AX37" s="27"/>
      <c r="AY37" s="51"/>
      <c r="AZ37" s="51"/>
      <c r="BA37" s="51"/>
      <c r="BB37" s="51"/>
      <c r="BC37" s="51"/>
      <c r="BD37" s="51"/>
      <c r="BE37" s="11"/>
      <c r="BF37" s="27"/>
    </row>
    <row r="38" customFormat="false" ht="12.8" hidden="false" customHeight="false" outlineLevel="0" collapsed="false">
      <c r="A38" s="95"/>
      <c r="B38" s="29" t="s">
        <v>246</v>
      </c>
      <c r="C38" s="84" t="s">
        <v>247</v>
      </c>
      <c r="D38" s="85" t="s">
        <v>248</v>
      </c>
      <c r="E38" s="106" t="n">
        <v>0.975</v>
      </c>
      <c r="F38" s="85" t="s">
        <v>194</v>
      </c>
      <c r="G38" s="84" t="n">
        <v>419</v>
      </c>
      <c r="H38" s="43" t="n">
        <f aca="false">IF(F38="LEVEL", 1, VLOOKUP(F38,ActivityStats!$C$4:$D$12,2,FALSE()))</f>
        <v>0.47775902852124</v>
      </c>
      <c r="I38" s="49" t="n">
        <f aca="false">365*24*60</f>
        <v>525600</v>
      </c>
      <c r="J38" s="49" t="n">
        <f aca="false">H38*I38</f>
        <v>251110.145390764</v>
      </c>
      <c r="K38" s="46" t="n">
        <f aca="false">J38/I38</f>
        <v>0.47775902852124</v>
      </c>
      <c r="L38" s="87" t="n">
        <f aca="false">IF(F38="level",FALSE(), TRUE())</f>
        <v>1</v>
      </c>
      <c r="M38" s="46" t="n">
        <f aca="false">IF(L38 = FALSE(),1,ActivityStats!$D$12)</f>
        <v>0.47775902852124</v>
      </c>
      <c r="N38" s="88" t="n">
        <f aca="false">M38*I38</f>
        <v>251110.145390764</v>
      </c>
      <c r="O38" s="46" t="n">
        <f aca="false">K38/M38</f>
        <v>1</v>
      </c>
      <c r="P38" s="90" t="n">
        <v>2000</v>
      </c>
      <c r="Q38" s="90" t="n">
        <v>0</v>
      </c>
      <c r="R38" s="90" t="n">
        <f aca="false">IF(Q38&gt;0, TRUE(), FALSE())</f>
        <v>0</v>
      </c>
      <c r="S38" s="27" t="n">
        <f aca="false">P38*T38/(60*1000)</f>
        <v>0.1</v>
      </c>
      <c r="T38" s="84" t="n">
        <v>3</v>
      </c>
      <c r="U38" s="84" t="n">
        <v>0</v>
      </c>
      <c r="V38" s="84" t="n">
        <v>1</v>
      </c>
      <c r="W38" s="51" t="n">
        <f aca="false">V38*I38/(60*1000)</f>
        <v>8.76</v>
      </c>
      <c r="X38" s="94" t="n">
        <v>160.666295473334</v>
      </c>
      <c r="Y38" s="51" t="n">
        <f aca="false">X38-W38</f>
        <v>151.906295473334</v>
      </c>
      <c r="Z38" s="92" t="n">
        <f aca="false">Y38/((P38-V38)*T38)*60*1000</f>
        <v>1519.82286616642</v>
      </c>
      <c r="AA38" s="93" t="n">
        <f aca="false">Z38*T38</f>
        <v>4559.46859849927</v>
      </c>
      <c r="AB38" s="93" t="n">
        <f aca="false">Z38*U38</f>
        <v>0</v>
      </c>
      <c r="AC38" s="52" t="n">
        <f aca="false">N38-AA38-AB38</f>
        <v>246550.676792264</v>
      </c>
      <c r="AD38" s="52" t="n">
        <f aca="false">AC38*O38</f>
        <v>246550.676792264</v>
      </c>
      <c r="AE38" s="52" t="n">
        <f aca="false">AD38/Z38</f>
        <v>162.22329738607</v>
      </c>
      <c r="AF38" s="94" t="n">
        <f aca="false">1/AE38</f>
        <v>0.00616434270609193</v>
      </c>
      <c r="AG38" s="52" t="n">
        <f aca="false">X38*E38</f>
        <v>156.649638086501</v>
      </c>
      <c r="AH38" s="27" t="n">
        <v>1</v>
      </c>
      <c r="AI38" s="33" t="n">
        <v>1</v>
      </c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11"/>
      <c r="AX38" s="27"/>
      <c r="AY38" s="27"/>
      <c r="AZ38" s="27"/>
      <c r="BA38" s="27"/>
      <c r="BB38" s="27"/>
      <c r="BC38" s="27"/>
      <c r="BD38" s="27"/>
      <c r="BE38" s="11"/>
      <c r="BF38" s="27"/>
    </row>
    <row r="39" customFormat="false" ht="12.8" hidden="false" customHeight="false" outlineLevel="0" collapsed="false">
      <c r="A39" s="95"/>
      <c r="B39" s="54" t="s">
        <v>249</v>
      </c>
      <c r="C39" s="84" t="s">
        <v>250</v>
      </c>
      <c r="D39" s="85" t="s">
        <v>251</v>
      </c>
      <c r="E39" s="106" t="n">
        <v>1</v>
      </c>
      <c r="F39" s="85" t="s">
        <v>236</v>
      </c>
      <c r="G39" s="84" t="n">
        <v>412</v>
      </c>
      <c r="H39" s="43" t="n">
        <f aca="false">IF(F39="LEVEL", 1, VLOOKUP(F39,ActivityStats!$C$4:$D$12,2,FALSE()))</f>
        <v>0.0606130677183567</v>
      </c>
      <c r="I39" s="49" t="n">
        <f aca="false">365*24*60</f>
        <v>525600</v>
      </c>
      <c r="J39" s="49" t="n">
        <f aca="false">H39*I39</f>
        <v>31858.2283927683</v>
      </c>
      <c r="K39" s="46" t="n">
        <f aca="false">J39/I39</f>
        <v>0.0606130677183567</v>
      </c>
      <c r="L39" s="87" t="n">
        <f aca="false">IF(F39="level",FALSE(), TRUE())</f>
        <v>1</v>
      </c>
      <c r="M39" s="46" t="n">
        <f aca="false">IF(L39 = FALSE(),1,ActivityStats!$D$12)</f>
        <v>0.47775902852124</v>
      </c>
      <c r="N39" s="88" t="n">
        <f aca="false">M39*I39</f>
        <v>251110.145390764</v>
      </c>
      <c r="O39" s="46" t="n">
        <f aca="false">K39/M39</f>
        <v>0.12686953903512</v>
      </c>
      <c r="P39" s="90" t="n">
        <v>1000</v>
      </c>
      <c r="Q39" s="90" t="n">
        <v>0</v>
      </c>
      <c r="R39" s="90" t="n">
        <f aca="false">IF(Q39&gt;0, TRUE(), FALSE())</f>
        <v>0</v>
      </c>
      <c r="S39" s="27" t="n">
        <f aca="false">P39*T39/(60*1000)</f>
        <v>0.05</v>
      </c>
      <c r="T39" s="84" t="n">
        <v>3</v>
      </c>
      <c r="U39" s="84" t="n">
        <v>0</v>
      </c>
      <c r="V39" s="84" t="n">
        <v>2</v>
      </c>
      <c r="W39" s="51" t="n">
        <f aca="false">V39*I39/(60*1000)</f>
        <v>17.52</v>
      </c>
      <c r="X39" s="94" t="n">
        <v>32.1070785796487</v>
      </c>
      <c r="Y39" s="51" t="n">
        <f aca="false">X39-W39</f>
        <v>14.5870785796487</v>
      </c>
      <c r="Z39" s="92" t="n">
        <f aca="false">Y39/((P39-V39)*T39)*60*1000</f>
        <v>292.326224041056</v>
      </c>
      <c r="AA39" s="93" t="n">
        <f aca="false">Z39*T39</f>
        <v>876.978672123169</v>
      </c>
      <c r="AB39" s="93" t="n">
        <f aca="false">Z39*U39</f>
        <v>0</v>
      </c>
      <c r="AC39" s="52" t="n">
        <f aca="false">N39-AA39-AB39</f>
        <v>250233.166718641</v>
      </c>
      <c r="AD39" s="52" t="n">
        <f aca="false">AC39*O39</f>
        <v>31746.9665128924</v>
      </c>
      <c r="AE39" s="52" t="n">
        <f aca="false">AD39/Z39</f>
        <v>108.601158233528</v>
      </c>
      <c r="AF39" s="94" t="n">
        <f aca="false">1/AE39</f>
        <v>0.00920800492615076</v>
      </c>
      <c r="AG39" s="52" t="n">
        <f aca="false">X39*E39</f>
        <v>32.1070785796487</v>
      </c>
      <c r="AH39" s="27" t="n">
        <v>1</v>
      </c>
      <c r="AI39" s="33" t="n">
        <v>0.6</v>
      </c>
      <c r="AJ39" s="27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11"/>
      <c r="AX39" s="27"/>
      <c r="AY39" s="51"/>
      <c r="AZ39" s="51"/>
      <c r="BA39" s="51"/>
      <c r="BB39" s="51"/>
      <c r="BC39" s="51"/>
      <c r="BD39" s="51"/>
      <c r="BE39" s="11"/>
      <c r="BF39" s="27"/>
    </row>
    <row r="40" customFormat="false" ht="12.8" hidden="false" customHeight="false" outlineLevel="0" collapsed="false">
      <c r="A40" s="95" t="s">
        <v>252</v>
      </c>
      <c r="B40" s="83" t="s">
        <v>253</v>
      </c>
      <c r="C40" s="84" t="s">
        <v>254</v>
      </c>
      <c r="D40" s="85" t="s">
        <v>255</v>
      </c>
      <c r="E40" s="86" t="n">
        <v>0.719</v>
      </c>
      <c r="F40" s="85" t="s">
        <v>256</v>
      </c>
      <c r="G40" s="84" t="n">
        <v>413</v>
      </c>
      <c r="H40" s="43" t="n">
        <f aca="false">IF(F40="LEVEL", 1, VLOOKUP(F40,ActivityStats!$C$4:$D$12,2,FALSE()))</f>
        <v>0.0216761223953879</v>
      </c>
      <c r="I40" s="49" t="n">
        <f aca="false">365*24*60</f>
        <v>525600</v>
      </c>
      <c r="J40" s="49" t="n">
        <f aca="false">H40*I40</f>
        <v>11392.9699310159</v>
      </c>
      <c r="K40" s="46" t="n">
        <f aca="false">J40/I40</f>
        <v>0.0216761223953879</v>
      </c>
      <c r="L40" s="87" t="n">
        <f aca="false">IF(F40="level",FALSE(), TRUE())</f>
        <v>1</v>
      </c>
      <c r="M40" s="46" t="n">
        <f aca="false">IF(L40 = FALSE(),1,ActivityStats!$D$12)</f>
        <v>0.47775902852124</v>
      </c>
      <c r="N40" s="88" t="n">
        <f aca="false">M40*I40</f>
        <v>251110.145390764</v>
      </c>
      <c r="O40" s="46" t="n">
        <f aca="false">K40/M40</f>
        <v>0.0453704087235773</v>
      </c>
      <c r="P40" s="90" t="n">
        <v>1130.61224489796</v>
      </c>
      <c r="Q40" s="90" t="n">
        <v>0</v>
      </c>
      <c r="R40" s="90" t="n">
        <f aca="false">IF(Q40&gt;0, TRUE(), FALSE())</f>
        <v>0</v>
      </c>
      <c r="S40" s="27" t="n">
        <f aca="false">P40*T40/(60*1000)</f>
        <v>1.13061224489796</v>
      </c>
      <c r="T40" s="84" t="n">
        <v>60</v>
      </c>
      <c r="U40" s="84" t="n">
        <v>0</v>
      </c>
      <c r="V40" s="84" t="n">
        <v>0</v>
      </c>
      <c r="W40" s="51" t="n">
        <f aca="false">V40*I40/(60*1000)</f>
        <v>0</v>
      </c>
      <c r="X40" s="94" t="n">
        <v>273.01616986258</v>
      </c>
      <c r="Y40" s="51" t="n">
        <f aca="false">X40-W40</f>
        <v>273.01616986258</v>
      </c>
      <c r="Z40" s="92" t="n">
        <f aca="false">Y40/((P40-V40)*T40)*60*1000</f>
        <v>241.47639572683</v>
      </c>
      <c r="AA40" s="93" t="n">
        <f aca="false">Z40*T40</f>
        <v>14488.5837436098</v>
      </c>
      <c r="AB40" s="93" t="n">
        <f aca="false">Z40*U40</f>
        <v>0</v>
      </c>
      <c r="AC40" s="52" t="n">
        <f aca="false">N40-AA40-AB40</f>
        <v>236621.561647154</v>
      </c>
      <c r="AD40" s="52" t="n">
        <f aca="false">AC40*O40</f>
        <v>10735.6169647425</v>
      </c>
      <c r="AE40" s="52" t="n">
        <f aca="false">AD40/Z40</f>
        <v>44.4582458357013</v>
      </c>
      <c r="AF40" s="94" t="n">
        <f aca="false">1/AE40</f>
        <v>0.0224930152146707</v>
      </c>
      <c r="AG40" s="52" t="n">
        <f aca="false">X40*E40</f>
        <v>196.298626131195</v>
      </c>
      <c r="AH40" s="27" t="n">
        <v>0.8</v>
      </c>
      <c r="AI40" s="33" t="n">
        <v>0.2</v>
      </c>
      <c r="AJ40" s="27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11"/>
      <c r="AX40" s="27"/>
      <c r="AY40" s="27"/>
      <c r="AZ40" s="27"/>
      <c r="BA40" s="27"/>
      <c r="BB40" s="27"/>
      <c r="BC40" s="27"/>
      <c r="BD40" s="27"/>
      <c r="BE40" s="11"/>
      <c r="BF40" s="27"/>
    </row>
    <row r="41" customFormat="false" ht="12.8" hidden="false" customHeight="false" outlineLevel="0" collapsed="false">
      <c r="A41" s="95"/>
      <c r="B41" s="83" t="s">
        <v>257</v>
      </c>
      <c r="C41" s="84" t="s">
        <v>258</v>
      </c>
      <c r="D41" s="85" t="s">
        <v>259</v>
      </c>
      <c r="E41" s="86" t="n">
        <v>0.423</v>
      </c>
      <c r="F41" s="85" t="s">
        <v>260</v>
      </c>
      <c r="G41" s="84" t="n">
        <v>431</v>
      </c>
      <c r="H41" s="43" t="n">
        <f aca="false">IF(F41="LEVEL", 1, VLOOKUP(F41,ActivityStats!$C$4:$D$12,2,FALSE()))</f>
        <v>0.0140074682496996</v>
      </c>
      <c r="I41" s="49" t="n">
        <f aca="false">365*24*60</f>
        <v>525600</v>
      </c>
      <c r="J41" s="49" t="n">
        <f aca="false">H41*I41</f>
        <v>7362.32531204211</v>
      </c>
      <c r="K41" s="46" t="n">
        <f aca="false">J41/I41</f>
        <v>0.0140074682496996</v>
      </c>
      <c r="L41" s="87" t="n">
        <f aca="false">IF(F41="level",FALSE(), TRUE())</f>
        <v>1</v>
      </c>
      <c r="M41" s="46" t="n">
        <f aca="false">IF(L41 = FALSE(),1,ActivityStats!$D$12)</f>
        <v>0.47775902852124</v>
      </c>
      <c r="N41" s="88" t="n">
        <f aca="false">M41*I41</f>
        <v>251110.145390764</v>
      </c>
      <c r="O41" s="46" t="n">
        <f aca="false">K41/M41</f>
        <v>0.0293191073605778</v>
      </c>
      <c r="P41" s="90" t="n">
        <v>2500</v>
      </c>
      <c r="Q41" s="90" t="n">
        <v>0</v>
      </c>
      <c r="R41" s="90" t="n">
        <f aca="false">IF(Q41&gt;0, TRUE(), FALSE())</f>
        <v>0</v>
      </c>
      <c r="S41" s="27" t="n">
        <f aca="false">P41*T41/(60*1000)</f>
        <v>2.5</v>
      </c>
      <c r="T41" s="84" t="n">
        <v>60</v>
      </c>
      <c r="U41" s="84" t="n">
        <v>0</v>
      </c>
      <c r="V41" s="84" t="n">
        <v>1</v>
      </c>
      <c r="W41" s="51" t="n">
        <f aca="false">V41*I41/(60*1000)</f>
        <v>8.76</v>
      </c>
      <c r="X41" s="94" t="n">
        <v>313.820216429956</v>
      </c>
      <c r="Y41" s="51" t="n">
        <f aca="false">X41-W41</f>
        <v>305.060216429956</v>
      </c>
      <c r="Z41" s="92" t="n">
        <f aca="false">Y41/((P41-V41)*T41)*60*1000</f>
        <v>122.072915738278</v>
      </c>
      <c r="AA41" s="93" t="n">
        <f aca="false">Z41*T41</f>
        <v>7324.37494429666</v>
      </c>
      <c r="AB41" s="93" t="n">
        <f aca="false">Z41*U41</f>
        <v>0</v>
      </c>
      <c r="AC41" s="52" t="n">
        <f aca="false">N41-AA41-AB41</f>
        <v>243785.770446467</v>
      </c>
      <c r="AD41" s="52" t="n">
        <f aca="false">AC41*O41</f>
        <v>7147.58117670115</v>
      </c>
      <c r="AE41" s="52" t="n">
        <f aca="false">AD41/Z41</f>
        <v>58.5517363411344</v>
      </c>
      <c r="AF41" s="94" t="n">
        <f aca="false">1/AE41</f>
        <v>0.0170789128126585</v>
      </c>
      <c r="AG41" s="52" t="n">
        <f aca="false">X41*E41</f>
        <v>132.745951549871</v>
      </c>
      <c r="AH41" s="27" t="n">
        <v>0.8</v>
      </c>
      <c r="AI41" s="33" t="n">
        <v>0.2</v>
      </c>
      <c r="AJ41" s="27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11"/>
      <c r="AX41" s="27"/>
      <c r="AY41" s="27"/>
      <c r="AZ41" s="27"/>
      <c r="BA41" s="27"/>
      <c r="BB41" s="27"/>
      <c r="BC41" s="27"/>
      <c r="BD41" s="27"/>
      <c r="BE41" s="11"/>
      <c r="BF41" s="27"/>
    </row>
    <row r="42" customFormat="false" ht="12.8" hidden="false" customHeight="false" outlineLevel="0" collapsed="false">
      <c r="A42" s="95"/>
      <c r="B42" s="83" t="s">
        <v>261</v>
      </c>
      <c r="C42" s="84" t="s">
        <v>262</v>
      </c>
      <c r="D42" s="85" t="s">
        <v>263</v>
      </c>
      <c r="E42" s="86" t="n">
        <v>0.95</v>
      </c>
      <c r="F42" s="85" t="s">
        <v>260</v>
      </c>
      <c r="G42" s="84" t="n">
        <v>431</v>
      </c>
      <c r="H42" s="43" t="n">
        <f aca="false">IF(F42="LEVEL", 1, VLOOKUP(F42,ActivityStats!$C$4:$D$12,2,FALSE()))</f>
        <v>0.0140074682496996</v>
      </c>
      <c r="I42" s="49" t="n">
        <f aca="false">365*24*60</f>
        <v>525600</v>
      </c>
      <c r="J42" s="49" t="n">
        <f aca="false">H42*I42</f>
        <v>7362.32531204211</v>
      </c>
      <c r="K42" s="46" t="n">
        <f aca="false">J42/I42</f>
        <v>0.0140074682496996</v>
      </c>
      <c r="L42" s="87" t="n">
        <f aca="false">IF(F42="level",FALSE(), TRUE())</f>
        <v>1</v>
      </c>
      <c r="M42" s="46" t="n">
        <f aca="false">IF(L42 = FALSE(),1,ActivityStats!$D$12)</f>
        <v>0.47775902852124</v>
      </c>
      <c r="N42" s="88" t="n">
        <f aca="false">M42*I42</f>
        <v>251110.145390764</v>
      </c>
      <c r="O42" s="46" t="n">
        <f aca="false">K42/M42</f>
        <v>0.0293191073605778</v>
      </c>
      <c r="P42" s="90" t="n">
        <v>405.54347826087</v>
      </c>
      <c r="Q42" s="90" t="n">
        <v>0</v>
      </c>
      <c r="R42" s="90" t="n">
        <f aca="false">IF(Q42&gt;0, TRUE(), FALSE())</f>
        <v>0</v>
      </c>
      <c r="S42" s="27" t="n">
        <f aca="false">P42*T42/(60*1000)</f>
        <v>0.932750000000001</v>
      </c>
      <c r="T42" s="84" t="n">
        <v>138</v>
      </c>
      <c r="U42" s="84" t="n">
        <v>0</v>
      </c>
      <c r="V42" s="84" t="n">
        <v>1</v>
      </c>
      <c r="W42" s="51" t="n">
        <f aca="false">V42*I42/(60*1000)</f>
        <v>8.76</v>
      </c>
      <c r="X42" s="94" t="n">
        <v>191.041292123096</v>
      </c>
      <c r="Y42" s="51" t="n">
        <f aca="false">X42-W42</f>
        <v>182.281292123096</v>
      </c>
      <c r="Z42" s="92" t="n">
        <f aca="false">Y42/((P42-V42)*T42)*60*1000</f>
        <v>195.906595865544</v>
      </c>
      <c r="AA42" s="93" t="n">
        <f aca="false">Z42*T42</f>
        <v>27035.1102294451</v>
      </c>
      <c r="AB42" s="93" t="n">
        <f aca="false">Z42*U42</f>
        <v>0</v>
      </c>
      <c r="AC42" s="52" t="n">
        <f aca="false">N42-AA42-AB42</f>
        <v>224075.035161319</v>
      </c>
      <c r="AD42" s="52" t="n">
        <f aca="false">AC42*O42</f>
        <v>6569.68001271995</v>
      </c>
      <c r="AE42" s="52" t="n">
        <f aca="false">AD42/Z42</f>
        <v>33.5347566205933</v>
      </c>
      <c r="AF42" s="94" t="n">
        <f aca="false">1/AE42</f>
        <v>0.0298198078880916</v>
      </c>
      <c r="AG42" s="52" t="n">
        <f aca="false">X42*E42</f>
        <v>181.489227516941</v>
      </c>
      <c r="AH42" s="27" t="n">
        <v>0.8</v>
      </c>
      <c r="AI42" s="33" t="n">
        <v>0.2</v>
      </c>
      <c r="AJ42" s="27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11"/>
      <c r="AX42" s="27"/>
      <c r="AY42" s="51"/>
      <c r="AZ42" s="51"/>
      <c r="BA42" s="51"/>
      <c r="BB42" s="51"/>
      <c r="BC42" s="51"/>
      <c r="BD42" s="51"/>
      <c r="BE42" s="11"/>
      <c r="BF42" s="27"/>
    </row>
    <row r="43" customFormat="false" ht="12.8" hidden="false" customHeight="false" outlineLevel="0" collapsed="false">
      <c r="A43" s="95"/>
      <c r="B43" s="29" t="s">
        <v>264</v>
      </c>
      <c r="C43" s="84" t="s">
        <v>265</v>
      </c>
      <c r="D43" s="85" t="s">
        <v>266</v>
      </c>
      <c r="E43" s="106" t="n">
        <v>0.153</v>
      </c>
      <c r="F43" s="85" t="s">
        <v>260</v>
      </c>
      <c r="G43" s="84" t="n">
        <v>431</v>
      </c>
      <c r="H43" s="43" t="n">
        <f aca="false">IF(F43="LEVEL", 1, VLOOKUP(F43,ActivityStats!$C$4:$D$12,2,FALSE()))</f>
        <v>0.0140074682496996</v>
      </c>
      <c r="I43" s="49" t="n">
        <f aca="false">365*24*60</f>
        <v>525600</v>
      </c>
      <c r="J43" s="49" t="n">
        <f aca="false">H43*I43</f>
        <v>7362.32531204211</v>
      </c>
      <c r="K43" s="46" t="n">
        <f aca="false">J43/I43</f>
        <v>0.0140074682496996</v>
      </c>
      <c r="L43" s="87" t="n">
        <f aca="false">IF(F43="level",FALSE(), TRUE())</f>
        <v>1</v>
      </c>
      <c r="M43" s="46" t="n">
        <f aca="false">IF(L43 = FALSE(),1,ActivityStats!$D$12)</f>
        <v>0.47775902852124</v>
      </c>
      <c r="N43" s="88" t="n">
        <f aca="false">M43*I43</f>
        <v>251110.145390764</v>
      </c>
      <c r="O43" s="46" t="n">
        <f aca="false">K43/M43</f>
        <v>0.0293191073605778</v>
      </c>
      <c r="P43" s="90" t="n">
        <v>792.034786057664</v>
      </c>
      <c r="Q43" s="90" t="n">
        <v>0</v>
      </c>
      <c r="R43" s="90" t="n">
        <f aca="false">IF(Q43&gt;0, TRUE(), FALSE())</f>
        <v>0</v>
      </c>
      <c r="S43" s="27" t="n">
        <f aca="false">P43*T43/(60*1000)</f>
        <v>2.61371479399029</v>
      </c>
      <c r="T43" s="84" t="n">
        <v>198</v>
      </c>
      <c r="U43" s="84" t="n">
        <v>0</v>
      </c>
      <c r="V43" s="84" t="n">
        <v>1</v>
      </c>
      <c r="W43" s="51" t="n">
        <f aca="false">V43*I43/(60*1000)</f>
        <v>8.76</v>
      </c>
      <c r="X43" s="94" t="n">
        <v>520.157476087695</v>
      </c>
      <c r="Y43" s="51" t="n">
        <f aca="false">X43-W43</f>
        <v>511.397476087695</v>
      </c>
      <c r="Z43" s="92" t="n">
        <f aca="false">Y43/((P43-V43)*T43)*60*1000</f>
        <v>195.906595865545</v>
      </c>
      <c r="AA43" s="93" t="n">
        <f aca="false">Z43*T43</f>
        <v>38789.5059813778</v>
      </c>
      <c r="AB43" s="93" t="n">
        <f aca="false">Z43*U43</f>
        <v>0</v>
      </c>
      <c r="AC43" s="52" t="n">
        <f aca="false">N43-AA43-AB43</f>
        <v>212320.639409386</v>
      </c>
      <c r="AD43" s="52" t="n">
        <f aca="false">AC43*O43</f>
        <v>6225.05162171032</v>
      </c>
      <c r="AE43" s="52" t="n">
        <f aca="false">AD43/Z43</f>
        <v>31.7756101789585</v>
      </c>
      <c r="AF43" s="94" t="n">
        <f aca="false">1/AE43</f>
        <v>0.0314706781197294</v>
      </c>
      <c r="AG43" s="52" t="n">
        <f aca="false">X43*E41</f>
        <v>220.026612385095</v>
      </c>
      <c r="AH43" s="27" t="n">
        <v>0.8</v>
      </c>
      <c r="AI43" s="33" t="n">
        <v>0.2</v>
      </c>
      <c r="AJ43" s="27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11"/>
      <c r="AX43" s="27"/>
      <c r="AY43" s="52"/>
      <c r="AZ43" s="52"/>
      <c r="BA43" s="52"/>
      <c r="BB43" s="52"/>
      <c r="BC43" s="52"/>
      <c r="BD43" s="52"/>
      <c r="BE43" s="11"/>
      <c r="BF43" s="27"/>
    </row>
    <row r="44" customFormat="false" ht="12.8" hidden="false" customHeight="false" outlineLevel="0" collapsed="false">
      <c r="A44" s="20"/>
      <c r="B44" s="21" t="s">
        <v>267</v>
      </c>
      <c r="C44" s="24" t="s">
        <v>268</v>
      </c>
      <c r="D44" s="85" t="s">
        <v>269</v>
      </c>
      <c r="E44" s="107" t="n">
        <v>0.994</v>
      </c>
      <c r="F44" s="85" t="s">
        <v>270</v>
      </c>
      <c r="G44" s="24"/>
      <c r="H44" s="43" t="n">
        <f aca="false">IF(F44="LEVEL", 1, VLOOKUP(F44,ActivityStats!$C$4:$D$12,2,FALSE()))</f>
        <v>0.133577668606201</v>
      </c>
      <c r="I44" s="45" t="n">
        <f aca="false">24*60</f>
        <v>1440</v>
      </c>
      <c r="J44" s="45" t="n">
        <f aca="false">H44*I44</f>
        <v>192.351842792929</v>
      </c>
      <c r="K44" s="46" t="n">
        <f aca="false">J44/I44</f>
        <v>0.133577668606201</v>
      </c>
      <c r="L44" s="87" t="n">
        <f aca="false">IF(F44="level",FALSE(), TRUE())</f>
        <v>1</v>
      </c>
      <c r="M44" s="46" t="n">
        <f aca="false">IF(L44 = FALSE(),1,ActivityStats!$D$12)</f>
        <v>0.47775902852124</v>
      </c>
      <c r="N44" s="88" t="n">
        <f aca="false">M44*I44</f>
        <v>687.973001070586</v>
      </c>
      <c r="O44" s="46" t="n">
        <f aca="false">K44/M44</f>
        <v>0.279592138781031</v>
      </c>
      <c r="P44" s="108" t="n">
        <v>0</v>
      </c>
      <c r="Q44" s="108" t="n">
        <v>3.54</v>
      </c>
      <c r="R44" s="109" t="n">
        <f aca="false">IF(Q44&gt;0, TRUE(), FALSE())</f>
        <v>1</v>
      </c>
      <c r="S44" s="24" t="n">
        <f aca="false">[1]WaterUsage!D5</f>
        <v>0</v>
      </c>
      <c r="T44" s="108" t="n">
        <f aca="false">S44/Q44</f>
        <v>0</v>
      </c>
      <c r="U44" s="24" t="n">
        <v>0</v>
      </c>
      <c r="V44" s="108" t="n">
        <v>0</v>
      </c>
      <c r="W44" s="24" t="n">
        <f aca="false">V44*I44</f>
        <v>0</v>
      </c>
      <c r="X44" s="47" t="n">
        <v>22</v>
      </c>
      <c r="Y44" s="47" t="n">
        <f aca="false">X44-W44</f>
        <v>22</v>
      </c>
      <c r="Z44" s="110" t="e">
        <f aca="false">Y44/((Q44-V44)*T44)</f>
        <v>#DIV/0!</v>
      </c>
      <c r="AA44" s="93" t="e">
        <f aca="false">Z44*T44</f>
        <v>#DIV/0!</v>
      </c>
      <c r="AB44" s="93" t="e">
        <f aca="false">Z44*U44</f>
        <v>#DIV/0!</v>
      </c>
      <c r="AC44" s="52" t="e">
        <f aca="false">N44-AA44-AB44</f>
        <v>#DIV/0!</v>
      </c>
      <c r="AD44" s="52" t="e">
        <f aca="false">AC44*O44</f>
        <v>#DIV/0!</v>
      </c>
      <c r="AE44" s="52" t="e">
        <f aca="false">AD44/Z44</f>
        <v>#DIV/0!</v>
      </c>
      <c r="AF44" s="51" t="e">
        <f aca="false">1/AE44</f>
        <v>#DIV/0!</v>
      </c>
      <c r="AG44" s="47" t="n">
        <f aca="false">X44*E44</f>
        <v>21.868</v>
      </c>
      <c r="AH44" s="24"/>
      <c r="AI44" s="111" t="n">
        <v>0</v>
      </c>
      <c r="AJ44" s="27"/>
      <c r="AK44" s="52"/>
      <c r="AL44" s="52"/>
      <c r="AM44" s="52"/>
      <c r="AN44" s="52"/>
      <c r="AO44" s="27"/>
      <c r="AP44" s="27"/>
      <c r="AQ44" s="27"/>
      <c r="AR44" s="27"/>
      <c r="AS44" s="27"/>
      <c r="AT44" s="27"/>
      <c r="AU44" s="27"/>
      <c r="AV44" s="27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customFormat="false" ht="12.8" hidden="false" customHeight="false" outlineLevel="0" collapsed="false">
      <c r="A45" s="95"/>
      <c r="B45" s="29" t="s">
        <v>271</v>
      </c>
      <c r="C45" s="27" t="s">
        <v>272</v>
      </c>
      <c r="D45" s="85" t="s">
        <v>273</v>
      </c>
      <c r="E45" s="112" t="n">
        <v>1</v>
      </c>
      <c r="F45" s="85" t="s">
        <v>236</v>
      </c>
      <c r="G45" s="27"/>
      <c r="H45" s="43" t="n">
        <f aca="false">IF(F45="LEVEL", 1, VLOOKUP(F45,ActivityStats!$C$4:$D$12,2,FALSE()))</f>
        <v>0.0606130677183567</v>
      </c>
      <c r="I45" s="49" t="n">
        <f aca="false">24*60</f>
        <v>1440</v>
      </c>
      <c r="J45" s="49" t="n">
        <f aca="false">H45*I45</f>
        <v>87.2828175144337</v>
      </c>
      <c r="K45" s="46" t="n">
        <f aca="false">J45/I45</f>
        <v>0.0606130677183567</v>
      </c>
      <c r="L45" s="87" t="n">
        <f aca="false">IF(F45="level",FALSE(), TRUE())</f>
        <v>1</v>
      </c>
      <c r="M45" s="46" t="n">
        <f aca="false">IF(L45 = FALSE(),1,ActivityStats!$D$12)</f>
        <v>0.47775902852124</v>
      </c>
      <c r="N45" s="88" t="n">
        <f aca="false">M45*I45</f>
        <v>687.973001070586</v>
      </c>
      <c r="O45" s="46" t="n">
        <f aca="false">K45/M45</f>
        <v>0.12686953903512</v>
      </c>
      <c r="P45" s="113" t="n">
        <v>0</v>
      </c>
      <c r="Q45" s="113" t="n">
        <v>3.54</v>
      </c>
      <c r="R45" s="109" t="n">
        <f aca="false">IF(Q45&gt;0, TRUE(), FALSE())</f>
        <v>1</v>
      </c>
      <c r="S45" s="27" t="n">
        <f aca="false">[1]WaterUsage!D5</f>
        <v>0</v>
      </c>
      <c r="T45" s="108" t="n">
        <f aca="false">S45/Q45</f>
        <v>0</v>
      </c>
      <c r="U45" s="27" t="n">
        <v>0</v>
      </c>
      <c r="V45" s="113" t="n">
        <v>0</v>
      </c>
      <c r="W45" s="27" t="n">
        <f aca="false">V45*I45</f>
        <v>0</v>
      </c>
      <c r="X45" s="52" t="n">
        <f aca="false">AVERAGE(22,40)</f>
        <v>31</v>
      </c>
      <c r="Y45" s="52" t="n">
        <f aca="false">X45-W45</f>
        <v>31</v>
      </c>
      <c r="Z45" s="110" t="e">
        <f aca="false">Y45/((Q45-V45)*T45)</f>
        <v>#DIV/0!</v>
      </c>
      <c r="AA45" s="93" t="e">
        <f aca="false">Z45*T45</f>
        <v>#DIV/0!</v>
      </c>
      <c r="AB45" s="93" t="e">
        <f aca="false">Z45*U45</f>
        <v>#DIV/0!</v>
      </c>
      <c r="AC45" s="52" t="e">
        <f aca="false">N45-AA45-AB45</f>
        <v>#DIV/0!</v>
      </c>
      <c r="AD45" s="52" t="e">
        <f aca="false">AC45*O45</f>
        <v>#DIV/0!</v>
      </c>
      <c r="AE45" s="52" t="e">
        <f aca="false">AD45/Z45</f>
        <v>#DIV/0!</v>
      </c>
      <c r="AF45" s="51" t="e">
        <f aca="false">1/AE45</f>
        <v>#DIV/0!</v>
      </c>
      <c r="AG45" s="52" t="n">
        <f aca="false">X45*E45</f>
        <v>31</v>
      </c>
      <c r="AH45" s="27"/>
      <c r="AI45" s="55" t="n">
        <v>0</v>
      </c>
      <c r="AJ45" s="27"/>
      <c r="AK45" s="52"/>
      <c r="AL45" s="52"/>
      <c r="AM45" s="52"/>
      <c r="AN45" s="52"/>
      <c r="AO45" s="27"/>
      <c r="AP45" s="27"/>
      <c r="AQ45" s="27"/>
      <c r="AR45" s="27"/>
      <c r="AS45" s="27"/>
      <c r="AT45" s="27"/>
      <c r="AU45" s="27"/>
      <c r="AV45" s="27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customFormat="false" ht="12.8" hidden="false" customHeight="false" outlineLevel="0" collapsed="false">
      <c r="A46" s="95"/>
      <c r="B46" s="29" t="s">
        <v>274</v>
      </c>
      <c r="C46" s="27" t="s">
        <v>275</v>
      </c>
      <c r="D46" s="85" t="s">
        <v>276</v>
      </c>
      <c r="E46" s="112" t="n">
        <v>0.997</v>
      </c>
      <c r="F46" s="85" t="s">
        <v>270</v>
      </c>
      <c r="G46" s="27"/>
      <c r="H46" s="43" t="n">
        <f aca="false">IF(F46="LEVEL", 1, VLOOKUP(F46,ActivityStats!$C$4:$D$12,2,FALSE()))</f>
        <v>0.133577668606201</v>
      </c>
      <c r="I46" s="49" t="n">
        <f aca="false">24*60</f>
        <v>1440</v>
      </c>
      <c r="J46" s="49" t="n">
        <f aca="false">H46*I46</f>
        <v>192.351842792929</v>
      </c>
      <c r="K46" s="46" t="n">
        <f aca="false">J46/I46</f>
        <v>0.133577668606201</v>
      </c>
      <c r="L46" s="87" t="n">
        <f aca="false">IF(F46="level",FALSE(), TRUE())</f>
        <v>1</v>
      </c>
      <c r="M46" s="46" t="n">
        <f aca="false">IF(L46 = FALSE(),1,ActivityStats!$D$12)</f>
        <v>0.47775902852124</v>
      </c>
      <c r="N46" s="88" t="n">
        <f aca="false">M46*I46</f>
        <v>687.973001070586</v>
      </c>
      <c r="O46" s="46" t="n">
        <f aca="false">K46/M46</f>
        <v>0.279592138781031</v>
      </c>
      <c r="P46" s="113" t="n">
        <v>0</v>
      </c>
      <c r="Q46" s="113" t="n">
        <v>9.26</v>
      </c>
      <c r="R46" s="109" t="n">
        <f aca="false">IF(Q46&gt;0, TRUE(), FALSE())</f>
        <v>1</v>
      </c>
      <c r="S46" s="27" t="n">
        <f aca="false">[1]WaterUsage!E5</f>
        <v>0</v>
      </c>
      <c r="T46" s="108" t="n">
        <f aca="false">S46/Q46</f>
        <v>0</v>
      </c>
      <c r="U46" s="27" t="n">
        <v>0</v>
      </c>
      <c r="V46" s="113" t="n">
        <v>0</v>
      </c>
      <c r="W46" s="27" t="n">
        <f aca="false">V46*I46</f>
        <v>0</v>
      </c>
      <c r="X46" s="52" t="n">
        <f aca="false">0.6*[1]ActivityStats!C19*[1]WaterUsage!E5</f>
        <v>0</v>
      </c>
      <c r="Y46" s="52" t="n">
        <f aca="false">X46-W46</f>
        <v>0</v>
      </c>
      <c r="Z46" s="110" t="e">
        <f aca="false">Y46/((Q46-V46)*T46)</f>
        <v>#DIV/0!</v>
      </c>
      <c r="AA46" s="93" t="e">
        <f aca="false">Z46*T46</f>
        <v>#DIV/0!</v>
      </c>
      <c r="AB46" s="93" t="e">
        <f aca="false">Z46*U46</f>
        <v>#DIV/0!</v>
      </c>
      <c r="AC46" s="52" t="e">
        <f aca="false">N46-AA46-AB46</f>
        <v>#DIV/0!</v>
      </c>
      <c r="AD46" s="52" t="e">
        <f aca="false">AC46*O46</f>
        <v>#DIV/0!</v>
      </c>
      <c r="AE46" s="52" t="e">
        <f aca="false">AD46/Z46</f>
        <v>#DIV/0!</v>
      </c>
      <c r="AF46" s="51" t="e">
        <f aca="false">1/AE46</f>
        <v>#DIV/0!</v>
      </c>
      <c r="AG46" s="52" t="n">
        <f aca="false">X46*E46</f>
        <v>0</v>
      </c>
      <c r="AH46" s="27"/>
      <c r="AI46" s="55" t="n">
        <v>0</v>
      </c>
      <c r="AJ46" s="27"/>
      <c r="AK46" s="52"/>
      <c r="AL46" s="52"/>
      <c r="AM46" s="52"/>
      <c r="AN46" s="52"/>
      <c r="AO46" s="27"/>
      <c r="AP46" s="27"/>
      <c r="AQ46" s="27"/>
      <c r="AR46" s="27"/>
      <c r="AS46" s="27"/>
      <c r="AT46" s="27"/>
      <c r="AU46" s="27"/>
      <c r="AV46" s="27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customFormat="false" ht="12.8" hidden="false" customHeight="false" outlineLevel="0" collapsed="false">
      <c r="A47" s="35"/>
      <c r="B47" s="36" t="s">
        <v>277</v>
      </c>
      <c r="C47" s="37" t="s">
        <v>278</v>
      </c>
      <c r="D47" s="85" t="s">
        <v>279</v>
      </c>
      <c r="E47" s="114" t="n">
        <v>0.916</v>
      </c>
      <c r="F47" s="85" t="s">
        <v>270</v>
      </c>
      <c r="G47" s="37"/>
      <c r="H47" s="43" t="n">
        <f aca="false">IF(F47="LEVEL", 1, VLOOKUP(F47,ActivityStats!$C$4:$D$12,2,FALSE()))</f>
        <v>0.133577668606201</v>
      </c>
      <c r="I47" s="115" t="n">
        <f aca="false">24*60</f>
        <v>1440</v>
      </c>
      <c r="J47" s="115" t="n">
        <f aca="false">H47*I47</f>
        <v>192.351842792929</v>
      </c>
      <c r="K47" s="116" t="n">
        <f aca="false">J47/I47</f>
        <v>0.133577668606201</v>
      </c>
      <c r="L47" s="87" t="n">
        <f aca="false">IF(F47="level",FALSE(), TRUE())</f>
        <v>1</v>
      </c>
      <c r="M47" s="46" t="n">
        <f aca="false">IF(L47 = FALSE(),1,ActivityStats!$D$12)</f>
        <v>0.47775902852124</v>
      </c>
      <c r="N47" s="117" t="n">
        <f aca="false">M47*I47</f>
        <v>687.973001070586</v>
      </c>
      <c r="O47" s="116" t="n">
        <f aca="false">K47/M47</f>
        <v>0.279592138781031</v>
      </c>
      <c r="P47" s="118" t="n">
        <v>0</v>
      </c>
      <c r="Q47" s="118" t="n">
        <v>9.26</v>
      </c>
      <c r="R47" s="109" t="n">
        <f aca="false">IF(Q47&gt;0, TRUE(), FALSE())</f>
        <v>1</v>
      </c>
      <c r="S47" s="37" t="n">
        <f aca="false">[1]WaterUsage!F5</f>
        <v>0</v>
      </c>
      <c r="T47" s="108" t="n">
        <f aca="false">S47/Q47</f>
        <v>0</v>
      </c>
      <c r="U47" s="37" t="n">
        <v>20</v>
      </c>
      <c r="V47" s="118" t="n">
        <v>0</v>
      </c>
      <c r="W47" s="37" t="n">
        <f aca="false">V47*I47</f>
        <v>0</v>
      </c>
      <c r="X47" s="119" t="n">
        <v>38</v>
      </c>
      <c r="Y47" s="119" t="n">
        <f aca="false">X47-W47</f>
        <v>38</v>
      </c>
      <c r="Z47" s="110" t="e">
        <f aca="false">Y47/((Q47-V47)*T47)</f>
        <v>#DIV/0!</v>
      </c>
      <c r="AA47" s="120" t="e">
        <f aca="false">Z47*T47</f>
        <v>#DIV/0!</v>
      </c>
      <c r="AB47" s="120" t="e">
        <f aca="false">Z47*U47</f>
        <v>#DIV/0!</v>
      </c>
      <c r="AC47" s="119" t="e">
        <f aca="false">N47-AA47-AB47</f>
        <v>#DIV/0!</v>
      </c>
      <c r="AD47" s="119" t="e">
        <f aca="false">AC47*O47</f>
        <v>#DIV/0!</v>
      </c>
      <c r="AE47" s="119" t="e">
        <f aca="false">AD47/Z47</f>
        <v>#DIV/0!</v>
      </c>
      <c r="AF47" s="121" t="e">
        <f aca="false">1/AE47</f>
        <v>#DIV/0!</v>
      </c>
      <c r="AG47" s="119" t="n">
        <f aca="false">X47*E47</f>
        <v>34.808</v>
      </c>
      <c r="AH47" s="37"/>
      <c r="AI47" s="59" t="n">
        <v>0</v>
      </c>
      <c r="AJ47" s="27"/>
      <c r="AK47" s="52"/>
      <c r="AL47" s="52"/>
      <c r="AM47" s="52"/>
      <c r="AN47" s="52"/>
      <c r="AO47" s="27"/>
      <c r="AP47" s="27"/>
      <c r="AQ47" s="27"/>
      <c r="AR47" s="27"/>
      <c r="AS47" s="27"/>
      <c r="AT47" s="27"/>
      <c r="AU47" s="27"/>
      <c r="AV47" s="27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3" min="3" style="0" width="18.2"/>
    <col collapsed="false" customWidth="true" hidden="false" outlineLevel="0" max="4" min="4" style="0" width="17.36"/>
  </cols>
  <sheetData>
    <row r="1" customFormat="false" ht="15" hidden="false" customHeight="false" outlineLevel="0" collapsed="false">
      <c r="A1" s="11"/>
      <c r="B1" s="10" t="s">
        <v>280</v>
      </c>
      <c r="C1" s="11"/>
      <c r="D1" s="11"/>
    </row>
    <row r="2" customFormat="false" ht="15" hidden="false" customHeight="false" outlineLevel="0" collapsed="false">
      <c r="A2" s="11"/>
      <c r="B2" s="10"/>
      <c r="C2" s="11"/>
      <c r="D2" s="11"/>
    </row>
    <row r="3" customFormat="false" ht="64.15" hidden="false" customHeight="false" outlineLevel="0" collapsed="false">
      <c r="A3" s="122"/>
      <c r="B3" s="123" t="s">
        <v>1</v>
      </c>
      <c r="C3" s="124" t="s">
        <v>281</v>
      </c>
      <c r="D3" s="125" t="s">
        <v>282</v>
      </c>
    </row>
    <row r="4" customFormat="false" ht="19.4" hidden="false" customHeight="false" outlineLevel="0" collapsed="false">
      <c r="A4" s="122"/>
      <c r="B4" s="126" t="s">
        <v>283</v>
      </c>
      <c r="C4" s="85" t="s">
        <v>221</v>
      </c>
      <c r="D4" s="127" t="n">
        <v>0.228549421174936</v>
      </c>
    </row>
    <row r="5" customFormat="false" ht="28.35" hidden="false" customHeight="false" outlineLevel="0" collapsed="false">
      <c r="A5" s="122"/>
      <c r="B5" s="126" t="s">
        <v>284</v>
      </c>
      <c r="C5" s="85" t="s">
        <v>236</v>
      </c>
      <c r="D5" s="127" t="n">
        <v>0.0606130677183567</v>
      </c>
    </row>
    <row r="6" customFormat="false" ht="12.8" hidden="false" customHeight="false" outlineLevel="0" collapsed="false">
      <c r="A6" s="122"/>
      <c r="B6" s="126" t="s">
        <v>285</v>
      </c>
      <c r="C6" s="85" t="s">
        <v>260</v>
      </c>
      <c r="D6" s="127" t="n">
        <v>0.0140074682496996</v>
      </c>
    </row>
    <row r="7" customFormat="false" ht="19.4" hidden="false" customHeight="false" outlineLevel="0" collapsed="false">
      <c r="A7" s="122"/>
      <c r="B7" s="126" t="s">
        <v>286</v>
      </c>
      <c r="C7" s="85" t="s">
        <v>270</v>
      </c>
      <c r="D7" s="127" t="n">
        <v>0.133577668606201</v>
      </c>
    </row>
    <row r="8" customFormat="false" ht="12.8" hidden="false" customHeight="false" outlineLevel="0" collapsed="false">
      <c r="A8" s="122"/>
      <c r="B8" s="126" t="s">
        <v>287</v>
      </c>
      <c r="C8" s="85" t="s">
        <v>198</v>
      </c>
      <c r="D8" s="127" t="n">
        <v>0.00809295793279327</v>
      </c>
    </row>
    <row r="9" customFormat="false" ht="19.4" hidden="false" customHeight="false" outlineLevel="0" collapsed="false">
      <c r="A9" s="122"/>
      <c r="B9" s="126" t="s">
        <v>288</v>
      </c>
      <c r="C9" s="85" t="s">
        <v>202</v>
      </c>
      <c r="D9" s="127" t="n">
        <v>0.0529504866187396</v>
      </c>
    </row>
    <row r="10" customFormat="false" ht="19.4" hidden="false" customHeight="false" outlineLevel="0" collapsed="false">
      <c r="A10" s="122"/>
      <c r="B10" s="126" t="s">
        <v>289</v>
      </c>
      <c r="C10" s="85" t="s">
        <v>206</v>
      </c>
      <c r="D10" s="127" t="n">
        <v>0.0456507194552938</v>
      </c>
    </row>
    <row r="11" customFormat="false" ht="19.4" hidden="false" customHeight="false" outlineLevel="0" collapsed="false">
      <c r="A11" s="122"/>
      <c r="B11" s="126" t="s">
        <v>290</v>
      </c>
      <c r="C11" s="85" t="s">
        <v>256</v>
      </c>
      <c r="D11" s="127" t="n">
        <v>0.0216761223953879</v>
      </c>
    </row>
    <row r="12" customFormat="false" ht="19.4" hidden="false" customHeight="false" outlineLevel="0" collapsed="false">
      <c r="A12" s="122"/>
      <c r="B12" s="128" t="s">
        <v>81</v>
      </c>
      <c r="C12" s="85" t="s">
        <v>194</v>
      </c>
      <c r="D12" s="127" t="n">
        <v>0.47775902852124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S79"/>
  <sheetViews>
    <sheetView showFormulas="false" showGridLines="true" showRowColHeaders="true" showZeros="true" rightToLeft="false" tabSelected="false" showOutlineSymbols="true" defaultGridColor="true" view="normal" topLeftCell="B36" colorId="64" zoomScale="120" zoomScaleNormal="120" zoomScalePageLayoutView="100" workbookViewId="0">
      <selection pane="topLeft" activeCell="T10" activeCellId="0" sqref="T10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26.51"/>
    <col collapsed="false" customWidth="true" hidden="false" outlineLevel="0" max="4" min="4" style="0" width="22.36"/>
  </cols>
  <sheetData>
    <row r="1" customFormat="false" ht="15" hidden="false" customHeight="false" outlineLevel="0" collapsed="false">
      <c r="A1" s="129"/>
      <c r="B1" s="10" t="s">
        <v>291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customFormat="false" ht="12.8" hidden="false" customHeight="false" outlineLevel="0" collapsed="false">
      <c r="A2" s="129"/>
      <c r="B2" s="130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</row>
    <row r="3" customFormat="false" ht="12.8" hidden="false" customHeight="false" outlineLevel="0" collapsed="false">
      <c r="A3" s="129"/>
      <c r="B3" s="130" t="s">
        <v>292</v>
      </c>
      <c r="C3" s="129"/>
      <c r="D3" s="129"/>
      <c r="E3" s="129"/>
      <c r="F3" s="129" t="s">
        <v>293</v>
      </c>
      <c r="G3" s="129" t="s">
        <v>294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customFormat="false" ht="12.8" hidden="false" customHeight="false" outlineLevel="0" collapsed="false">
      <c r="A4" s="129"/>
      <c r="B4" s="130"/>
      <c r="C4" s="129"/>
      <c r="D4" s="131" t="s">
        <v>295</v>
      </c>
      <c r="E4" s="132"/>
      <c r="F4" s="133" t="n">
        <v>60</v>
      </c>
      <c r="G4" s="133" t="n">
        <v>10</v>
      </c>
      <c r="H4" s="129" t="s">
        <v>296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</row>
    <row r="5" customFormat="false" ht="12.8" hidden="false" customHeight="false" outlineLevel="0" collapsed="false">
      <c r="A5" s="129"/>
      <c r="B5" s="130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6" customFormat="false" ht="12.8" hidden="false" customHeight="false" outlineLevel="0" collapsed="false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customFormat="false" ht="12.8" hidden="false" customHeight="false" outlineLevel="0" collapsed="false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 t="s">
        <v>297</v>
      </c>
      <c r="S7" s="130" t="s">
        <v>298</v>
      </c>
    </row>
    <row r="8" customFormat="false" ht="12.8" hidden="false" customHeight="false" outlineLevel="0" collapsed="false">
      <c r="A8" s="129"/>
      <c r="B8" s="130" t="s">
        <v>299</v>
      </c>
      <c r="C8" s="129"/>
      <c r="D8" s="129" t="s">
        <v>300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S8" s="130" t="s">
        <v>301</v>
      </c>
    </row>
    <row r="9" customFormat="false" ht="12.8" hidden="false" customHeight="false" outlineLevel="0" collapsed="false">
      <c r="A9" s="129"/>
      <c r="B9" s="13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S9" s="130"/>
    </row>
    <row r="10" customFormat="false" ht="12.8" hidden="false" customHeight="false" outlineLevel="0" collapsed="false">
      <c r="A10" s="129"/>
      <c r="B10" s="130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 t="n">
        <v>0.01</v>
      </c>
      <c r="S10" s="129" t="n">
        <v>4.60517018598809</v>
      </c>
    </row>
    <row r="11" customFormat="false" ht="12.8" hidden="false" customHeight="false" outlineLevel="0" collapsed="false">
      <c r="A11" s="129"/>
      <c r="B11" s="13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 t="n">
        <v>0.05</v>
      </c>
      <c r="S11" s="129" t="n">
        <v>2.99573227355399</v>
      </c>
    </row>
    <row r="12" customFormat="false" ht="12.8" hidden="false" customHeight="false" outlineLevel="0" collapsed="false">
      <c r="A12" s="129"/>
      <c r="B12" s="13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 t="n">
        <v>0.1</v>
      </c>
      <c r="S12" s="129" t="n">
        <v>2.30258509299405</v>
      </c>
    </row>
    <row r="13" customFormat="false" ht="12.8" hidden="false" customHeight="false" outlineLevel="0" collapsed="false">
      <c r="A13" s="129"/>
      <c r="B13" s="130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 t="n">
        <v>0.15</v>
      </c>
      <c r="S13" s="129" t="n">
        <v>1.89711998488588</v>
      </c>
    </row>
    <row r="14" customFormat="false" ht="12.8" hidden="false" customHeight="false" outlineLevel="0" collapsed="false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 t="n">
        <v>0.2</v>
      </c>
      <c r="S14" s="129" t="n">
        <v>1.6094379124341</v>
      </c>
    </row>
    <row r="15" customFormat="false" ht="12.8" hidden="false" customHeight="false" outlineLevel="0" collapsed="false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 t="n">
        <v>0.25</v>
      </c>
      <c r="S15" s="129" t="n">
        <v>1.38629436111989</v>
      </c>
    </row>
    <row r="16" customFormat="false" ht="12.8" hidden="false" customHeight="false" outlineLevel="0" collapsed="false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 t="n">
        <v>0.3</v>
      </c>
      <c r="S16" s="129" t="n">
        <v>1.20397280432594</v>
      </c>
    </row>
    <row r="17" customFormat="false" ht="12.8" hidden="false" customHeight="false" outlineLevel="0" collapsed="false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 t="n">
        <v>0.35</v>
      </c>
      <c r="S17" s="129" t="n">
        <v>1.04982212449868</v>
      </c>
    </row>
    <row r="18" customFormat="false" ht="12.8" hidden="false" customHeight="false" outlineLevel="0" collapsed="false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 t="n">
        <v>0.4</v>
      </c>
      <c r="S18" s="129" t="n">
        <v>0.916290731874155</v>
      </c>
    </row>
    <row r="19" customFormat="false" ht="12.8" hidden="false" customHeight="false" outlineLevel="0" collapsed="false">
      <c r="A19" s="129"/>
      <c r="B19" s="129"/>
      <c r="C19" s="129"/>
      <c r="D19" s="129" t="s">
        <v>302</v>
      </c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 t="n">
        <v>0.45</v>
      </c>
      <c r="S19" s="129" t="n">
        <v>0.798507696217772</v>
      </c>
    </row>
    <row r="20" customFormat="false" ht="12.8" hidden="false" customHeight="false" outlineLevel="0" collapsed="false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 t="n">
        <v>0.5</v>
      </c>
      <c r="S20" s="129" t="n">
        <v>0.693147180559945</v>
      </c>
    </row>
    <row r="21" customFormat="false" ht="12.8" hidden="false" customHeight="false" outlineLevel="0" collapsed="false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 t="n">
        <v>0.55</v>
      </c>
      <c r="S21" s="129" t="n">
        <v>0.59783700075562</v>
      </c>
    </row>
    <row r="22" customFormat="false" ht="12.8" hidden="false" customHeight="false" outlineLevel="0" collapsed="false">
      <c r="A22" s="129"/>
      <c r="B22" s="130" t="s">
        <v>303</v>
      </c>
      <c r="C22" s="129"/>
      <c r="D22" s="129" t="s">
        <v>304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 t="n">
        <v>0.6</v>
      </c>
      <c r="S22" s="129" t="n">
        <v>0.510825623765991</v>
      </c>
    </row>
    <row r="23" customFormat="false" ht="12.8" hidden="false" customHeight="false" outlineLevel="0" collapsed="false">
      <c r="A23" s="129"/>
      <c r="B23" s="129"/>
      <c r="C23" s="129"/>
      <c r="D23" s="129"/>
      <c r="E23" s="13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 t="n">
        <v>0.65</v>
      </c>
      <c r="S23" s="129" t="n">
        <v>0.430782916092454</v>
      </c>
    </row>
    <row r="24" customFormat="false" ht="12.8" hidden="false" customHeight="false" outlineLevel="0" collapsed="false">
      <c r="A24" s="129"/>
      <c r="B24" s="129"/>
      <c r="C24" s="129"/>
      <c r="D24" s="130" t="s">
        <v>305</v>
      </c>
      <c r="E24" s="134" t="s">
        <v>306</v>
      </c>
      <c r="F24" s="133" t="n">
        <v>0.00815368639667705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 t="n">
        <v>0.7</v>
      </c>
      <c r="S24" s="129" t="n">
        <v>0.356674943938732</v>
      </c>
    </row>
    <row r="25" customFormat="false" ht="12.8" hidden="false" customHeight="false" outlineLevel="0" collapsed="false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 t="n">
        <v>0.75</v>
      </c>
      <c r="S25" s="129" t="n">
        <v>0.287682072451781</v>
      </c>
    </row>
    <row r="26" customFormat="false" ht="12.8" hidden="false" customHeight="false" outlineLevel="0" collapsed="false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 t="n">
        <v>0.8</v>
      </c>
      <c r="S26" s="129" t="n">
        <v>0.22314355131421</v>
      </c>
    </row>
    <row r="27" customFormat="false" ht="12.8" hidden="false" customHeight="false" outlineLevel="0" collapsed="false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 t="n">
        <v>0.85</v>
      </c>
      <c r="S27" s="129" t="n">
        <v>0.162518929497775</v>
      </c>
    </row>
    <row r="28" customFormat="false" ht="12.8" hidden="false" customHeight="false" outlineLevel="0" collapsed="false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 t="n">
        <v>0.9</v>
      </c>
      <c r="S28" s="129" t="n">
        <v>0.105360515657826</v>
      </c>
    </row>
    <row r="29" customFormat="false" ht="12.8" hidden="false" customHeight="false" outlineLevel="0" collapsed="false">
      <c r="A29" s="129"/>
      <c r="B29" s="130" t="s">
        <v>307</v>
      </c>
      <c r="C29" s="129"/>
      <c r="D29" s="129" t="s">
        <v>308</v>
      </c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 t="n">
        <v>0.95</v>
      </c>
      <c r="S29" s="129" t="n">
        <v>0.0512932943875506</v>
      </c>
    </row>
    <row r="30" customFormat="false" ht="12.8" hidden="false" customHeight="false" outlineLevel="0" collapsed="false">
      <c r="A30" s="129"/>
      <c r="B30" s="130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 t="n">
        <v>1</v>
      </c>
      <c r="S30" s="129" t="n">
        <v>0</v>
      </c>
    </row>
    <row r="31" customFormat="false" ht="12.8" hidden="false" customHeight="false" outlineLevel="0" collapsed="false">
      <c r="A31" s="129"/>
      <c r="B31" s="130"/>
      <c r="C31" s="129"/>
      <c r="D31" s="129" t="s">
        <v>309</v>
      </c>
      <c r="E31" s="129" t="s">
        <v>310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</row>
    <row r="32" customFormat="false" ht="12.8" hidden="false" customHeight="false" outlineLevel="0" collapsed="false">
      <c r="A32" s="129"/>
      <c r="B32" s="130"/>
      <c r="C32" s="129"/>
      <c r="D32" s="129"/>
      <c r="E32" s="129" t="s">
        <v>311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</row>
    <row r="33" customFormat="false" ht="12.8" hidden="false" customHeight="false" outlineLevel="0" collapsed="false">
      <c r="A33" s="129"/>
      <c r="B33" s="130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</row>
    <row r="34" customFormat="false" ht="12.8" hidden="false" customHeight="false" outlineLevel="0" collapsed="false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</row>
    <row r="35" customFormat="false" ht="12.8" hidden="false" customHeight="false" outlineLevel="0" collapsed="false">
      <c r="A35" s="129"/>
      <c r="B35" s="129"/>
      <c r="C35" s="129"/>
      <c r="D35" s="135" t="s">
        <v>312</v>
      </c>
      <c r="E35" s="135" t="s">
        <v>313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</row>
    <row r="36" customFormat="false" ht="12.8" hidden="false" customHeight="false" outlineLevel="0" collapsed="false">
      <c r="A36" s="129"/>
      <c r="B36" s="129"/>
      <c r="C36" s="129"/>
      <c r="D36" s="136" t="s">
        <v>314</v>
      </c>
      <c r="E36" s="136" t="s">
        <v>144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</row>
    <row r="37" customFormat="false" ht="12.8" hidden="false" customHeight="false" outlineLevel="0" collapsed="false">
      <c r="A37" s="129"/>
      <c r="B37" s="129"/>
      <c r="C37" s="129"/>
      <c r="D37" s="137" t="n">
        <v>0</v>
      </c>
      <c r="E37" s="138" t="n">
        <v>0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</row>
    <row r="38" customFormat="false" ht="12.8" hidden="false" customHeight="false" outlineLevel="0" collapsed="false">
      <c r="A38" s="129"/>
      <c r="B38" s="129"/>
      <c r="C38" s="129"/>
      <c r="D38" s="134" t="n">
        <v>1</v>
      </c>
      <c r="E38" s="138" t="n">
        <v>1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</row>
    <row r="39" customFormat="false" ht="12.8" hidden="false" customHeight="false" outlineLevel="0" collapsed="false">
      <c r="A39" s="129"/>
      <c r="B39" s="129"/>
      <c r="C39" s="129"/>
      <c r="D39" s="134" t="n">
        <v>2</v>
      </c>
      <c r="E39" s="138" t="n">
        <v>1.52814569536424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</row>
    <row r="40" customFormat="false" ht="12.8" hidden="false" customHeight="false" outlineLevel="0" collapsed="false">
      <c r="A40" s="129"/>
      <c r="B40" s="129"/>
      <c r="C40" s="129"/>
      <c r="D40" s="134" t="n">
        <v>3</v>
      </c>
      <c r="E40" s="138" t="n">
        <v>1.69370860927152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</row>
    <row r="41" customFormat="false" ht="12.8" hidden="false" customHeight="false" outlineLevel="0" collapsed="false">
      <c r="A41" s="129"/>
      <c r="B41" s="129"/>
      <c r="C41" s="129"/>
      <c r="D41" s="134" t="n">
        <v>4</v>
      </c>
      <c r="E41" s="138" t="n">
        <v>1.98344370860927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</row>
    <row r="42" customFormat="false" ht="12.8" hidden="false" customHeight="false" outlineLevel="0" collapsed="false">
      <c r="A42" s="129"/>
      <c r="B42" s="129"/>
      <c r="C42" s="129"/>
      <c r="D42" s="134" t="n">
        <v>5</v>
      </c>
      <c r="E42" s="138" t="n">
        <v>2.09437086092715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</row>
    <row r="43" customFormat="false" ht="12.8" hidden="false" customHeight="false" outlineLevel="0" collapsed="false">
      <c r="A43" s="129"/>
      <c r="B43" s="129"/>
      <c r="C43" s="85"/>
      <c r="D43" s="13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</row>
    <row r="44" customFormat="false" ht="12.8" hidden="false" customHeight="false" outlineLevel="0" collapsed="false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</row>
    <row r="45" customFormat="false" ht="12.8" hidden="false" customHeight="false" outlineLevel="0" collapsed="false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</row>
    <row r="46" customFormat="false" ht="12.8" hidden="false" customHeight="false" outlineLevel="0" collapsed="false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</row>
    <row r="47" customFormat="false" ht="12.8" hidden="false" customHeight="false" outlineLevel="0" collapsed="false">
      <c r="A47" s="129"/>
      <c r="B47" s="130" t="s">
        <v>315</v>
      </c>
      <c r="C47" s="129"/>
      <c r="D47" s="129" t="s">
        <v>316</v>
      </c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</row>
    <row r="48" customFormat="false" ht="12.8" hidden="false" customHeight="false" outlineLevel="0" collapsed="false">
      <c r="A48" s="129"/>
      <c r="B48" s="130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</row>
    <row r="49" customFormat="false" ht="12.8" hidden="false" customHeight="false" outlineLevel="0" collapsed="false">
      <c r="A49" s="129"/>
      <c r="B49" s="130"/>
      <c r="C49" s="129"/>
      <c r="D49" s="129" t="s">
        <v>317</v>
      </c>
      <c r="E49" s="129" t="s">
        <v>318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</row>
    <row r="50" customFormat="false" ht="12.8" hidden="false" customHeight="false" outlineLevel="0" collapsed="false">
      <c r="A50" s="129"/>
      <c r="B50" s="130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</row>
    <row r="51" customFormat="false" ht="12.8" hidden="false" customHeight="false" outlineLevel="0" collapsed="false">
      <c r="A51" s="129"/>
      <c r="B51" s="130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</row>
    <row r="52" customFormat="false" ht="12.8" hidden="false" customHeight="false" outlineLevel="0" collapsed="false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</row>
    <row r="53" customFormat="false" ht="12.8" hidden="false" customHeight="false" outlineLevel="0" collapsed="false">
      <c r="A53" s="129"/>
      <c r="B53" s="135" t="s">
        <v>319</v>
      </c>
      <c r="C53" s="135" t="s">
        <v>320</v>
      </c>
      <c r="D53" s="135" t="s">
        <v>321</v>
      </c>
      <c r="E53" s="135" t="s">
        <v>322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</row>
    <row r="54" customFormat="false" ht="12.8" hidden="false" customHeight="false" outlineLevel="0" collapsed="false">
      <c r="A54" s="129"/>
      <c r="B54" s="136" t="s">
        <v>323</v>
      </c>
      <c r="C54" s="136" t="s">
        <v>324</v>
      </c>
      <c r="D54" s="136" t="s">
        <v>324</v>
      </c>
      <c r="E54" s="136" t="s">
        <v>126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</row>
    <row r="55" customFormat="false" ht="12.8" hidden="false" customHeight="false" outlineLevel="0" collapsed="false">
      <c r="A55" s="129"/>
      <c r="B55" s="134" t="n">
        <v>1</v>
      </c>
      <c r="C55" s="133" t="n">
        <v>1</v>
      </c>
      <c r="D55" s="133" t="n">
        <v>1</v>
      </c>
      <c r="E55" s="134" t="n">
        <v>0.111111111111111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</row>
    <row r="56" customFormat="false" ht="12.8" hidden="false" customHeight="false" outlineLevel="0" collapsed="false">
      <c r="A56" s="129"/>
      <c r="B56" s="134" t="n">
        <v>2</v>
      </c>
      <c r="C56" s="133" t="n">
        <v>2</v>
      </c>
      <c r="D56" s="133" t="n">
        <v>2</v>
      </c>
      <c r="E56" s="134" t="n">
        <v>0.222222222222222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</row>
    <row r="57" customFormat="false" ht="12.8" hidden="false" customHeight="false" outlineLevel="0" collapsed="false">
      <c r="A57" s="129"/>
      <c r="B57" s="134" t="n">
        <v>3</v>
      </c>
      <c r="C57" s="133" t="n">
        <v>3</v>
      </c>
      <c r="D57" s="133" t="n">
        <v>4</v>
      </c>
      <c r="E57" s="134" t="n">
        <v>0.333333333333333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</row>
    <row r="58" customFormat="false" ht="12.8" hidden="false" customHeight="false" outlineLevel="0" collapsed="false">
      <c r="A58" s="129"/>
      <c r="B58" s="134" t="n">
        <v>4</v>
      </c>
      <c r="C58" s="133" t="n">
        <v>5</v>
      </c>
      <c r="D58" s="133" t="n">
        <v>8</v>
      </c>
      <c r="E58" s="134" t="n">
        <v>0.444444444444444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</row>
    <row r="59" customFormat="false" ht="12.8" hidden="false" customHeight="false" outlineLevel="0" collapsed="false">
      <c r="A59" s="129"/>
      <c r="B59" s="134" t="n">
        <v>5</v>
      </c>
      <c r="C59" s="133" t="n">
        <v>9</v>
      </c>
      <c r="D59" s="133" t="n">
        <v>16</v>
      </c>
      <c r="E59" s="134" t="n">
        <v>0.555555555555556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customFormat="false" ht="12.8" hidden="false" customHeight="false" outlineLevel="0" collapsed="false">
      <c r="A60" s="129"/>
      <c r="B60" s="134" t="n">
        <v>6</v>
      </c>
      <c r="C60" s="133" t="n">
        <v>17</v>
      </c>
      <c r="D60" s="133" t="n">
        <v>27</v>
      </c>
      <c r="E60" s="134" t="n">
        <v>0.666666666666667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</row>
    <row r="61" customFormat="false" ht="12.8" hidden="false" customHeight="false" outlineLevel="0" collapsed="false">
      <c r="A61" s="129"/>
      <c r="B61" s="134" t="n">
        <v>7</v>
      </c>
      <c r="C61" s="133" t="n">
        <v>28</v>
      </c>
      <c r="D61" s="133" t="n">
        <v>49</v>
      </c>
      <c r="E61" s="134" t="n">
        <v>0.777777777777778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</row>
    <row r="62" customFormat="false" ht="12.8" hidden="false" customHeight="false" outlineLevel="0" collapsed="false">
      <c r="A62" s="129"/>
      <c r="B62" s="134" t="n">
        <v>8</v>
      </c>
      <c r="C62" s="133" t="n">
        <v>50</v>
      </c>
      <c r="D62" s="133" t="n">
        <v>91</v>
      </c>
      <c r="E62" s="134" t="n">
        <v>0.888888888888889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</row>
    <row r="63" customFormat="false" ht="12.8" hidden="false" customHeight="false" outlineLevel="0" collapsed="false">
      <c r="A63" s="129"/>
      <c r="B63" s="134" t="n">
        <v>9</v>
      </c>
      <c r="C63" s="133" t="n">
        <v>92</v>
      </c>
      <c r="D63" s="133" t="n">
        <v>259</v>
      </c>
      <c r="E63" s="134" t="n">
        <v>1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</row>
    <row r="64" customFormat="false" ht="12.8" hidden="false" customHeight="false" outlineLevel="0" collapsed="false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</row>
    <row r="65" customFormat="false" ht="12.8" hidden="false" customHeight="false" outlineLevel="0" collapsed="false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</row>
    <row r="67" customFormat="false" ht="12.8" hidden="false" customHeight="false" outlineLevel="0" collapsed="false">
      <c r="B67" s="130" t="s">
        <v>325</v>
      </c>
      <c r="D67" s="0" t="s">
        <v>326</v>
      </c>
    </row>
    <row r="68" customFormat="false" ht="12.8" hidden="false" customHeight="false" outlineLevel="0" collapsed="false">
      <c r="G68" s="0" t="s">
        <v>327</v>
      </c>
    </row>
    <row r="70" customFormat="false" ht="12.8" hidden="false" customHeight="false" outlineLevel="0" collapsed="false">
      <c r="C70" s="0" t="s">
        <v>328</v>
      </c>
      <c r="D70" s="0" t="n">
        <v>25.11</v>
      </c>
    </row>
    <row r="71" customFormat="false" ht="12.8" hidden="false" customHeight="false" outlineLevel="0" collapsed="false">
      <c r="C71" s="0" t="s">
        <v>329</v>
      </c>
      <c r="D71" s="140" t="n">
        <v>15.92</v>
      </c>
    </row>
    <row r="74" customFormat="false" ht="12.8" hidden="false" customHeight="false" outlineLevel="0" collapsed="false">
      <c r="B74" s="130" t="s">
        <v>330</v>
      </c>
      <c r="D74" s="0" t="s">
        <v>331</v>
      </c>
      <c r="H74" s="0" t="s">
        <v>332</v>
      </c>
    </row>
    <row r="76" customFormat="false" ht="12.8" hidden="false" customHeight="false" outlineLevel="0" collapsed="false">
      <c r="C76" s="0" t="s">
        <v>333</v>
      </c>
      <c r="D76" s="0" t="s">
        <v>334</v>
      </c>
      <c r="E76" s="0" t="s">
        <v>335</v>
      </c>
    </row>
    <row r="77" customFormat="false" ht="12.8" hidden="false" customHeight="false" outlineLevel="0" collapsed="false">
      <c r="C77" s="0" t="s">
        <v>336</v>
      </c>
      <c r="D77" s="0" t="n">
        <v>0.65</v>
      </c>
      <c r="E77" s="0" t="n">
        <v>7</v>
      </c>
    </row>
    <row r="78" customFormat="false" ht="12.8" hidden="false" customHeight="false" outlineLevel="0" collapsed="false">
      <c r="C78" s="0" t="s">
        <v>337</v>
      </c>
      <c r="D78" s="140" t="n">
        <v>0.25</v>
      </c>
      <c r="E78" s="0" t="n">
        <v>14</v>
      </c>
    </row>
    <row r="79" customFormat="false" ht="12.8" hidden="false" customHeight="false" outlineLevel="0" collapsed="false">
      <c r="C79" s="0" t="s">
        <v>338</v>
      </c>
      <c r="D79" s="0" t="n">
        <v>0.1</v>
      </c>
      <c r="E79" s="0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10" t="s">
        <v>339</v>
      </c>
    </row>
    <row r="3" customFormat="false" ht="12.8" hidden="false" customHeight="false" outlineLevel="0" collapsed="false">
      <c r="B3" s="0" t="s">
        <v>340</v>
      </c>
    </row>
    <row r="7" customFormat="false" ht="12.8" hidden="false" customHeight="false" outlineLevel="0" collapsed="false">
      <c r="B7" s="0" t="s">
        <v>341</v>
      </c>
    </row>
    <row r="10" customFormat="false" ht="12.8" hidden="false" customHeight="false" outlineLevel="0" collapsed="false">
      <c r="A10" s="0" t="s">
        <v>342</v>
      </c>
    </row>
    <row r="11" customFormat="false" ht="12.8" hidden="false" customHeight="false" outlineLevel="0" collapsed="false">
      <c r="C11" s="140" t="n">
        <v>12</v>
      </c>
      <c r="D11" s="140" t="n">
        <v>12</v>
      </c>
      <c r="E11" s="140" t="n">
        <v>50</v>
      </c>
      <c r="F11" s="140" t="n">
        <v>100</v>
      </c>
      <c r="G11" s="140" t="n">
        <v>35</v>
      </c>
      <c r="H11" s="140" t="n">
        <v>60</v>
      </c>
      <c r="I11" s="140" t="n">
        <v>60</v>
      </c>
      <c r="J11" s="140" t="n">
        <v>40</v>
      </c>
      <c r="K11" s="140" t="n">
        <v>9</v>
      </c>
      <c r="L11" s="140" t="n">
        <v>12</v>
      </c>
      <c r="M11" s="140" t="n">
        <v>60</v>
      </c>
      <c r="N11" s="140" t="n">
        <v>60</v>
      </c>
      <c r="O11" s="140" t="n">
        <v>20</v>
      </c>
      <c r="P11" s="140" t="n">
        <v>20</v>
      </c>
      <c r="Q11" s="140" t="n">
        <v>60</v>
      </c>
      <c r="R11" s="140" t="n">
        <v>12</v>
      </c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</row>
    <row r="12" customFormat="false" ht="12.8" hidden="false" customHeight="false" outlineLevel="0" collapsed="false">
      <c r="C12" s="140" t="n">
        <v>60</v>
      </c>
      <c r="D12" s="140" t="n">
        <v>60</v>
      </c>
      <c r="E12" s="140" t="n">
        <v>60</v>
      </c>
      <c r="F12" s="140" t="n">
        <v>60</v>
      </c>
      <c r="G12" s="140" t="n">
        <v>70</v>
      </c>
      <c r="H12" s="140" t="n">
        <v>100</v>
      </c>
      <c r="I12" s="140" t="n">
        <v>9</v>
      </c>
      <c r="J12" s="140" t="n">
        <v>40</v>
      </c>
      <c r="K12" s="140" t="n">
        <v>65</v>
      </c>
      <c r="L12" s="140" t="n">
        <v>20</v>
      </c>
      <c r="M12" s="140" t="n">
        <v>60</v>
      </c>
      <c r="N12" s="140" t="n">
        <v>60</v>
      </c>
      <c r="O12" s="140" t="n">
        <v>50</v>
      </c>
      <c r="P12" s="140" t="n">
        <v>9</v>
      </c>
      <c r="Q12" s="140" t="n">
        <v>60</v>
      </c>
      <c r="R12" s="140" t="n">
        <v>40</v>
      </c>
      <c r="S12" s="140" t="n">
        <v>60</v>
      </c>
      <c r="T12" s="140" t="n">
        <v>40</v>
      </c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</row>
    <row r="13" customFormat="false" ht="12.8" hidden="false" customHeight="false" outlineLevel="0" collapsed="false">
      <c r="C13" s="140" t="n">
        <v>60</v>
      </c>
      <c r="D13" s="140" t="n">
        <v>60</v>
      </c>
      <c r="E13" s="140" t="n">
        <v>60</v>
      </c>
      <c r="F13" s="140" t="n">
        <v>60</v>
      </c>
      <c r="G13" s="140" t="n">
        <v>40</v>
      </c>
      <c r="H13" s="140" t="n">
        <v>35</v>
      </c>
      <c r="I13" s="140" t="n">
        <v>60</v>
      </c>
      <c r="J13" s="140" t="n">
        <v>60</v>
      </c>
      <c r="K13" s="140" t="n">
        <v>65</v>
      </c>
      <c r="L13" s="140" t="n">
        <v>9</v>
      </c>
      <c r="M13" s="140" t="n">
        <v>35</v>
      </c>
      <c r="N13" s="140" t="n">
        <v>60</v>
      </c>
      <c r="O13" s="140" t="n">
        <v>60</v>
      </c>
      <c r="P13" s="140" t="n">
        <v>100</v>
      </c>
      <c r="Q13" s="140" t="n">
        <v>60</v>
      </c>
      <c r="R13" s="140" t="n">
        <v>60</v>
      </c>
      <c r="S13" s="140" t="n">
        <v>60</v>
      </c>
      <c r="T13" s="140" t="n">
        <v>60</v>
      </c>
      <c r="U13" s="140" t="n">
        <v>40</v>
      </c>
      <c r="V13" s="140" t="n">
        <v>100</v>
      </c>
      <c r="W13" s="140" t="n">
        <v>40</v>
      </c>
      <c r="X13" s="140" t="n">
        <v>60</v>
      </c>
      <c r="Y13" s="140" t="n">
        <v>12</v>
      </c>
      <c r="Z13" s="140" t="n">
        <v>60</v>
      </c>
      <c r="AA13" s="140" t="n">
        <v>40</v>
      </c>
      <c r="AB13" s="140" t="n">
        <v>50</v>
      </c>
      <c r="AC13" s="140" t="n">
        <v>60</v>
      </c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</row>
    <row r="14" customFormat="false" ht="12.8" hidden="false" customHeight="false" outlineLevel="0" collapsed="false">
      <c r="C14" s="140" t="n">
        <v>60</v>
      </c>
      <c r="D14" s="140" t="n">
        <v>61</v>
      </c>
      <c r="E14" s="140" t="n">
        <v>125</v>
      </c>
      <c r="F14" s="140" t="n">
        <v>100</v>
      </c>
      <c r="G14" s="140" t="n">
        <v>100</v>
      </c>
      <c r="H14" s="140" t="n">
        <v>40</v>
      </c>
      <c r="I14" s="140" t="n">
        <v>100</v>
      </c>
      <c r="J14" s="140" t="n">
        <v>60</v>
      </c>
      <c r="K14" s="140" t="n">
        <v>70</v>
      </c>
      <c r="L14" s="140" t="n">
        <v>100</v>
      </c>
      <c r="M14" s="140" t="n">
        <v>35</v>
      </c>
      <c r="N14" s="140" t="n">
        <v>12</v>
      </c>
      <c r="O14" s="140" t="n">
        <v>100</v>
      </c>
      <c r="P14" s="140" t="n">
        <v>60</v>
      </c>
      <c r="Q14" s="140" t="n">
        <v>60</v>
      </c>
      <c r="R14" s="140" t="n">
        <v>60</v>
      </c>
      <c r="S14" s="140" t="n">
        <v>40</v>
      </c>
      <c r="T14" s="140" t="n">
        <v>40</v>
      </c>
      <c r="U14" s="140" t="n">
        <v>60</v>
      </c>
      <c r="V14" s="140" t="n">
        <v>60</v>
      </c>
      <c r="W14" s="140" t="n">
        <v>60</v>
      </c>
      <c r="X14" s="140" t="n">
        <v>100</v>
      </c>
      <c r="Y14" s="140" t="n">
        <v>60</v>
      </c>
      <c r="Z14" s="140" t="n">
        <v>60</v>
      </c>
      <c r="AA14" s="140" t="n">
        <v>20</v>
      </c>
      <c r="AB14" s="140" t="n">
        <v>100</v>
      </c>
      <c r="AC14" s="140" t="n">
        <v>100</v>
      </c>
      <c r="AD14" s="140" t="n">
        <v>50</v>
      </c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</row>
    <row r="15" customFormat="false" ht="12.8" hidden="false" customHeight="false" outlineLevel="0" collapsed="false">
      <c r="C15" s="140" t="n">
        <v>9</v>
      </c>
      <c r="D15" s="140" t="n">
        <v>60</v>
      </c>
      <c r="E15" s="140" t="n">
        <v>500</v>
      </c>
      <c r="F15" s="140" t="n">
        <v>9</v>
      </c>
      <c r="G15" s="140" t="n">
        <v>56</v>
      </c>
      <c r="H15" s="140" t="n">
        <v>70</v>
      </c>
      <c r="I15" s="140" t="n">
        <v>50</v>
      </c>
      <c r="J15" s="140" t="n">
        <v>60</v>
      </c>
      <c r="K15" s="140" t="n">
        <v>60</v>
      </c>
      <c r="L15" s="140" t="n">
        <v>60</v>
      </c>
      <c r="M15" s="140" t="n">
        <v>60</v>
      </c>
      <c r="N15" s="140" t="n">
        <v>20</v>
      </c>
      <c r="O15" s="140" t="n">
        <v>35</v>
      </c>
      <c r="P15" s="140" t="n">
        <v>100</v>
      </c>
      <c r="Q15" s="140" t="n">
        <v>35</v>
      </c>
      <c r="R15" s="140" t="n">
        <v>40</v>
      </c>
      <c r="S15" s="140" t="n">
        <v>60</v>
      </c>
      <c r="T15" s="140" t="n">
        <v>40</v>
      </c>
      <c r="U15" s="140" t="n">
        <v>60</v>
      </c>
      <c r="V15" s="140" t="n">
        <v>60</v>
      </c>
      <c r="W15" s="140" t="n">
        <v>40</v>
      </c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</row>
    <row r="16" customFormat="false" ht="12.8" hidden="false" customHeight="fals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</row>
    <row r="17" customFormat="false" ht="12.8" hidden="false" customHeight="false" outlineLevel="0" collapsed="false"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</row>
    <row r="18" customFormat="false" ht="12.8" hidden="false" customHeight="false" outlineLevel="0" collapsed="false"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</row>
    <row r="19" customFormat="false" ht="12.8" hidden="false" customHeight="false" outlineLevel="0" collapsed="false"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</row>
    <row r="20" customFormat="false" ht="12.8" hidden="false" customHeight="false" outlineLevel="0" collapsed="false"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</row>
    <row r="21" customFormat="false" ht="12.8" hidden="false" customHeight="false" outlineLevel="0" collapsed="false"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</row>
    <row r="22" customFormat="false" ht="12.8" hidden="false" customHeight="false" outlineLevel="0" collapsed="false"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</row>
    <row r="23" customFormat="false" ht="12.8" hidden="false" customHeight="false" outlineLevel="0" collapsed="false"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</row>
    <row r="24" customFormat="false" ht="12.8" hidden="false" customHeight="false" outlineLevel="0" collapsed="false"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</row>
    <row r="25" customFormat="false" ht="12.8" hidden="false" customHeight="false" outlineLevel="0" collapsed="false"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</row>
    <row r="26" customFormat="false" ht="12.8" hidden="false" customHeight="false" outlineLevel="0" collapsed="false"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</row>
    <row r="27" customFormat="false" ht="12.8" hidden="false" customHeight="false" outlineLevel="0" collapsed="false"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</row>
    <row r="28" customFormat="false" ht="12.8" hidden="false" customHeight="false" outlineLevel="0" collapsed="false"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</row>
    <row r="29" customFormat="false" ht="12.8" hidden="false" customHeight="false" outlineLevel="0" collapsed="false"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</row>
    <row r="30" customFormat="false" ht="12.8" hidden="false" customHeight="false" outlineLevel="0" collapsed="false"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</row>
    <row r="31" customFormat="false" ht="12.8" hidden="false" customHeight="false" outlineLevel="0" collapsed="false"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</row>
    <row r="32" customFormat="false" ht="12.8" hidden="false" customHeight="false" outlineLevel="0" collapsed="false"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</row>
    <row r="33" customFormat="false" ht="12.8" hidden="false" customHeight="false" outlineLevel="0" collapsed="false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</row>
    <row r="34" customFormat="false" ht="12.8" hidden="false" customHeight="false" outlineLevel="0" collapsed="false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</row>
    <row r="35" customFormat="false" ht="12.8" hidden="false" customHeight="false" outlineLevel="0" collapsed="false"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</row>
    <row r="36" customFormat="false" ht="12.8" hidden="false" customHeight="false" outlineLevel="0" collapsed="false"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</row>
    <row r="37" customFormat="false" ht="12.8" hidden="false" customHeight="false" outlineLevel="0" collapsed="false"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</row>
    <row r="38" customFormat="false" ht="12.8" hidden="false" customHeight="false" outlineLevel="0" collapsed="false"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</row>
    <row r="39" customFormat="false" ht="12.8" hidden="false" customHeight="false" outlineLevel="0" collapsed="false"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</row>
    <row r="40" customFormat="false" ht="12.8" hidden="false" customHeight="false" outlineLevel="0" collapsed="false"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</row>
    <row r="41" customFormat="false" ht="12.8" hidden="false" customHeight="false" outlineLevel="0" collapsed="false"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</row>
    <row r="42" customFormat="false" ht="12.8" hidden="false" customHeight="false" outlineLevel="0" collapsed="false"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</row>
    <row r="43" customFormat="false" ht="12.8" hidden="false" customHeight="false" outlineLevel="0" collapsed="false">
      <c r="C43" s="85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</row>
    <row r="44" customFormat="false" ht="12.8" hidden="false" customHeight="false" outlineLevel="0" collapsed="false"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</row>
    <row r="45" customFormat="false" ht="12.8" hidden="false" customHeight="false" outlineLevel="0" collapsed="false"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</row>
    <row r="46" customFormat="false" ht="12.8" hidden="false" customHeight="false" outlineLevel="0" collapsed="false"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 t="n">
        <v>300</v>
      </c>
      <c r="AL46" s="140" t="n">
        <v>12</v>
      </c>
      <c r="AM46" s="140" t="n">
        <v>60</v>
      </c>
      <c r="AN46" s="140" t="n">
        <v>100</v>
      </c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</row>
    <row r="47" customFormat="false" ht="12.8" hidden="false" customHeight="false" outlineLevel="0" collapsed="false"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</row>
    <row r="48" customFormat="false" ht="12.8" hidden="false" customHeight="false" outlineLevel="0" collapsed="false"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</row>
    <row r="49" customFormat="false" ht="12.8" hidden="false" customHeight="false" outlineLevel="0" collapsed="false"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</row>
    <row r="50" customFormat="false" ht="12.8" hidden="false" customHeight="false" outlineLevel="0" collapsed="false"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</row>
    <row r="51" customFormat="false" ht="12.8" hidden="false" customHeight="false" outlineLevel="0" collapsed="false"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</row>
    <row r="52" customFormat="false" ht="12.8" hidden="false" customHeight="false" outlineLevel="0" collapsed="false"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</row>
    <row r="53" customFormat="false" ht="12.8" hidden="false" customHeight="false" outlineLevel="0" collapsed="false"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</row>
    <row r="54" customFormat="false" ht="12.8" hidden="false" customHeight="false" outlineLevel="0" collapsed="false"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</row>
    <row r="55" customFormat="false" ht="12.8" hidden="false" customHeight="false" outlineLevel="0" collapsed="false"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</row>
    <row r="56" customFormat="false" ht="12.8" hidden="false" customHeight="false" outlineLevel="0" collapsed="false"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</row>
    <row r="57" customFormat="false" ht="12.8" hidden="false" customHeight="false" outlineLevel="0" collapsed="false"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</row>
    <row r="58" customFormat="false" ht="12.8" hidden="false" customHeight="false" outlineLevel="0" collapsed="false"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</row>
    <row r="59" customFormat="false" ht="12.8" hidden="false" customHeight="false" outlineLevel="0" collapsed="false"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</row>
    <row r="60" customFormat="false" ht="12.8" hidden="false" customHeight="false" outlineLevel="0" collapsed="false"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</row>
    <row r="61" customFormat="false" ht="12.8" hidden="false" customHeight="false" outlineLevel="0" collapsed="false"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</row>
    <row r="62" customFormat="false" ht="12.8" hidden="false" customHeight="false" outlineLevel="0" collapsed="false"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</row>
    <row r="63" customFormat="false" ht="12.8" hidden="false" customHeight="false" outlineLevel="0" collapsed="false"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</row>
    <row r="64" customFormat="false" ht="12.8" hidden="false" customHeight="false" outlineLevel="0" collapsed="false"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</row>
    <row r="65" customFormat="false" ht="12.8" hidden="false" customHeight="false" outlineLevel="0" collapsed="false"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</row>
    <row r="66" customFormat="false" ht="12.8" hidden="false" customHeight="false" outlineLevel="0" collapsed="false"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</row>
    <row r="67" customFormat="false" ht="12.8" hidden="false" customHeight="false" outlineLevel="0" collapsed="false"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</row>
    <row r="68" customFormat="false" ht="12.8" hidden="false" customHeight="false" outlineLevel="0" collapsed="false"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</row>
    <row r="69" customFormat="false" ht="12.8" hidden="false" customHeight="false" outlineLevel="0" collapsed="false"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</row>
    <row r="70" customFormat="false" ht="12.8" hidden="false" customHeight="false" outlineLevel="0" collapsed="false"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</row>
    <row r="71" customFormat="false" ht="12.8" hidden="false" customHeight="false" outlineLevel="0" collapsed="false"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</row>
    <row r="72" customFormat="false" ht="12.8" hidden="false" customHeight="false" outlineLevel="0" collapsed="false"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</row>
    <row r="73" customFormat="false" ht="12.8" hidden="false" customHeight="false" outlineLevel="0" collapsed="false"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</row>
    <row r="74" customFormat="false" ht="12.8" hidden="false" customHeight="false" outlineLevel="0" collapsed="false"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</row>
    <row r="75" customFormat="false" ht="12.8" hidden="false" customHeight="false" outlineLevel="0" collapsed="false"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</row>
    <row r="76" customFormat="false" ht="12.8" hidden="false" customHeight="false" outlineLevel="0" collapsed="false"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</row>
    <row r="77" customFormat="false" ht="12.8" hidden="false" customHeight="false" outlineLevel="0" collapsed="false"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</row>
    <row r="78" customFormat="false" ht="12.8" hidden="false" customHeight="false" outlineLevel="0" collapsed="false"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</row>
    <row r="79" customFormat="false" ht="12.8" hidden="false" customHeight="false" outlineLevel="0" collapsed="false"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</row>
    <row r="80" customFormat="false" ht="12.8" hidden="false" customHeight="false" outlineLevel="0" collapsed="false"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</row>
    <row r="81" customFormat="false" ht="12.8" hidden="false" customHeight="false" outlineLevel="0" collapsed="false"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</row>
    <row r="82" customFormat="false" ht="12.8" hidden="false" customHeight="false" outlineLevel="0" collapsed="false"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</row>
    <row r="83" customFormat="false" ht="12.8" hidden="false" customHeight="false" outlineLevel="0" collapsed="false"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</row>
    <row r="84" customFormat="false" ht="12.8" hidden="false" customHeight="false" outlineLevel="0" collapsed="false"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</row>
    <row r="85" customFormat="false" ht="12.8" hidden="false" customHeight="false" outlineLevel="0" collapsed="false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</row>
    <row r="86" customFormat="false" ht="12.8" hidden="false" customHeight="false" outlineLevel="0" collapsed="false"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</row>
    <row r="87" customFormat="false" ht="12.8" hidden="false" customHeight="false" outlineLevel="0" collapsed="false"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</row>
    <row r="88" customFormat="false" ht="12.8" hidden="false" customHeight="false" outlineLevel="0" collapsed="false"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</row>
    <row r="89" customFormat="false" ht="12.8" hidden="false" customHeight="false" outlineLevel="0" collapsed="false"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</row>
    <row r="90" customFormat="false" ht="12.8" hidden="false" customHeight="false" outlineLevel="0" collapsed="false"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</row>
    <row r="91" customFormat="false" ht="12.8" hidden="false" customHeight="false" outlineLevel="0" collapsed="false"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</row>
    <row r="92" customFormat="false" ht="12.8" hidden="false" customHeight="false" outlineLevel="0" collapsed="false"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</row>
    <row r="93" customFormat="false" ht="12.8" hidden="false" customHeight="false" outlineLevel="0" collapsed="false"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</row>
    <row r="94" customFormat="false" ht="12.8" hidden="false" customHeight="false" outlineLevel="0" collapsed="false"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</row>
    <row r="95" customFormat="false" ht="12.8" hidden="false" customHeight="false" outlineLevel="0" collapsed="false"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</row>
    <row r="96" customFormat="false" ht="12.8" hidden="false" customHeight="false" outlineLevel="0" collapsed="false"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</row>
    <row r="97" customFormat="false" ht="12.8" hidden="false" customHeight="false" outlineLevel="0" collapsed="false"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</row>
    <row r="98" customFormat="false" ht="12.8" hidden="false" customHeight="false" outlineLevel="0" collapsed="false"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</row>
    <row r="99" customFormat="false" ht="12.8" hidden="false" customHeight="false" outlineLevel="0" collapsed="false"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</row>
    <row r="100" customFormat="false" ht="12.8" hidden="false" customHeight="false" outlineLevel="0" collapsed="false"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</row>
    <row r="101" customFormat="false" ht="12.8" hidden="false" customHeight="false" outlineLevel="0" collapsed="false"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</row>
    <row r="102" customFormat="false" ht="12.8" hidden="false" customHeight="false" outlineLevel="0" collapsed="false"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</row>
    <row r="103" customFormat="false" ht="12.8" hidden="false" customHeight="false" outlineLevel="0" collapsed="false"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</row>
    <row r="104" customFormat="false" ht="12.8" hidden="false" customHeight="false" outlineLevel="0" collapsed="false"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</row>
    <row r="105" customFormat="false" ht="12.8" hidden="false" customHeight="false" outlineLevel="0" collapsed="false"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</row>
    <row r="106" customFormat="false" ht="12.8" hidden="false" customHeight="false" outlineLevel="0" collapsed="false"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</row>
    <row r="107" customFormat="false" ht="12.8" hidden="false" customHeight="false" outlineLevel="0" collapsed="false"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</row>
    <row r="108" customFormat="false" ht="12.8" hidden="false" customHeight="false" outlineLevel="0" collapsed="false"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</row>
    <row r="109" customFormat="false" ht="12.8" hidden="false" customHeight="false" outlineLevel="0" collapsed="false"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</row>
    <row r="110" customFormat="false" ht="12.8" hidden="false" customHeight="false" outlineLevel="0" collapsed="false"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</row>
    <row r="111" customFormat="false" ht="12.8" hidden="false" customHeight="false" outlineLevel="0" collapsed="false"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</row>
    <row r="112" customFormat="false" ht="12.8" hidden="false" customHeight="false" outlineLevel="0" collapsed="false"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</row>
    <row r="113" customFormat="false" ht="12.8" hidden="false" customHeight="false" outlineLevel="0" collapsed="false">
      <c r="C113" s="140"/>
      <c r="D113" s="140"/>
      <c r="E113" s="140"/>
      <c r="F113" s="141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</row>
    <row r="114" customFormat="false" ht="12.8" hidden="false" customHeight="false" outlineLevel="0" collapsed="false">
      <c r="C114" s="140"/>
      <c r="D114" s="140"/>
      <c r="E114" s="140"/>
      <c r="F114" s="141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</row>
    <row r="115" customFormat="false" ht="12.8" hidden="false" customHeight="false" outlineLevel="0" collapsed="false"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</row>
    <row r="116" customFormat="false" ht="12.8" hidden="false" customHeight="false" outlineLevel="0" collapsed="false"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</row>
    <row r="117" customFormat="false" ht="12.8" hidden="false" customHeight="false" outlineLevel="0" collapsed="false"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140"/>
      <c r="BD117" s="140"/>
      <c r="BE117" s="140"/>
    </row>
    <row r="118" customFormat="false" ht="12.8" hidden="false" customHeight="false" outlineLevel="0" collapsed="false"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</row>
    <row r="119" customFormat="false" ht="12.8" hidden="false" customHeight="false" outlineLevel="0" collapsed="false"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</row>
    <row r="120" customFormat="false" ht="12.8" hidden="false" customHeight="false" outlineLevel="0" collapsed="false"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  <c r="BC120" s="140"/>
      <c r="BD120" s="140"/>
      <c r="BE120" s="140"/>
    </row>
    <row r="121" customFormat="false" ht="12.8" hidden="false" customHeight="false" outlineLevel="0" collapsed="false"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  <c r="BC121" s="140"/>
      <c r="BD121" s="140"/>
      <c r="BE121" s="140"/>
    </row>
    <row r="122" customFormat="false" ht="12.8" hidden="false" customHeight="false" outlineLevel="0" collapsed="false"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  <c r="BC122" s="140"/>
      <c r="BD122" s="140"/>
      <c r="BE122" s="140"/>
    </row>
    <row r="123" customFormat="false" ht="12.8" hidden="false" customHeight="false" outlineLevel="0" collapsed="false"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</row>
    <row r="124" customFormat="false" ht="12.8" hidden="false" customHeight="false" outlineLevel="0" collapsed="false"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140"/>
      <c r="BD124" s="140"/>
      <c r="BE124" s="140"/>
    </row>
    <row r="125" customFormat="false" ht="12.8" hidden="false" customHeight="false" outlineLevel="0" collapsed="false"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</row>
    <row r="126" customFormat="false" ht="12.8" hidden="false" customHeight="false" outlineLevel="0" collapsed="false"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140"/>
      <c r="BD126" s="140"/>
      <c r="BE126" s="140"/>
    </row>
    <row r="127" customFormat="false" ht="12.8" hidden="false" customHeight="false" outlineLevel="0" collapsed="false"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</row>
    <row r="128" customFormat="false" ht="12.8" hidden="false" customHeight="false" outlineLevel="0" collapsed="false"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  <c r="BC128" s="140"/>
      <c r="BD128" s="140"/>
      <c r="BE128" s="140"/>
    </row>
    <row r="129" customFormat="false" ht="12.8" hidden="false" customHeight="false" outlineLevel="0" collapsed="false"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  <c r="BE129" s="140"/>
    </row>
    <row r="130" customFormat="false" ht="12.8" hidden="false" customHeight="false" outlineLevel="0" collapsed="false"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  <c r="BC130" s="140"/>
      <c r="BD130" s="140"/>
      <c r="BE130" s="140"/>
    </row>
    <row r="131" customFormat="false" ht="12.8" hidden="false" customHeight="false" outlineLevel="0" collapsed="false"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</row>
    <row r="132" customFormat="false" ht="12.8" hidden="false" customHeight="false" outlineLevel="0" collapsed="false"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  <c r="BC132" s="140"/>
      <c r="BD132" s="140"/>
      <c r="BE132" s="140"/>
    </row>
    <row r="133" customFormat="false" ht="12.8" hidden="false" customHeight="false" outlineLevel="0" collapsed="false"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40"/>
      <c r="BD133" s="140"/>
      <c r="BE133" s="140"/>
    </row>
    <row r="134" customFormat="false" ht="12.8" hidden="false" customHeight="false" outlineLevel="0" collapsed="false"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40"/>
      <c r="BD134" s="140"/>
      <c r="BE134" s="140"/>
    </row>
    <row r="135" customFormat="false" ht="12.8" hidden="false" customHeight="false" outlineLevel="0" collapsed="false"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</row>
    <row r="136" customFormat="false" ht="12.8" hidden="false" customHeight="false" outlineLevel="0" collapsed="false"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140"/>
      <c r="BC136" s="140"/>
      <c r="BD136" s="140"/>
      <c r="BE136" s="140"/>
    </row>
    <row r="137" customFormat="false" ht="12.8" hidden="false" customHeight="false" outlineLevel="0" collapsed="false"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140"/>
      <c r="BC137" s="140"/>
      <c r="BD137" s="140"/>
      <c r="BE137" s="140"/>
    </row>
    <row r="138" customFormat="false" ht="12.8" hidden="false" customHeight="false" outlineLevel="0" collapsed="false"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140"/>
      <c r="BC138" s="140"/>
      <c r="BD138" s="140"/>
      <c r="BE138" s="140"/>
    </row>
    <row r="139" customFormat="false" ht="12.8" hidden="false" customHeight="false" outlineLevel="0" collapsed="false"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</row>
    <row r="140" customFormat="false" ht="12.8" hidden="false" customHeight="false" outlineLevel="0" collapsed="false"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</row>
    <row r="141" customFormat="false" ht="12.8" hidden="false" customHeight="false" outlineLevel="0" collapsed="false"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140"/>
      <c r="BC141" s="140"/>
      <c r="BD141" s="140"/>
      <c r="BE141" s="140"/>
    </row>
    <row r="142" customFormat="false" ht="12.8" hidden="false" customHeight="false" outlineLevel="0" collapsed="false"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140"/>
      <c r="BC142" s="140"/>
      <c r="BD142" s="140"/>
      <c r="BE142" s="1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142" t="s">
        <v>343</v>
      </c>
      <c r="B1" s="142"/>
      <c r="E1" s="143" t="s">
        <v>344</v>
      </c>
      <c r="M1" s="144"/>
      <c r="N1" s="144"/>
    </row>
    <row r="2" customFormat="false" ht="57.45" hidden="false" customHeight="false" outlineLevel="0" collapsed="false">
      <c r="A2" s="145" t="s">
        <v>345</v>
      </c>
      <c r="B2" s="145" t="s">
        <v>346</v>
      </c>
      <c r="C2" s="145" t="s">
        <v>347</v>
      </c>
      <c r="D2" s="145" t="s">
        <v>348</v>
      </c>
      <c r="E2" s="145" t="s">
        <v>349</v>
      </c>
      <c r="F2" s="145" t="s">
        <v>350</v>
      </c>
      <c r="G2" s="145" t="s">
        <v>351</v>
      </c>
      <c r="H2" s="145" t="s">
        <v>352</v>
      </c>
      <c r="I2" s="145" t="s">
        <v>353</v>
      </c>
      <c r="J2" s="145" t="s">
        <v>354</v>
      </c>
      <c r="K2" s="145" t="s">
        <v>355</v>
      </c>
      <c r="L2" s="145" t="s">
        <v>356</v>
      </c>
      <c r="M2" s="146" t="s">
        <v>357</v>
      </c>
      <c r="N2" s="146" t="s">
        <v>358</v>
      </c>
      <c r="O2" s="145" t="s">
        <v>359</v>
      </c>
      <c r="P2" s="145" t="s">
        <v>360</v>
      </c>
    </row>
    <row r="3" customFormat="false" ht="12.8" hidden="false" customHeight="false" outlineLevel="0" collapsed="false">
      <c r="A3" s="147"/>
      <c r="B3" s="147"/>
      <c r="C3" s="147"/>
      <c r="D3" s="147" t="s">
        <v>361</v>
      </c>
      <c r="E3" s="147"/>
      <c r="F3" s="148" t="s">
        <v>362</v>
      </c>
      <c r="G3" s="148"/>
      <c r="H3" s="148"/>
      <c r="I3" s="148" t="s">
        <v>363</v>
      </c>
      <c r="J3" s="148" t="s">
        <v>364</v>
      </c>
      <c r="K3" s="148" t="s">
        <v>365</v>
      </c>
      <c r="L3" s="148" t="s">
        <v>366</v>
      </c>
      <c r="M3" s="148" t="s">
        <v>367</v>
      </c>
      <c r="N3" s="148" t="s">
        <v>368</v>
      </c>
      <c r="O3" s="148" t="s">
        <v>363</v>
      </c>
      <c r="P3" s="148" t="s">
        <v>364</v>
      </c>
    </row>
    <row r="4" customFormat="false" ht="12.8" hidden="false" customHeight="false" outlineLevel="0" collapsed="false">
      <c r="A4" s="149"/>
      <c r="B4" s="149"/>
      <c r="C4" s="149"/>
      <c r="D4" s="149"/>
      <c r="E4" s="150"/>
      <c r="F4" s="149" t="s">
        <v>369</v>
      </c>
      <c r="G4" s="149" t="s">
        <v>370</v>
      </c>
      <c r="H4" s="149" t="s">
        <v>371</v>
      </c>
      <c r="I4" s="149" t="s">
        <v>372</v>
      </c>
      <c r="J4" s="149" t="s">
        <v>371</v>
      </c>
      <c r="K4" s="149" t="s">
        <v>371</v>
      </c>
      <c r="L4" s="149" t="s">
        <v>371</v>
      </c>
      <c r="M4" s="149" t="s">
        <v>373</v>
      </c>
      <c r="N4" s="149" t="s">
        <v>374</v>
      </c>
      <c r="O4" s="149" t="s">
        <v>372</v>
      </c>
      <c r="P4" s="149" t="s">
        <v>371</v>
      </c>
    </row>
    <row r="5" s="154" customFormat="true" ht="12.8" hidden="false" customHeight="false" outlineLevel="0" collapsed="false">
      <c r="A5" s="151"/>
      <c r="B5" s="152" t="s">
        <v>167</v>
      </c>
      <c r="C5" s="151" t="s">
        <v>165</v>
      </c>
      <c r="D5" s="151" t="s">
        <v>375</v>
      </c>
      <c r="E5" s="153" t="s">
        <v>376</v>
      </c>
      <c r="F5" s="153" t="s">
        <v>377</v>
      </c>
      <c r="G5" s="151"/>
      <c r="H5" s="153" t="s">
        <v>378</v>
      </c>
      <c r="I5" s="151"/>
      <c r="J5" s="153" t="s">
        <v>379</v>
      </c>
      <c r="K5" s="153" t="s">
        <v>380</v>
      </c>
      <c r="L5" s="153" t="s">
        <v>381</v>
      </c>
      <c r="M5" s="153" t="s">
        <v>382</v>
      </c>
      <c r="N5" s="153" t="s">
        <v>383</v>
      </c>
      <c r="O5" s="151"/>
      <c r="P5" s="153" t="s">
        <v>384</v>
      </c>
      <c r="AMJ5" s="0"/>
    </row>
    <row r="6" customFormat="false" ht="12.8" hidden="false" customHeight="false" outlineLevel="0" collapsed="false">
      <c r="A6" s="0" t="n">
        <v>1</v>
      </c>
      <c r="B6" s="155" t="n">
        <v>0.5</v>
      </c>
      <c r="C6" s="83" t="s">
        <v>385</v>
      </c>
      <c r="D6" s="156" t="n">
        <f aca="false">FALSE()</f>
        <v>0</v>
      </c>
      <c r="E6" s="83" t="s">
        <v>386</v>
      </c>
      <c r="F6" s="0" t="n">
        <v>2.61</v>
      </c>
      <c r="G6" s="0" t="n">
        <v>40</v>
      </c>
      <c r="H6" s="0" t="n">
        <f aca="false">F6/3600*G6*10^6</f>
        <v>29000</v>
      </c>
      <c r="I6" s="157" t="n">
        <v>0.75</v>
      </c>
      <c r="J6" s="0" t="n">
        <f aca="false">H6*I6</f>
        <v>21750</v>
      </c>
      <c r="K6" s="0" t="n">
        <v>10</v>
      </c>
      <c r="L6" s="0" t="n">
        <v>20</v>
      </c>
      <c r="M6" s="147" t="n">
        <v>125</v>
      </c>
      <c r="N6" s="158" t="n">
        <v>1.5</v>
      </c>
      <c r="O6" s="157" t="n">
        <v>0.75</v>
      </c>
      <c r="P6" s="0" t="n">
        <f aca="false">H6*O6</f>
        <v>21750</v>
      </c>
    </row>
    <row r="7" customFormat="false" ht="12.8" hidden="false" customHeight="false" outlineLevel="0" collapsed="false">
      <c r="A7" s="0" t="n">
        <v>2</v>
      </c>
      <c r="B7" s="155" t="n">
        <v>0</v>
      </c>
      <c r="C7" s="83" t="s">
        <v>387</v>
      </c>
      <c r="D7" s="156" t="n">
        <f aca="false">TRUE()</f>
        <v>1</v>
      </c>
      <c r="E7" s="83" t="s">
        <v>386</v>
      </c>
      <c r="F7" s="0" t="n">
        <v>2.61</v>
      </c>
      <c r="G7" s="0" t="n">
        <v>40</v>
      </c>
      <c r="H7" s="0" t="n">
        <f aca="false">F7/3600*G7*10^6</f>
        <v>29000</v>
      </c>
      <c r="I7" s="157" t="n">
        <v>0.75</v>
      </c>
      <c r="J7" s="0" t="n">
        <f aca="false">H7*I7</f>
        <v>21750</v>
      </c>
      <c r="K7" s="0" t="n">
        <v>10</v>
      </c>
      <c r="L7" s="0" t="n">
        <v>20</v>
      </c>
      <c r="M7" s="147" t="n">
        <v>5</v>
      </c>
      <c r="N7" s="158" t="n">
        <v>0.5</v>
      </c>
      <c r="O7" s="157" t="n">
        <v>0.75</v>
      </c>
      <c r="P7" s="0" t="n">
        <f aca="false">H7*O7</f>
        <v>21750</v>
      </c>
    </row>
    <row r="8" customFormat="false" ht="12.8" hidden="false" customHeight="false" outlineLevel="0" collapsed="false">
      <c r="A8" s="0" t="n">
        <v>3</v>
      </c>
      <c r="B8" s="155" t="n">
        <v>0</v>
      </c>
      <c r="C8" s="83" t="s">
        <v>388</v>
      </c>
      <c r="D8" s="156" t="n">
        <f aca="false">FALSE()</f>
        <v>0</v>
      </c>
      <c r="E8" s="83" t="s">
        <v>386</v>
      </c>
      <c r="F8" s="0" t="n">
        <v>1.64</v>
      </c>
      <c r="G8" s="0" t="n">
        <v>40</v>
      </c>
      <c r="H8" s="0" t="n">
        <f aca="false">F8/3600*G8*10^6</f>
        <v>18222.2222222222</v>
      </c>
      <c r="I8" s="157" t="n">
        <v>0.75</v>
      </c>
      <c r="J8" s="0" t="n">
        <f aca="false">H8*I8</f>
        <v>13666.6666666667</v>
      </c>
      <c r="K8" s="0" t="n">
        <v>10</v>
      </c>
      <c r="L8" s="0" t="n">
        <v>20</v>
      </c>
      <c r="M8" s="147" t="n">
        <v>125</v>
      </c>
      <c r="N8" s="158" t="n">
        <v>1.5</v>
      </c>
      <c r="O8" s="157" t="n">
        <v>0.75</v>
      </c>
      <c r="P8" s="0" t="n">
        <f aca="false">H8*O8</f>
        <v>13666.6666666667</v>
      </c>
    </row>
    <row r="9" customFormat="false" ht="12.8" hidden="false" customHeight="false" outlineLevel="0" collapsed="false">
      <c r="A9" s="0" t="n">
        <v>4</v>
      </c>
      <c r="B9" s="155" t="n">
        <v>0</v>
      </c>
      <c r="C9" s="83" t="s">
        <v>389</v>
      </c>
      <c r="D9" s="156" t="n">
        <f aca="false">FALSE()</f>
        <v>0</v>
      </c>
      <c r="E9" s="83" t="s">
        <v>390</v>
      </c>
      <c r="F9" s="159" t="n">
        <v>0</v>
      </c>
      <c r="G9" s="159" t="n">
        <v>3.6</v>
      </c>
      <c r="H9" s="0" t="n">
        <f aca="false">F9/3600*G9*10^6</f>
        <v>0</v>
      </c>
      <c r="I9" s="157" t="n">
        <v>0</v>
      </c>
      <c r="J9" s="0" t="n">
        <f aca="false">H9*I9</f>
        <v>0</v>
      </c>
      <c r="K9" s="159" t="n">
        <v>0</v>
      </c>
      <c r="L9" s="159" t="n">
        <v>0</v>
      </c>
      <c r="M9" s="147" t="n">
        <v>5</v>
      </c>
      <c r="N9" s="158" t="n">
        <v>0.5</v>
      </c>
      <c r="O9" s="157" t="n">
        <v>0</v>
      </c>
      <c r="P9" s="0" t="n">
        <f aca="false">H9*O9</f>
        <v>0</v>
      </c>
    </row>
    <row r="10" customFormat="false" ht="12.8" hidden="false" customHeight="false" outlineLevel="0" collapsed="false">
      <c r="A10" s="0" t="n">
        <v>5</v>
      </c>
      <c r="B10" s="160" t="n">
        <v>0</v>
      </c>
      <c r="C10" s="83" t="s">
        <v>391</v>
      </c>
      <c r="D10" s="156" t="n">
        <f aca="false">TRUE()</f>
        <v>1</v>
      </c>
      <c r="E10" s="83" t="s">
        <v>390</v>
      </c>
      <c r="F10" s="159" t="n">
        <v>2</v>
      </c>
      <c r="G10" s="159" t="n">
        <v>3.6</v>
      </c>
      <c r="H10" s="0" t="n">
        <f aca="false">F10/3600*G10*10^6</f>
        <v>2000</v>
      </c>
      <c r="I10" s="0" t="n">
        <v>1</v>
      </c>
      <c r="J10" s="0" t="n">
        <f aca="false">H10*I10</f>
        <v>2000</v>
      </c>
      <c r="K10" s="159" t="n">
        <v>0</v>
      </c>
      <c r="L10" s="0" t="n">
        <v>20</v>
      </c>
      <c r="M10" s="147" t="n">
        <v>50</v>
      </c>
      <c r="N10" s="158" t="n">
        <v>0.5</v>
      </c>
      <c r="O10" s="0" t="n">
        <v>1</v>
      </c>
      <c r="P10" s="0" t="n">
        <f aca="false">H10*O10</f>
        <v>2000</v>
      </c>
    </row>
    <row r="11" customFormat="false" ht="12.8" hidden="false" customHeight="false" outlineLevel="0" collapsed="false">
      <c r="A11" s="0" t="n">
        <v>6</v>
      </c>
      <c r="B11" s="160" t="n">
        <v>0.5</v>
      </c>
      <c r="C11" s="83" t="s">
        <v>392</v>
      </c>
      <c r="D11" s="156" t="n">
        <f aca="false">TRUE()</f>
        <v>1</v>
      </c>
      <c r="E11" s="83" t="s">
        <v>390</v>
      </c>
      <c r="F11" s="159" t="n">
        <v>1.5</v>
      </c>
      <c r="G11" s="159" t="n">
        <v>3.6</v>
      </c>
      <c r="H11" s="0" t="n">
        <f aca="false">F11/3600*G11*10^6</f>
        <v>1500</v>
      </c>
      <c r="I11" s="0" t="n">
        <v>2.4</v>
      </c>
      <c r="J11" s="0" t="n">
        <f aca="false">H11*I11</f>
        <v>3600</v>
      </c>
      <c r="K11" s="159" t="n">
        <v>0</v>
      </c>
      <c r="L11" s="0" t="n">
        <v>20</v>
      </c>
      <c r="M11" s="147" t="n">
        <v>50</v>
      </c>
      <c r="N11" s="158" t="n">
        <v>0.5</v>
      </c>
      <c r="O11" s="0" t="n">
        <v>3.95</v>
      </c>
      <c r="P11" s="0" t="n">
        <f aca="false">H11*O11</f>
        <v>5925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T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0" activeCellId="0" sqref="K20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5.84"/>
    <col collapsed="false" customWidth="true" hidden="false" outlineLevel="0" max="4" min="4" style="0" width="18.39"/>
  </cols>
  <sheetData>
    <row r="1" customFormat="false" ht="15" hidden="false" customHeight="false" outlineLevel="0" collapsed="false">
      <c r="A1" s="142" t="s">
        <v>393</v>
      </c>
      <c r="B1" s="142"/>
      <c r="C1" s="142"/>
      <c r="E1" s="143" t="s">
        <v>394</v>
      </c>
    </row>
    <row r="2" customFormat="false" ht="169.4" hidden="false" customHeight="false" outlineLevel="0" collapsed="false">
      <c r="A2" s="145" t="s">
        <v>395</v>
      </c>
      <c r="B2" s="145" t="s">
        <v>396</v>
      </c>
      <c r="C2" s="145" t="s">
        <v>397</v>
      </c>
      <c r="D2" s="145" t="s">
        <v>398</v>
      </c>
      <c r="E2" s="145" t="s">
        <v>399</v>
      </c>
      <c r="F2" s="145" t="s">
        <v>400</v>
      </c>
      <c r="G2" s="145" t="s">
        <v>401</v>
      </c>
      <c r="H2" s="145" t="s">
        <v>402</v>
      </c>
      <c r="I2" s="145" t="s">
        <v>403</v>
      </c>
      <c r="J2" s="145" t="s">
        <v>404</v>
      </c>
      <c r="K2" s="145" t="s">
        <v>405</v>
      </c>
      <c r="L2" s="145" t="s">
        <v>406</v>
      </c>
      <c r="M2" s="145" t="s">
        <v>407</v>
      </c>
      <c r="N2" s="145" t="s">
        <v>408</v>
      </c>
      <c r="O2" s="145" t="s">
        <v>409</v>
      </c>
      <c r="P2" s="145" t="s">
        <v>410</v>
      </c>
      <c r="Q2" s="145" t="s">
        <v>411</v>
      </c>
      <c r="R2" s="145" t="s">
        <v>412</v>
      </c>
      <c r="S2" s="145" t="s">
        <v>413</v>
      </c>
      <c r="T2" s="145" t="s">
        <v>414</v>
      </c>
    </row>
    <row r="3" customFormat="false" ht="12.8" hidden="false" customHeight="false" outlineLevel="0" collapsed="false">
      <c r="A3" s="161"/>
      <c r="B3" s="161"/>
      <c r="C3" s="161"/>
      <c r="D3" s="162" t="s">
        <v>415</v>
      </c>
      <c r="E3" s="162" t="s">
        <v>416</v>
      </c>
      <c r="F3" s="162" t="s">
        <v>417</v>
      </c>
      <c r="G3" s="162" t="s">
        <v>418</v>
      </c>
      <c r="H3" s="162" t="s">
        <v>419</v>
      </c>
      <c r="I3" s="162" t="s">
        <v>420</v>
      </c>
      <c r="J3" s="162" t="s">
        <v>421</v>
      </c>
      <c r="K3" s="162" t="s">
        <v>422</v>
      </c>
      <c r="L3" s="162" t="s">
        <v>423</v>
      </c>
      <c r="M3" s="148" t="s">
        <v>424</v>
      </c>
      <c r="N3" s="162" t="s">
        <v>425</v>
      </c>
      <c r="O3" s="162" t="s">
        <v>426</v>
      </c>
      <c r="P3" s="162" t="s">
        <v>427</v>
      </c>
      <c r="Q3" s="162" t="s">
        <v>428</v>
      </c>
      <c r="R3" s="161"/>
      <c r="S3" s="162" t="s">
        <v>426</v>
      </c>
      <c r="T3" s="161"/>
    </row>
    <row r="4" customFormat="false" ht="12.8" hidden="false" customHeight="false" outlineLevel="0" collapsed="false">
      <c r="A4" s="163"/>
      <c r="B4" s="163"/>
      <c r="C4" s="163"/>
      <c r="D4" s="163" t="s">
        <v>429</v>
      </c>
      <c r="E4" s="163" t="s">
        <v>429</v>
      </c>
      <c r="F4" s="163" t="s">
        <v>430</v>
      </c>
      <c r="G4" s="163" t="s">
        <v>430</v>
      </c>
      <c r="H4" s="163" t="s">
        <v>431</v>
      </c>
      <c r="I4" s="163" t="s">
        <v>432</v>
      </c>
      <c r="J4" s="163" t="s">
        <v>431</v>
      </c>
      <c r="K4" s="163" t="s">
        <v>433</v>
      </c>
      <c r="L4" s="163" t="s">
        <v>429</v>
      </c>
      <c r="M4" s="163" t="s">
        <v>371</v>
      </c>
      <c r="N4" s="163" t="s">
        <v>434</v>
      </c>
      <c r="O4" s="163" t="s">
        <v>429</v>
      </c>
      <c r="P4" s="163" t="s">
        <v>435</v>
      </c>
      <c r="Q4" s="163" t="s">
        <v>430</v>
      </c>
      <c r="R4" s="163"/>
      <c r="S4" s="163" t="s">
        <v>429</v>
      </c>
      <c r="T4" s="163"/>
    </row>
    <row r="5" s="6" customFormat="true" ht="12.8" hidden="false" customHeight="false" outlineLevel="0" collapsed="false">
      <c r="A5" s="164"/>
      <c r="B5" s="152" t="s">
        <v>167</v>
      </c>
      <c r="C5" s="165" t="s">
        <v>165</v>
      </c>
      <c r="D5" s="152" t="s">
        <v>436</v>
      </c>
      <c r="E5" s="152" t="s">
        <v>437</v>
      </c>
      <c r="F5" s="152" t="s">
        <v>438</v>
      </c>
      <c r="G5" s="152" t="s">
        <v>439</v>
      </c>
      <c r="H5" s="152" t="s">
        <v>440</v>
      </c>
      <c r="I5" s="164"/>
      <c r="J5" s="152" t="s">
        <v>441</v>
      </c>
      <c r="K5" s="152" t="s">
        <v>442</v>
      </c>
      <c r="L5" s="152" t="s">
        <v>443</v>
      </c>
      <c r="M5" s="164"/>
      <c r="N5" s="152" t="s">
        <v>444</v>
      </c>
      <c r="O5" s="152" t="s">
        <v>445</v>
      </c>
      <c r="P5" s="164"/>
      <c r="Q5" s="152" t="s">
        <v>446</v>
      </c>
      <c r="R5" s="164"/>
      <c r="S5" s="164"/>
      <c r="T5" s="164"/>
    </row>
    <row r="6" customFormat="false" ht="12.8" hidden="false" customHeight="false" outlineLevel="0" collapsed="false">
      <c r="A6" s="0" t="n">
        <v>1</v>
      </c>
      <c r="B6" s="155" t="n">
        <v>0</v>
      </c>
      <c r="C6" s="83" t="s">
        <v>447</v>
      </c>
      <c r="D6" s="166" t="n">
        <v>437.514557432946</v>
      </c>
      <c r="E6" s="166" t="n">
        <v>370.638553933676</v>
      </c>
      <c r="F6" s="166" t="n">
        <v>22638446.3889302</v>
      </c>
      <c r="G6" s="166" t="n">
        <v>1024813.83952572</v>
      </c>
      <c r="H6" s="166" t="n">
        <v>4.16002382044038</v>
      </c>
      <c r="I6" s="0" t="n">
        <v>1</v>
      </c>
      <c r="J6" s="0" t="n">
        <v>136</v>
      </c>
      <c r="K6" s="0" t="n">
        <v>4.2</v>
      </c>
      <c r="L6" s="167" t="n">
        <v>73.6447452458528</v>
      </c>
      <c r="M6" s="0" t="n">
        <f aca="false">(1/(1/D6+1/E6)+L6)*(20--2)</f>
        <v>6034.58895989596</v>
      </c>
      <c r="N6" s="0" t="n">
        <v>50</v>
      </c>
      <c r="O6" s="0" t="n">
        <f aca="false">M6/(N6-20)</f>
        <v>201.152965329865</v>
      </c>
      <c r="P6" s="0" t="n">
        <f aca="false">14*M6/1000</f>
        <v>84.4842454385434</v>
      </c>
      <c r="Q6" s="0" t="n">
        <f aca="false">P6*4200</f>
        <v>354833.830841882</v>
      </c>
      <c r="R6" s="0" t="n">
        <v>0</v>
      </c>
      <c r="S6" s="0" t="n">
        <f aca="false">(1/(1/D6+1/E6)+L6)*(50-25)/(25-R6)</f>
        <v>274.299498177089</v>
      </c>
      <c r="T6" s="0" t="n">
        <f aca="false">S6*(50-25)/(25-R6)*60</f>
        <v>16457.9698906253</v>
      </c>
    </row>
    <row r="7" customFormat="false" ht="12.8" hidden="false" customHeight="false" outlineLevel="0" collapsed="false">
      <c r="A7" s="0" t="n">
        <v>2</v>
      </c>
      <c r="B7" s="155" t="n">
        <v>0</v>
      </c>
      <c r="C7" s="83" t="s">
        <v>448</v>
      </c>
      <c r="D7" s="166" t="n">
        <v>128.707768634182</v>
      </c>
      <c r="E7" s="166" t="n">
        <v>272.232068850149</v>
      </c>
      <c r="F7" s="166" t="n">
        <v>24646439.5911177</v>
      </c>
      <c r="G7" s="166" t="n">
        <v>917297.170672342</v>
      </c>
      <c r="H7" s="166" t="n">
        <v>4.4941882532924</v>
      </c>
      <c r="I7" s="0" t="n">
        <v>0.4</v>
      </c>
      <c r="J7" s="0" t="n">
        <v>136</v>
      </c>
      <c r="K7" s="0" t="n">
        <v>4.2</v>
      </c>
      <c r="L7" s="167" t="n">
        <v>74.4298766184265</v>
      </c>
      <c r="M7" s="0" t="n">
        <f aca="false">(1/(1/D7+1/E7)+L7)*(20--2)</f>
        <v>3560.05098881218</v>
      </c>
      <c r="N7" s="0" t="n">
        <v>50</v>
      </c>
      <c r="O7" s="0" t="n">
        <f aca="false">M7/(N7-20)</f>
        <v>118.668366293739</v>
      </c>
      <c r="P7" s="0" t="n">
        <f aca="false">14*M7/1000</f>
        <v>49.8407138433706</v>
      </c>
      <c r="Q7" s="0" t="n">
        <f aca="false">P7*4200</f>
        <v>209330.998142156</v>
      </c>
      <c r="R7" s="0" t="n">
        <v>0</v>
      </c>
      <c r="S7" s="0" t="n">
        <f aca="false">(1/(1/D7+1/E7)+L7)*(50-25)/(25-R7)</f>
        <v>161.820499491463</v>
      </c>
      <c r="T7" s="0" t="n">
        <f aca="false">S7*(50-25)/(25-R7)*60</f>
        <v>9709.22996948777</v>
      </c>
    </row>
    <row r="8" customFormat="false" ht="12.8" hidden="false" customHeight="false" outlineLevel="0" collapsed="false">
      <c r="A8" s="0" t="n">
        <v>3</v>
      </c>
      <c r="B8" s="155" t="n">
        <v>0</v>
      </c>
      <c r="C8" s="83" t="s">
        <v>449</v>
      </c>
      <c r="D8" s="166" t="n">
        <v>247.598545563978</v>
      </c>
      <c r="E8" s="166" t="n">
        <v>298.909059214319</v>
      </c>
      <c r="F8" s="166" t="n">
        <v>12876155.3843281</v>
      </c>
      <c r="G8" s="166" t="n">
        <v>409007.990211524</v>
      </c>
      <c r="H8" s="166" t="n">
        <v>4.26995602105389</v>
      </c>
      <c r="I8" s="0" t="n">
        <v>1</v>
      </c>
      <c r="J8" s="0" t="n">
        <v>87</v>
      </c>
      <c r="K8" s="0" t="n">
        <v>4.2</v>
      </c>
      <c r="L8" s="167" t="n">
        <v>46.6839723300635</v>
      </c>
      <c r="M8" s="0" t="n">
        <f aca="false">(1/(1/D8+1/E8)+L8)*(20--2)</f>
        <v>4006.34328530937</v>
      </c>
      <c r="N8" s="0" t="n">
        <v>50</v>
      </c>
      <c r="O8" s="0" t="n">
        <f aca="false">M8/(N8-20)</f>
        <v>133.544776176979</v>
      </c>
      <c r="P8" s="0" t="n">
        <f aca="false">14*M8/1000</f>
        <v>56.0888059943312</v>
      </c>
      <c r="Q8" s="0" t="n">
        <f aca="false">P8*4200</f>
        <v>235572.985176191</v>
      </c>
      <c r="R8" s="0" t="n">
        <v>0</v>
      </c>
      <c r="S8" s="0" t="n">
        <f aca="false">(1/(1/D8+1/E8)+L8)*(50-25)/(25-R8)</f>
        <v>182.106512968608</v>
      </c>
      <c r="T8" s="0" t="n">
        <f aca="false">S8*(50-25)/(25-R8)*60</f>
        <v>10926.3907781165</v>
      </c>
    </row>
    <row r="9" customFormat="false" ht="12.8" hidden="false" customHeight="false" outlineLevel="0" collapsed="false">
      <c r="A9" s="0" t="n">
        <v>4</v>
      </c>
      <c r="B9" s="155" t="n">
        <v>1</v>
      </c>
      <c r="C9" s="83" t="s">
        <v>450</v>
      </c>
      <c r="D9" s="166" t="n">
        <v>216.365760825381</v>
      </c>
      <c r="E9" s="166" t="n">
        <v>301.571530530593</v>
      </c>
      <c r="F9" s="166" t="n">
        <v>15647706.9148071</v>
      </c>
      <c r="G9" s="166" t="n">
        <v>530743.762112263</v>
      </c>
      <c r="H9" s="166" t="n">
        <v>5.4558682137324</v>
      </c>
      <c r="I9" s="0" t="n">
        <v>0.4</v>
      </c>
      <c r="J9" s="0" t="n">
        <v>87</v>
      </c>
      <c r="K9" s="0" t="n">
        <v>4.2</v>
      </c>
      <c r="L9" s="167" t="n">
        <v>10.4694892031851</v>
      </c>
      <c r="M9" s="0" t="n">
        <f aca="false">(1/(1/D9+1/E9)+L9)*(20--2)</f>
        <v>3001.88934360802</v>
      </c>
      <c r="N9" s="0" t="n">
        <v>50</v>
      </c>
      <c r="O9" s="0" t="n">
        <f aca="false">M9/(N9-20)</f>
        <v>100.062978120267</v>
      </c>
      <c r="P9" s="0" t="n">
        <f aca="false">14*M9/1000</f>
        <v>42.0264508105123</v>
      </c>
      <c r="Q9" s="0" t="n">
        <f aca="false">P9*4200</f>
        <v>176511.093404152</v>
      </c>
      <c r="R9" s="0" t="n">
        <v>0</v>
      </c>
      <c r="S9" s="0" t="n">
        <f aca="false">(1/(1/D9+1/E9)+L9)*(50-25)/(25-R9)</f>
        <v>136.449515618547</v>
      </c>
      <c r="T9" s="0" t="n">
        <f aca="false">S9*(50-25)/(25-R9)*60</f>
        <v>8186.97093711279</v>
      </c>
    </row>
    <row r="10" customFormat="false" ht="12.8" hidden="false" customHeight="false" outlineLevel="0" collapsed="false">
      <c r="A10" s="0" t="n">
        <v>5</v>
      </c>
      <c r="B10" s="155" t="n">
        <v>0</v>
      </c>
      <c r="C10" s="83" t="s">
        <v>451</v>
      </c>
      <c r="D10" s="166" t="n">
        <v>197.271972208334</v>
      </c>
      <c r="E10" s="166" t="n">
        <v>239.871302585021</v>
      </c>
      <c r="F10" s="166" t="n">
        <v>11863842.6060689</v>
      </c>
      <c r="G10" s="166" t="n">
        <v>467169.879709039</v>
      </c>
      <c r="H10" s="166" t="n">
        <v>2.67504867802906</v>
      </c>
      <c r="I10" s="0" t="n">
        <v>1</v>
      </c>
      <c r="J10" s="0" t="n">
        <v>58</v>
      </c>
      <c r="K10" s="0" t="n">
        <v>4.2</v>
      </c>
      <c r="L10" s="167" t="n">
        <v>10.396222386109</v>
      </c>
      <c r="M10" s="0" t="n">
        <f aca="false">(1/(1/D10+1/E10)+L10)*(20--2)</f>
        <v>2610.1728787702</v>
      </c>
      <c r="N10" s="0" t="n">
        <v>50</v>
      </c>
      <c r="O10" s="0" t="n">
        <f aca="false">M10/(N10-20)</f>
        <v>87.0057626256732</v>
      </c>
      <c r="P10" s="0" t="n">
        <f aca="false">14*M10/1000</f>
        <v>36.5424203027827</v>
      </c>
      <c r="Q10" s="0" t="n">
        <f aca="false">P10*4200</f>
        <v>153478.165271688</v>
      </c>
      <c r="R10" s="0" t="n">
        <v>0</v>
      </c>
      <c r="S10" s="0" t="n">
        <f aca="false">(1/(1/D10+1/E10)+L10)*(50-25)/(25-R10)</f>
        <v>118.644221762282</v>
      </c>
      <c r="T10" s="0" t="n">
        <f aca="false">S10*(50-25)/(25-R10)*60</f>
        <v>7118.6533057369</v>
      </c>
    </row>
    <row r="11" customFormat="false" ht="12.8" hidden="false" customHeight="false" outlineLevel="0" collapsed="false">
      <c r="A11" s="0" t="n">
        <v>6</v>
      </c>
      <c r="B11" s="155" t="n">
        <v>0</v>
      </c>
      <c r="C11" s="83" t="s">
        <v>452</v>
      </c>
      <c r="D11" s="166" t="n">
        <v>144.729282385271</v>
      </c>
      <c r="E11" s="166" t="n">
        <v>205.2181765546</v>
      </c>
      <c r="F11" s="166" t="n">
        <v>13021834.2591086</v>
      </c>
      <c r="G11" s="166" t="n">
        <v>492503.846701277</v>
      </c>
      <c r="H11" s="166" t="n">
        <v>2.90551780890776</v>
      </c>
      <c r="I11" s="0" t="n">
        <v>0.4</v>
      </c>
      <c r="J11" s="0" t="n">
        <v>58</v>
      </c>
      <c r="K11" s="0" t="n">
        <v>4.2</v>
      </c>
      <c r="L11" s="167" t="n">
        <v>10.3905316092903</v>
      </c>
      <c r="M11" s="0" t="n">
        <f aca="false">(1/(1/D11+1/E11)+L11)*(20--2)</f>
        <v>2095.79698768747</v>
      </c>
      <c r="N11" s="0" t="n">
        <v>50</v>
      </c>
      <c r="O11" s="0" t="n">
        <f aca="false">M11/(N11-20)</f>
        <v>69.8598995895823</v>
      </c>
      <c r="P11" s="0" t="n">
        <f aca="false">14*M11/1000</f>
        <v>29.3411578276246</v>
      </c>
      <c r="Q11" s="0" t="n">
        <f aca="false">P11*4200</f>
        <v>123232.862876023</v>
      </c>
      <c r="R11" s="0" t="n">
        <v>0</v>
      </c>
      <c r="S11" s="0" t="n">
        <f aca="false">(1/(1/D11+1/E11)+L11)*(50-25)/(25-R11)</f>
        <v>95.2634994403396</v>
      </c>
      <c r="T11" s="0" t="n">
        <f aca="false">S11*(50-25)/(25-R11)*60</f>
        <v>5715.80996642037</v>
      </c>
    </row>
    <row r="12" customFormat="false" ht="12.8" hidden="false" customHeight="false" outlineLevel="0" collapsed="false">
      <c r="A12" s="0" t="n">
        <v>7</v>
      </c>
      <c r="B12" s="155" t="n">
        <v>0</v>
      </c>
      <c r="C12" s="83" t="s">
        <v>453</v>
      </c>
      <c r="D12" s="166" t="n">
        <v>504.246032480619</v>
      </c>
      <c r="E12" s="166" t="n">
        <v>504.246032480619</v>
      </c>
      <c r="F12" s="166" t="n">
        <v>31683711</v>
      </c>
      <c r="G12" s="166" t="n">
        <f aca="false">F12/25</f>
        <v>1267348.44</v>
      </c>
      <c r="H12" s="166" t="n">
        <v>1.5</v>
      </c>
      <c r="I12" s="0" t="n">
        <v>1</v>
      </c>
      <c r="J12" s="0" t="n">
        <v>71</v>
      </c>
      <c r="K12" s="0" t="n">
        <v>2.4</v>
      </c>
      <c r="L12" s="167" t="n">
        <v>10.3848408324716</v>
      </c>
      <c r="M12" s="0" t="n">
        <f aca="false">(1/(1/D12+1/E12)+L12)*(20--2)</f>
        <v>5775.17285560119</v>
      </c>
      <c r="N12" s="0" t="n">
        <v>50</v>
      </c>
      <c r="O12" s="0" t="n">
        <f aca="false">M12/(20-R12)</f>
        <v>288.758642780059</v>
      </c>
      <c r="P12" s="0" t="n">
        <f aca="false">14*M12/1000</f>
        <v>80.8524199784166</v>
      </c>
      <c r="Q12" s="0" t="n">
        <f aca="false">P12*4200</f>
        <v>339580.16390935</v>
      </c>
      <c r="R12" s="0" t="n">
        <v>0</v>
      </c>
      <c r="S12" s="0" t="n">
        <f aca="false">(1/(1/D12+1/E12)+L12)*(50-25)/(25-R12)</f>
        <v>262.507857072781</v>
      </c>
      <c r="T12" s="0" t="n">
        <f aca="false">S12*(50-25)/(25-R12)*60</f>
        <v>15750.4714243669</v>
      </c>
    </row>
    <row r="13" customFormat="false" ht="12.8" hidden="false" customHeight="false" outlineLevel="0" collapsed="false">
      <c r="A13" s="0" t="n">
        <v>8</v>
      </c>
      <c r="B13" s="155" t="n">
        <v>0</v>
      </c>
      <c r="C13" s="83" t="s">
        <v>454</v>
      </c>
      <c r="D13" s="166" t="n">
        <v>351.489932687962</v>
      </c>
      <c r="E13" s="166" t="n">
        <v>351.489932687962</v>
      </c>
      <c r="F13" s="166" t="n">
        <v>15462038.9719271</v>
      </c>
      <c r="G13" s="166" t="n">
        <f aca="false">F13/25</f>
        <v>618481.558877084</v>
      </c>
      <c r="H13" s="166" t="n">
        <v>1.5</v>
      </c>
      <c r="I13" s="0" t="n">
        <v>1</v>
      </c>
      <c r="J13" s="0" t="n">
        <v>30</v>
      </c>
      <c r="K13" s="0" t="n">
        <v>2.2</v>
      </c>
      <c r="L13" s="167" t="n">
        <v>10.3791500556529</v>
      </c>
      <c r="M13" s="0" t="n">
        <f aca="false">(1/(1/D13+1/E13)+L13)*(20--2)</f>
        <v>4094.73056079195</v>
      </c>
      <c r="N13" s="0" t="n">
        <v>50</v>
      </c>
      <c r="O13" s="0" t="n">
        <f aca="false">M13/(20-R13)</f>
        <v>204.736528039597</v>
      </c>
      <c r="P13" s="0" t="n">
        <f aca="false">14*M13/1000</f>
        <v>57.3262278510872</v>
      </c>
      <c r="Q13" s="0" t="n">
        <f aca="false">P13*4200</f>
        <v>240770.156974566</v>
      </c>
      <c r="R13" s="0" t="n">
        <v>0</v>
      </c>
      <c r="S13" s="0" t="n">
        <f aca="false">(1/(1/D13+1/E13)+L13)*(50-25)/(25-R13)</f>
        <v>186.124116399634</v>
      </c>
      <c r="T13" s="0" t="n">
        <f aca="false">S13*(50-25)/(25-R13)*60</f>
        <v>11167.446983978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60546875" defaultRowHeight="12.8" zeroHeight="false" outlineLevelRow="0" outlineLevelCol="0"/>
  <cols>
    <col collapsed="false" customWidth="true" hidden="false" outlineLevel="0" max="8" min="7" style="0" width="16.39"/>
  </cols>
  <sheetData>
    <row r="1" customFormat="false" ht="15" hidden="false" customHeight="false" outlineLevel="0" collapsed="false">
      <c r="A1" s="142" t="s">
        <v>455</v>
      </c>
      <c r="B1" s="142"/>
      <c r="C1" s="142"/>
      <c r="F1" s="143" t="s">
        <v>344</v>
      </c>
    </row>
    <row r="2" customFormat="false" ht="35.05" hidden="false" customHeight="false" outlineLevel="0" collapsed="false">
      <c r="A2" s="145" t="s">
        <v>456</v>
      </c>
      <c r="B2" s="145" t="s">
        <v>457</v>
      </c>
      <c r="C2" s="145" t="s">
        <v>458</v>
      </c>
      <c r="D2" s="145" t="s">
        <v>459</v>
      </c>
      <c r="E2" s="145" t="s">
        <v>460</v>
      </c>
      <c r="F2" s="145" t="s">
        <v>461</v>
      </c>
      <c r="G2" s="145" t="s">
        <v>462</v>
      </c>
      <c r="H2" s="145" t="s">
        <v>463</v>
      </c>
    </row>
    <row r="3" customFormat="false" ht="12.8" hidden="false" customHeight="false" outlineLevel="0" collapsed="false">
      <c r="A3" s="147"/>
      <c r="B3" s="147"/>
      <c r="C3" s="147"/>
      <c r="D3" s="147"/>
      <c r="E3" s="147"/>
      <c r="F3" s="147"/>
      <c r="G3" s="147"/>
      <c r="H3" s="148"/>
    </row>
    <row r="4" customFormat="false" ht="12.8" hidden="false" customHeight="false" outlineLevel="0" collapsed="false">
      <c r="A4" s="149"/>
      <c r="B4" s="149"/>
      <c r="C4" s="149"/>
      <c r="D4" s="149" t="s">
        <v>464</v>
      </c>
      <c r="E4" s="149" t="s">
        <v>465</v>
      </c>
      <c r="F4" s="150" t="s">
        <v>466</v>
      </c>
      <c r="G4" s="150" t="s">
        <v>466</v>
      </c>
      <c r="H4" s="149"/>
    </row>
    <row r="5" customFormat="false" ht="12.8" hidden="false" customHeight="false" outlineLevel="0" collapsed="false">
      <c r="A5" s="0" t="n">
        <v>1</v>
      </c>
      <c r="B5" s="0" t="s">
        <v>467</v>
      </c>
      <c r="C5" s="155" t="n">
        <v>0.25</v>
      </c>
      <c r="D5" s="83" t="n">
        <v>79.2</v>
      </c>
      <c r="E5" s="83" t="n">
        <v>19</v>
      </c>
      <c r="F5" s="83" t="n">
        <v>11</v>
      </c>
      <c r="G5" s="83" t="n">
        <v>225</v>
      </c>
      <c r="H5" s="0" t="s">
        <v>468</v>
      </c>
    </row>
    <row r="6" customFormat="false" ht="12.8" hidden="false" customHeight="false" outlineLevel="0" collapsed="false">
      <c r="A6" s="0" t="n">
        <v>2</v>
      </c>
      <c r="B6" s="0" t="s">
        <v>469</v>
      </c>
      <c r="C6" s="155" t="n">
        <v>0.25</v>
      </c>
      <c r="D6" s="83" t="n">
        <v>45</v>
      </c>
      <c r="E6" s="83" t="n">
        <v>14</v>
      </c>
      <c r="F6" s="83" t="n">
        <v>7.2</v>
      </c>
      <c r="G6" s="83" t="n">
        <v>100</v>
      </c>
      <c r="H6" s="0" t="s">
        <v>470</v>
      </c>
    </row>
    <row r="7" customFormat="false" ht="12.8" hidden="false" customHeight="false" outlineLevel="0" collapsed="false">
      <c r="A7" s="0" t="n">
        <v>3</v>
      </c>
      <c r="B7" s="0" t="s">
        <v>471</v>
      </c>
      <c r="C7" s="155" t="n">
        <v>0.25</v>
      </c>
      <c r="D7" s="83" t="n">
        <v>95</v>
      </c>
      <c r="E7" s="83" t="n">
        <v>24</v>
      </c>
      <c r="F7" s="83" t="n">
        <v>11</v>
      </c>
      <c r="G7" s="83" t="n">
        <v>150</v>
      </c>
      <c r="H7" s="0" t="s">
        <v>472</v>
      </c>
    </row>
    <row r="8" customFormat="false" ht="12.8" hidden="false" customHeight="false" outlineLevel="0" collapsed="false">
      <c r="A8" s="0" t="n">
        <v>4</v>
      </c>
      <c r="B8" s="0" t="s">
        <v>473</v>
      </c>
      <c r="C8" s="155" t="n">
        <v>0.25</v>
      </c>
      <c r="D8" s="83" t="n">
        <v>18.7</v>
      </c>
      <c r="E8" s="0" t="n">
        <v>12</v>
      </c>
      <c r="F8" s="83" t="n">
        <v>3.6</v>
      </c>
      <c r="G8" s="83" t="n">
        <v>40</v>
      </c>
      <c r="H8" s="159" t="s">
        <v>474</v>
      </c>
    </row>
    <row r="9" customFormat="false" ht="12.8" hidden="false" customHeight="false" outlineLevel="0" collapsed="false">
      <c r="D9" s="83"/>
      <c r="F9" s="83"/>
      <c r="G9" s="83"/>
      <c r="H9" s="159"/>
    </row>
    <row r="10" customFormat="false" ht="12.8" hidden="false" customHeight="false" outlineLevel="0" collapsed="false">
      <c r="D10" s="83"/>
      <c r="F10" s="83"/>
      <c r="G10" s="83"/>
      <c r="H10" s="1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2021-04-23T11:25:06Z</dcterms:modified>
  <cp:revision>52</cp:revision>
  <dc:subject/>
  <dc:title/>
</cp:coreProperties>
</file>