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_rels/sheet3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ppliances" sheetId="1" state="visible" r:id="rId2"/>
    <sheet name="ActivityStats" sheetId="2" state="visible" r:id="rId3"/>
    <sheet name="Lighting" sheetId="3" state="visible" r:id="rId4"/>
    <sheet name="Heating Systems" sheetId="4" state="visible" r:id="rId5"/>
    <sheet name="Buildings" sheetId="5" state="visible" r:id="rId6"/>
    <sheet name="Main" sheetId="6" state="visible" r:id="rId7"/>
    <sheet name="Electric Cars" sheetId="7" state="visible" r:id="rId8"/>
    <sheet name="Charging Station" sheetId="8" state="visible" r:id="rId9"/>
    <sheet name="Current track" sheetId="9" state="visible" r:id="rId10"/>
  </sheets>
  <externalReferences>
    <externalReference r:id="rId11"/>
  </externalReferences>
  <definedNames>
    <definedName function="false" hidden="false" name="rProbActivelyOccupied" vbProcedure="false">[1]ActivityStats!$D$10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<sst xmlns="http://schemas.openxmlformats.org/spreadsheetml/2006/main" count="669" uniqueCount="462">
  <si>
    <t xml:space="preserve">Appliance and water fixture model configuration</t>
  </si>
  <si>
    <t xml:space="preserve">means used by code, from CREST</t>
  </si>
  <si>
    <t xml:space="preserve"> </t>
  </si>
  <si>
    <t xml:space="preserve">means for germany (appliance penetration dataset)</t>
  </si>
  <si>
    <t xml:space="preserve">derived from TOU</t>
  </si>
  <si>
    <t xml:space="preserve">From websites (must be improved)</t>
  </si>
  <si>
    <t xml:space="preserve">From charging time (websites)</t>
  </si>
  <si>
    <t xml:space="preserve">means ultimately a power input required from external data sources</t>
  </si>
  <si>
    <t xml:space="preserve">From Frondel 2019_Heterogeneity inGerman Residential Electricity Consumption A quantileregression approach.pdf</t>
  </si>
  <si>
    <t xml:space="preserve">Guessed</t>
  </si>
  <si>
    <t xml:space="preserve">Appliance category</t>
  </si>
  <si>
    <t xml:space="preserve">Appliance type</t>
  </si>
  <si>
    <t xml:space="preserve">Proportion</t>
  </si>
  <si>
    <t xml:space="preserve">Appliance demand configuration for UK</t>
  </si>
  <si>
    <t xml:space="preserve">of dwellings</t>
  </si>
  <si>
    <t xml:space="preserve">Time appliance</t>
  </si>
  <si>
    <t xml:space="preserve">Time when</t>
  </si>
  <si>
    <t xml:space="preserve">Time when </t>
  </si>
  <si>
    <t xml:space="preserve">Average tme </t>
  </si>
  <si>
    <t xml:space="preserve">Probability of </t>
  </si>
  <si>
    <t xml:space="preserve">Overall average demand</t>
  </si>
  <si>
    <t xml:space="preserve">Appliance</t>
  </si>
  <si>
    <t xml:space="preserve">with</t>
  </si>
  <si>
    <t xml:space="preserve">Associated</t>
  </si>
  <si>
    <t xml:space="preserve">Probabilistic Means that it is  not always ON during the full duration of act</t>
  </si>
  <si>
    <t xml:space="preserve">Average</t>
  </si>
  <si>
    <t xml:space="preserve">Total number</t>
  </si>
  <si>
    <t xml:space="preserve">Average number</t>
  </si>
  <si>
    <t xml:space="preserve">Should stop if occupants leave</t>
  </si>
  <si>
    <t xml:space="preserve">Active occupancy</t>
  </si>
  <si>
    <t xml:space="preserve">Active</t>
  </si>
  <si>
    <t xml:space="preserve">Number of minutes</t>
  </si>
  <si>
    <t xml:space="preserve">Probability of</t>
  </si>
  <si>
    <t xml:space="preserve">Delay start</t>
  </si>
  <si>
    <t xml:space="preserve">Target number</t>
  </si>
  <si>
    <t xml:space="preserve">spent running</t>
  </si>
  <si>
    <t xml:space="preserve">spent in delayed</t>
  </si>
  <si>
    <t xml:space="preserve">appliance is</t>
  </si>
  <si>
    <t xml:space="preserve">appliance could</t>
  </si>
  <si>
    <t xml:space="preserve">between switch</t>
  </si>
  <si>
    <t xml:space="preserve">switch on event</t>
  </si>
  <si>
    <t xml:space="preserve">per dwelling taking</t>
  </si>
  <si>
    <t xml:space="preserve">mean</t>
  </si>
  <si>
    <t xml:space="preserve">Heat gains ratio</t>
  </si>
  <si>
    <t xml:space="preserve">Can be used only after other app</t>
  </si>
  <si>
    <t xml:space="preserve">Can be started only after activity ends</t>
  </si>
  <si>
    <t xml:space="preserve">appliance</t>
  </si>
  <si>
    <t xml:space="preserve">activity use</t>
  </si>
  <si>
    <t xml:space="preserve">activity in</t>
  </si>
  <si>
    <t xml:space="preserve">activity</t>
  </si>
  <si>
    <t xml:space="preserve">of minutes</t>
  </si>
  <si>
    <t xml:space="preserve">of minutes activity</t>
  </si>
  <si>
    <t xml:space="preserve">activity occurring</t>
  </si>
  <si>
    <t xml:space="preserve">dependent?</t>
  </si>
  <si>
    <t xml:space="preserve">occupancy-dependent</t>
  </si>
  <si>
    <t xml:space="preserve">in which appliance</t>
  </si>
  <si>
    <t xml:space="preserve">activity occurring </t>
  </si>
  <si>
    <t xml:space="preserve">Mean cycle</t>
  </si>
  <si>
    <t xml:space="preserve">Mean cycle </t>
  </si>
  <si>
    <t xml:space="preserve">after cycle</t>
  </si>
  <si>
    <t xml:space="preserve">Standby</t>
  </si>
  <si>
    <t xml:space="preserve">Standby losses</t>
  </si>
  <si>
    <t xml:space="preserve">Target demand</t>
  </si>
  <si>
    <t xml:space="preserve">of cycles</t>
  </si>
  <si>
    <t xml:space="preserve">in period</t>
  </si>
  <si>
    <t xml:space="preserve">restart mode</t>
  </si>
  <si>
    <t xml:space="preserve">available to </t>
  </si>
  <si>
    <t xml:space="preserve">be switched on</t>
  </si>
  <si>
    <t xml:space="preserve">on events</t>
  </si>
  <si>
    <t xml:space="preserve">ownership into</t>
  </si>
  <si>
    <t xml:space="preserve">power</t>
  </si>
  <si>
    <t xml:space="preserve">(for casual</t>
  </si>
  <si>
    <t xml:space="preserve">Appliance Names</t>
  </si>
  <si>
    <t xml:space="preserve">Short name</t>
  </si>
  <si>
    <t xml:space="preserve">profile</t>
  </si>
  <si>
    <t xml:space="preserve">GTOU</t>
  </si>
  <si>
    <t xml:space="preserve">probability</t>
  </si>
  <si>
    <t xml:space="preserve">performed in period</t>
  </si>
  <si>
    <t xml:space="preserve">can operate</t>
  </si>
  <si>
    <t xml:space="preserve">given active</t>
  </si>
  <si>
    <t xml:space="preserve">demand</t>
  </si>
  <si>
    <t xml:space="preserve">length</t>
  </si>
  <si>
    <t xml:space="preserve">has finished</t>
  </si>
  <si>
    <t xml:space="preserve">Power</t>
  </si>
  <si>
    <t xml:space="preserve">for period</t>
  </si>
  <si>
    <t xml:space="preserve">for cycles only</t>
  </si>
  <si>
    <t xml:space="preserve">switch on</t>
  </si>
  <si>
    <t xml:space="preserve">due to activity occurring</t>
  </si>
  <si>
    <t xml:space="preserve">account</t>
  </si>
  <si>
    <t xml:space="preserve">factor</t>
  </si>
  <si>
    <t xml:space="preserve">thermal gains)</t>
  </si>
  <si>
    <t xml:space="preserve">(minutes/year)</t>
  </si>
  <si>
    <t xml:space="preserve">multiplier</t>
  </si>
  <si>
    <t xml:space="preserve">(min)</t>
  </si>
  <si>
    <t xml:space="preserve">occupancy</t>
  </si>
  <si>
    <t xml:space="preserve">(W)</t>
  </si>
  <si>
    <t xml:space="preserve">(kWh)</t>
  </si>
  <si>
    <t xml:space="preserve">(kWh/y)</t>
  </si>
  <si>
    <t xml:space="preserve">(cycles/y)</t>
  </si>
  <si>
    <t xml:space="preserve">Water fixture configuration</t>
  </si>
  <si>
    <t xml:space="preserve">Time fixture</t>
  </si>
  <si>
    <t xml:space="preserve">fixture is</t>
  </si>
  <si>
    <t xml:space="preserve">fixture could</t>
  </si>
  <si>
    <t xml:space="preserve">in which fixture</t>
  </si>
  <si>
    <t xml:space="preserve">Standing loss</t>
  </si>
  <si>
    <t xml:space="preserve">Water fixture type</t>
  </si>
  <si>
    <t xml:space="preserve">flow rate</t>
  </si>
  <si>
    <t xml:space="preserve">flow volume</t>
  </si>
  <si>
    <t xml:space="preserve">duration</t>
  </si>
  <si>
    <t xml:space="preserve">volume for period</t>
  </si>
  <si>
    <t xml:space="preserve">(minutes/day)</t>
  </si>
  <si>
    <t xml:space="preserve">(litres/min)</t>
  </si>
  <si>
    <t xml:space="preserve">(litre)</t>
  </si>
  <si>
    <t xml:space="preserve">(litres)</t>
  </si>
  <si>
    <t xml:space="preserve">(litres/day)</t>
  </si>
  <si>
    <t xml:space="preserve">(cycles/day)</t>
  </si>
  <si>
    <t xml:space="preserve">name</t>
  </si>
  <si>
    <t xml:space="preserve">type</t>
  </si>
  <si>
    <t xml:space="preserve">equipped_prob</t>
  </si>
  <si>
    <t xml:space="preserve">related_activity</t>
  </si>
  <si>
    <t xml:space="preserve">probabilistic</t>
  </si>
  <si>
    <t xml:space="preserve">inactive_switch_off</t>
  </si>
  <si>
    <t xml:space="preserve">mean_elec_consumption </t>
  </si>
  <si>
    <t xml:space="preserve">mean_water_consumption </t>
  </si>
  <si>
    <t xml:space="preserve">uses_water </t>
  </si>
  <si>
    <t xml:space="preserve">mean_duration </t>
  </si>
  <si>
    <t xml:space="preserve">after_cycle_delay </t>
  </si>
  <si>
    <t xml:space="preserve">standby_consumption </t>
  </si>
  <si>
    <t xml:space="preserve">target_consumption_kWh_year</t>
  </si>
  <si>
    <t xml:space="preserve">poisson_sampling_lambda_liters </t>
  </si>
  <si>
    <t xml:space="preserve">target_cycle_year</t>
  </si>
  <si>
    <t xml:space="preserve">target_time_running_min_year</t>
  </si>
  <si>
    <t xml:space="preserve">switch_on_prob_crest </t>
  </si>
  <si>
    <t xml:space="preserve">mean_power_factor </t>
  </si>
  <si>
    <t xml:space="preserve">heat_gains_ratio </t>
  </si>
  <si>
    <t xml:space="preserve">previous_appliance_type</t>
  </si>
  <si>
    <t xml:space="preserve">previous_activity</t>
  </si>
  <si>
    <t xml:space="preserve">Cold</t>
  </si>
  <si>
    <t xml:space="preserve">Fridge</t>
  </si>
  <si>
    <t xml:space="preserve">FRIDGE1</t>
  </si>
  <si>
    <t xml:space="preserve">fridge </t>
  </si>
  <si>
    <t xml:space="preserve">level</t>
  </si>
  <si>
    <t xml:space="preserve">FRIDGE2</t>
  </si>
  <si>
    <t xml:space="preserve">Freezer</t>
  </si>
  <si>
    <t xml:space="preserve">FREEZER1</t>
  </si>
  <si>
    <t xml:space="preserve">freezer </t>
  </si>
  <si>
    <t xml:space="preserve">FREEZER2</t>
  </si>
  <si>
    <t xml:space="preserve">Consumer Electronics + ICT</t>
  </si>
  <si>
    <t xml:space="preserve">Telephone (fixed)</t>
  </si>
  <si>
    <t xml:space="preserve">PHONE</t>
  </si>
  <si>
    <t xml:space="preserve">fixed_phone </t>
  </si>
  <si>
    <t xml:space="preserve">active_occupancy </t>
  </si>
  <si>
    <t xml:space="preserve">Iron</t>
  </si>
  <si>
    <t xml:space="preserve">IRON</t>
  </si>
  <si>
    <t xml:space="preserve">iron </t>
  </si>
  <si>
    <t xml:space="preserve">ironing </t>
  </si>
  <si>
    <t xml:space="preserve">Vacuum</t>
  </si>
  <si>
    <t xml:space="preserve">VACUUM</t>
  </si>
  <si>
    <t xml:space="preserve">vacuum_cleaner </t>
  </si>
  <si>
    <t xml:space="preserve">cleaning </t>
  </si>
  <si>
    <t xml:space="preserve">Computer fixed</t>
  </si>
  <si>
    <t xml:space="preserve">PC1</t>
  </si>
  <si>
    <t xml:space="preserve">fixed_computer </t>
  </si>
  <si>
    <t xml:space="preserve">electronics </t>
  </si>
  <si>
    <t xml:space="preserve">PC2</t>
  </si>
  <si>
    <t xml:space="preserve">Laptop/Notebook</t>
  </si>
  <si>
    <t xml:space="preserve">LAPTOP1</t>
  </si>
  <si>
    <t xml:space="preserve">laptop_computer </t>
  </si>
  <si>
    <t xml:space="preserve">LAPTOP2</t>
  </si>
  <si>
    <t xml:space="preserve">Tablet</t>
  </si>
  <si>
    <t xml:space="preserve">TABLET</t>
  </si>
  <si>
    <t xml:space="preserve">tablet </t>
  </si>
  <si>
    <t xml:space="preserve">Printer</t>
  </si>
  <si>
    <t xml:space="preserve">PRINTER</t>
  </si>
  <si>
    <t xml:space="preserve">printer </t>
  </si>
  <si>
    <t xml:space="preserve">TV</t>
  </si>
  <si>
    <t xml:space="preserve">TV1</t>
  </si>
  <si>
    <t xml:space="preserve">tv </t>
  </si>
  <si>
    <t xml:space="preserve">watching_tv </t>
  </si>
  <si>
    <t xml:space="preserve">TV2</t>
  </si>
  <si>
    <t xml:space="preserve">DVD &amp; Blu-ray reader</t>
  </si>
  <si>
    <t xml:space="preserve">VCR_DVD</t>
  </si>
  <si>
    <t xml:space="preserve">blueray_console </t>
  </si>
  <si>
    <t xml:space="preserve">TV Receiver box</t>
  </si>
  <si>
    <t xml:space="preserve">RECEIVER</t>
  </si>
  <si>
    <t xml:space="preserve">tv_box </t>
  </si>
  <si>
    <t xml:space="preserve">Game console</t>
  </si>
  <si>
    <t xml:space="preserve">CONSOLE</t>
  </si>
  <si>
    <t xml:space="preserve">gaming_console </t>
  </si>
  <si>
    <t xml:space="preserve">Cooking</t>
  </si>
  <si>
    <t xml:space="preserve">Cooking plates electric</t>
  </si>
  <si>
    <t xml:space="preserve">HOB_ELEC</t>
  </si>
  <si>
    <t xml:space="preserve">electric_hob </t>
  </si>
  <si>
    <t xml:space="preserve">cooking </t>
  </si>
  <si>
    <t xml:space="preserve">Cooking plates gaz</t>
  </si>
  <si>
    <t xml:space="preserve">HOB_GAZ</t>
  </si>
  <si>
    <t xml:space="preserve">gaz_hob </t>
  </si>
  <si>
    <t xml:space="preserve">Oven</t>
  </si>
  <si>
    <t xml:space="preserve">OVEN</t>
  </si>
  <si>
    <t xml:space="preserve">oven </t>
  </si>
  <si>
    <t xml:space="preserve">Micro-wave</t>
  </si>
  <si>
    <t xml:space="preserve">MICROWAVE</t>
  </si>
  <si>
    <t xml:space="preserve">microwave </t>
  </si>
  <si>
    <t xml:space="preserve">Kettle</t>
  </si>
  <si>
    <t xml:space="preserve">KETTLE</t>
  </si>
  <si>
    <t xml:space="preserve">kettle </t>
  </si>
  <si>
    <t xml:space="preserve">Small cooking (group)</t>
  </si>
  <si>
    <t xml:space="preserve">SMALL_COOKING</t>
  </si>
  <si>
    <t xml:space="preserve">toaster </t>
  </si>
  <si>
    <t xml:space="preserve">Wet</t>
  </si>
  <si>
    <t xml:space="preserve">Dish washer</t>
  </si>
  <si>
    <t xml:space="preserve">DISH_WASHER</t>
  </si>
  <si>
    <t xml:space="preserve">dishwasher </t>
  </si>
  <si>
    <t xml:space="preserve">dishwashing </t>
  </si>
  <si>
    <t xml:space="preserve">Dryer</t>
  </si>
  <si>
    <t xml:space="preserve">TUMBLE_DRYER</t>
  </si>
  <si>
    <t xml:space="preserve">dryer </t>
  </si>
  <si>
    <t xml:space="preserve">laundry </t>
  </si>
  <si>
    <t xml:space="preserve">washingmachine </t>
  </si>
  <si>
    <t xml:space="preserve">Washing machine</t>
  </si>
  <si>
    <t xml:space="preserve">WASHING_MACHINE</t>
  </si>
  <si>
    <t xml:space="preserve">Washer dryer</t>
  </si>
  <si>
    <t xml:space="preserve">WASHER_DRYER</t>
  </si>
  <si>
    <t xml:space="preserve">washer_dryer </t>
  </si>
  <si>
    <t xml:space="preserve">Basin</t>
  </si>
  <si>
    <t xml:space="preserve">BASIN</t>
  </si>
  <si>
    <t xml:space="preserve">basin </t>
  </si>
  <si>
    <t xml:space="preserve">self_washing </t>
  </si>
  <si>
    <t xml:space="preserve">Sink</t>
  </si>
  <si>
    <t xml:space="preserve">SINK</t>
  </si>
  <si>
    <t xml:space="preserve">sink </t>
  </si>
  <si>
    <t xml:space="preserve">Shower</t>
  </si>
  <si>
    <t xml:space="preserve">SHOWER</t>
  </si>
  <si>
    <t xml:space="preserve">shower </t>
  </si>
  <si>
    <t xml:space="preserve">Bath</t>
  </si>
  <si>
    <t xml:space="preserve">BATH</t>
  </si>
  <si>
    <t xml:space="preserve">bath </t>
  </si>
  <si>
    <t xml:space="preserve">Active occupant and activity statistics (derived from the german TOU.)</t>
  </si>
  <si>
    <t xml:space="preserve">Activity</t>
  </si>
  <si>
    <t xml:space="preserve">Activity name</t>
  </si>
  <si>
    <t xml:space="preserve">Average activity probability (or average proportion of time where at least one active occupant is engaged in this activity)</t>
  </si>
  <si>
    <t xml:space="preserve">Watching television</t>
  </si>
  <si>
    <t xml:space="preserve">Performing cooking activities</t>
  </si>
  <si>
    <t xml:space="preserve">Doing laundry</t>
  </si>
  <si>
    <t xml:space="preserve">Washing or dressing</t>
  </si>
  <si>
    <t xml:space="preserve">Ironing</t>
  </si>
  <si>
    <t xml:space="preserve">Cleaning the house</t>
  </si>
  <si>
    <t xml:space="preserve">Using electronics</t>
  </si>
  <si>
    <t xml:space="preserve">Cleaning after dinner</t>
  </si>
  <si>
    <t xml:space="preserve">Lighting Model Configuration</t>
  </si>
  <si>
    <t xml:space="preserve">1. General configuration</t>
  </si>
  <si>
    <t xml:space="preserve">Mean</t>
  </si>
  <si>
    <t xml:space="preserve">S.D.</t>
  </si>
  <si>
    <t xml:space="preserve">House external global irradiance threshold</t>
  </si>
  <si>
    <t xml:space="preserve">W/m2</t>
  </si>
  <si>
    <t xml:space="preserve">Random variable, X</t>
  </si>
  <si>
    <t xml:space="preserve">Relative bulb use</t>
  </si>
  <si>
    <t xml:space="preserve">2. Relative bulb use weighting</t>
  </si>
  <si>
    <t xml:space="preserve">This represents the concept that some bulbs are used more frequently than others in a house.</t>
  </si>
  <si>
    <t xml:space="preserve">weighting</t>
  </si>
  <si>
    <t xml:space="preserve">Curve is of the form: h(t) = - Ln(X)</t>
  </si>
  <si>
    <t xml:space="preserve">3. Calibration scalar</t>
  </si>
  <si>
    <t xml:space="preserve">This calibration scaler is used to calibrate the model to so that it provides a particular average output over a large number of runs.</t>
  </si>
  <si>
    <t xml:space="preserve">Calibration scalar</t>
  </si>
  <si>
    <t xml:space="preserve">z</t>
  </si>
  <si>
    <t xml:space="preserve">4. Effective occupancy</t>
  </si>
  <si>
    <t xml:space="preserve">Effective occupancy represents the sharing of light use.</t>
  </si>
  <si>
    <t xml:space="preserve">Derived from:</t>
  </si>
  <si>
    <t xml:space="preserve">U.S. Department of Energy, Energy Information Administration, 1993 Residential Energy Consumption Survey, </t>
  </si>
  <si>
    <t xml:space="preserve">Mean Annual Electricity Consumption for Lighting, by Family Income by Number of Household Members</t>
  </si>
  <si>
    <t xml:space="preserve">Number of </t>
  </si>
  <si>
    <t xml:space="preserve">Effective</t>
  </si>
  <si>
    <t xml:space="preserve">active occupants</t>
  </si>
  <si>
    <t xml:space="preserve">5. Lighting event duration model</t>
  </si>
  <si>
    <t xml:space="preserve">This model defines how long a bulb will stay on for, if a switch-on event occurs.</t>
  </si>
  <si>
    <t xml:space="preserve">Source:</t>
  </si>
  <si>
    <t xml:space="preserve">M. Stokes, M. Rylatt, K. Lomas, A simple model of domestic lighting demand, Energy and Buildings 36 (2004) 103-116</t>
  </si>
  <si>
    <t xml:space="preserve">range of equal</t>
  </si>
  <si>
    <t xml:space="preserve">lower value</t>
  </si>
  <si>
    <t xml:space="preserve">upper value</t>
  </si>
  <si>
    <t xml:space="preserve">cumulative</t>
  </si>
  <si>
    <t xml:space="preserve">probability number</t>
  </si>
  <si>
    <t xml:space="preserve">(minutes)</t>
  </si>
  <si>
    <t xml:space="preserve">6. Installed bulbs</t>
  </si>
  <si>
    <t xml:space="preserve">Defines how the households are populated with lights, normal distribution</t>
  </si>
  <si>
    <t xml:space="preserve">Frondel 2019</t>
  </si>
  <si>
    <t xml:space="preserve">Mean number of bulbs</t>
  </si>
  <si>
    <t xml:space="preserve">Std for number of bulbs</t>
  </si>
  <si>
    <t xml:space="preserve">6. Bulb types</t>
  </si>
  <si>
    <t xml:space="preserve">Defines how the households are populated with lights</t>
  </si>
  <si>
    <t xml:space="preserve">Penetration</t>
  </si>
  <si>
    <t xml:space="preserve">Consumption[W]</t>
  </si>
  <si>
    <t xml:space="preserve">LED</t>
  </si>
  <si>
    <t xml:space="preserve">CFL</t>
  </si>
  <si>
    <t xml:space="preserve">Incandescent</t>
  </si>
  <si>
    <t xml:space="preserve">Heating or Cooling system model parameters</t>
  </si>
  <si>
    <t xml:space="preserve"> guessed</t>
  </si>
  <si>
    <t xml:space="preserve">Primary heating system index</t>
  </si>
  <si>
    <t xml:space="preserve">Proportion of dwellings with this heating system</t>
  </si>
  <si>
    <t xml:space="preserve">Type of heating unit</t>
  </si>
  <si>
    <t xml:space="preserve">Type of system</t>
  </si>
  <si>
    <t xml:space="preserve">Type of fuel</t>
  </si>
  <si>
    <t xml:space="preserve">Fuel flow rate (nominal)</t>
  </si>
  <si>
    <t xml:space="preserve">Calorific value of fuel</t>
  </si>
  <si>
    <t xml:space="preserve">Calorific value of fuel flow rate</t>
  </si>
  <si>
    <t xml:space="preserve">Thermal efficiency</t>
  </si>
  <si>
    <t xml:space="preserve">Heat output of unit</t>
  </si>
  <si>
    <t xml:space="preserve">Standby power</t>
  </si>
  <si>
    <t xml:space="preserve">Pump power</t>
  </si>
  <si>
    <t xml:space="preserve">DHW cylinder volume</t>
  </si>
  <si>
    <t xml:space="preserve">DHW Tank Heat Loss</t>
  </si>
  <si>
    <t xml:space="preserve">DHW Thermal efficiency</t>
  </si>
  <si>
    <t xml:space="preserve">DHW Heat output of unit</t>
  </si>
  <si>
    <t xml:space="preserve">True = is combi</t>
  </si>
  <si>
    <r>
      <rPr>
        <i val="true"/>
        <sz val="10"/>
        <rFont val="Arial"/>
        <family val="2"/>
        <charset val="1"/>
      </rPr>
      <t xml:space="preserve">m</t>
    </r>
    <r>
      <rPr>
        <i val="true"/>
        <vertAlign val="subscript"/>
        <sz val="10"/>
        <rFont val="Arial"/>
        <family val="2"/>
        <charset val="1"/>
      </rPr>
      <t xml:space="preserve">fuel</t>
    </r>
  </si>
  <si>
    <r>
      <rPr>
        <i val="true"/>
        <sz val="10"/>
        <rFont val="Arial"/>
        <family val="2"/>
        <charset val="1"/>
      </rPr>
      <t xml:space="preserve">η</t>
    </r>
    <r>
      <rPr>
        <i val="true"/>
        <vertAlign val="subscript"/>
        <sz val="10"/>
        <rFont val="Arial"/>
        <family val="2"/>
        <charset val="1"/>
      </rPr>
      <t xml:space="preserve">h</t>
    </r>
  </si>
  <si>
    <r>
      <rPr>
        <i val="true"/>
        <sz val="10"/>
        <rFont val="Arial"/>
        <family val="2"/>
        <charset val="1"/>
      </rPr>
      <t xml:space="preserve">φ</t>
    </r>
    <r>
      <rPr>
        <i val="true"/>
        <vertAlign val="subscript"/>
        <sz val="10"/>
        <rFont val="Arial"/>
        <family val="2"/>
        <charset val="1"/>
      </rPr>
      <t xml:space="preserve">h</t>
    </r>
  </si>
  <si>
    <r>
      <rPr>
        <i val="true"/>
        <sz val="10"/>
        <rFont val="Arial"/>
        <family val="2"/>
        <charset val="1"/>
      </rPr>
      <t xml:space="preserve">P</t>
    </r>
    <r>
      <rPr>
        <i val="true"/>
        <vertAlign val="subscript"/>
        <sz val="10"/>
        <rFont val="Arial"/>
        <family val="2"/>
        <charset val="1"/>
      </rPr>
      <t xml:space="preserve">standby</t>
    </r>
  </si>
  <si>
    <r>
      <rPr>
        <i val="true"/>
        <sz val="10"/>
        <rFont val="Arial"/>
        <family val="2"/>
        <charset val="1"/>
      </rPr>
      <t xml:space="preserve">P</t>
    </r>
    <r>
      <rPr>
        <i val="true"/>
        <vertAlign val="subscript"/>
        <sz val="10"/>
        <rFont val="Arial"/>
        <family val="2"/>
        <charset val="1"/>
      </rPr>
      <t xml:space="preserve">pump</t>
    </r>
  </si>
  <si>
    <r>
      <rPr>
        <i val="true"/>
        <sz val="10"/>
        <rFont val="Arial"/>
        <family val="2"/>
        <charset val="1"/>
      </rPr>
      <t xml:space="preserve">V</t>
    </r>
    <r>
      <rPr>
        <i val="true"/>
        <vertAlign val="subscript"/>
        <sz val="10"/>
        <rFont val="Arial"/>
        <family val="2"/>
        <charset val="1"/>
      </rPr>
      <t xml:space="preserve">cyl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</si>
  <si>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loss</t>
    </r>
  </si>
  <si>
    <r>
      <rPr>
        <sz val="10"/>
        <rFont val="Arial"/>
        <family val="2"/>
        <charset val="1"/>
      </rPr>
      <t xml:space="preserve">m</t>
    </r>
    <r>
      <rPr>
        <vertAlign val="superscript"/>
        <sz val="10"/>
        <rFont val="Arial"/>
        <family val="2"/>
        <charset val="1"/>
      </rPr>
      <t xml:space="preserve">3</t>
    </r>
    <r>
      <rPr>
        <sz val="10"/>
        <rFont val="Arial"/>
        <family val="2"/>
        <charset val="1"/>
      </rPr>
      <t xml:space="preserve">/h or kW</t>
    </r>
  </si>
  <si>
    <r>
      <rPr>
        <sz val="10"/>
        <rFont val="Arial"/>
        <family val="2"/>
        <charset val="1"/>
      </rPr>
      <t xml:space="preserve">MJ/m</t>
    </r>
    <r>
      <rPr>
        <vertAlign val="superscript"/>
        <sz val="10"/>
        <rFont val="Arial"/>
        <family val="2"/>
        <charset val="1"/>
      </rPr>
      <t xml:space="preserve">3 </t>
    </r>
    <r>
      <rPr>
        <sz val="10"/>
        <rFont val="Arial"/>
        <family val="2"/>
        <charset val="1"/>
      </rPr>
      <t xml:space="preserve">or MJ/kWh</t>
    </r>
  </si>
  <si>
    <t xml:space="preserve">W</t>
  </si>
  <si>
    <t xml:space="preserve">%</t>
  </si>
  <si>
    <t xml:space="preserve">ltr</t>
  </si>
  <si>
    <r>
      <rPr>
        <sz val="10"/>
        <rFont val="Arial"/>
        <family val="2"/>
        <charset val="1"/>
      </rPr>
      <t xml:space="preserve">WK</t>
    </r>
    <r>
      <rPr>
        <vertAlign val="superscript"/>
        <sz val="10"/>
        <rFont val="Arial"/>
        <family val="2"/>
        <charset val="1"/>
      </rPr>
      <t xml:space="preserve">-1</t>
    </r>
  </si>
  <si>
    <t xml:space="preserve">is_combi</t>
  </si>
  <si>
    <t xml:space="preserve">fuel_type </t>
  </si>
  <si>
    <t xml:space="preserve">fuel_flow_rate </t>
  </si>
  <si>
    <t xml:space="preserve">flow_rate_to_W </t>
  </si>
  <si>
    <t xml:space="preserve">heat_output_sh</t>
  </si>
  <si>
    <t xml:space="preserve">standby_power </t>
  </si>
  <si>
    <t xml:space="preserve">pump_power </t>
  </si>
  <si>
    <t xml:space="preserve">cyl_volume </t>
  </si>
  <si>
    <t xml:space="preserve">cyl_loss</t>
  </si>
  <si>
    <t xml:space="preserve">heat_output_dhw </t>
  </si>
  <si>
    <t xml:space="preserve">Boiler (regular)</t>
  </si>
  <si>
    <t xml:space="preserve">Mains gas</t>
  </si>
  <si>
    <t xml:space="preserve">Boiler (combi)</t>
  </si>
  <si>
    <t xml:space="preserve">Boiler (system)</t>
  </si>
  <si>
    <t xml:space="preserve">No Heating or Cooling</t>
  </si>
  <si>
    <t xml:space="preserve">Electricity</t>
  </si>
  <si>
    <t xml:space="preserve">Electric Water Heater</t>
  </si>
  <si>
    <t xml:space="preserve">Heat pump</t>
  </si>
  <si>
    <t xml:space="preserve">Low-order building thermal model parameters</t>
  </si>
  <si>
    <t xml:space="preserve">guessed</t>
  </si>
  <si>
    <t xml:space="preserve">Building index</t>
  </si>
  <si>
    <t xml:space="preserve">Proportion of dwellings of this building type</t>
  </si>
  <si>
    <t xml:space="preserve">Description</t>
  </si>
  <si>
    <t xml:space="preserve">Thermal transfer coefficient between outside air and external building thermal capacitance</t>
  </si>
  <si>
    <t xml:space="preserve">Thermal transfer coefficient between external building thermal capacitance and internal building thermal capacitance</t>
  </si>
  <si>
    <t xml:space="preserve">External building thermal capacitance</t>
  </si>
  <si>
    <t xml:space="preserve">Internal building thermal capacitance</t>
  </si>
  <si>
    <t xml:space="preserve">Global irradiance multiplier</t>
  </si>
  <si>
    <t xml:space="preserve">Ventilation rate, air changes per hour</t>
  </si>
  <si>
    <t xml:space="preserve">Floor area, living space</t>
  </si>
  <si>
    <t xml:space="preserve">Height, living space</t>
  </si>
  <si>
    <t xml:space="preserve">Thermal transfer coefficient representing ventilation heat loss between outside air and internal building thermal capacitance</t>
  </si>
  <si>
    <t xml:space="preserve">Heat output from emitters require to maintain interior temperature of 20 degrees with external temperature of -2 degrees, no other gains</t>
  </si>
  <si>
    <t xml:space="preserve">Nominal temperature of emitters</t>
  </si>
  <si>
    <t xml:space="preserve">Heat transfer coefficient of heat emitters</t>
  </si>
  <si>
    <t xml:space="preserve">Mass of water in heat emitters</t>
  </si>
  <si>
    <t xml:space="preserve">Thermal capacitance of heat emitters</t>
  </si>
  <si>
    <t xml:space="preserve">Nominal temperature of coolers</t>
  </si>
  <si>
    <t xml:space="preserve">Heat transfer coefficient of cool emitters to achieve interior temperature of 25 degrees with external 50, no other gains</t>
  </si>
  <si>
    <t xml:space="preserve">Thermal capacitance of cool emitters, sized to cool from 25 deg to nominal cooler temperature in five minutes</t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</si>
  <si>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ob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</si>
  <si>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bi</t>
    </r>
  </si>
  <si>
    <r>
      <rPr>
        <i val="true"/>
        <sz val="10"/>
        <rFont val="Arial"/>
        <family val="2"/>
        <charset val="1"/>
      </rPr>
      <t xml:space="preserve">C</t>
    </r>
    <r>
      <rPr>
        <i val="true"/>
        <vertAlign val="subscript"/>
        <sz val="10"/>
        <rFont val="Arial"/>
        <family val="2"/>
        <charset val="1"/>
      </rPr>
      <t xml:space="preserve">b</t>
    </r>
  </si>
  <si>
    <r>
      <rPr>
        <i val="true"/>
        <sz val="10"/>
        <rFont val="Arial"/>
        <family val="2"/>
        <charset val="1"/>
      </rPr>
      <t xml:space="preserve">C</t>
    </r>
    <r>
      <rPr>
        <i val="true"/>
        <vertAlign val="subscript"/>
        <sz val="10"/>
        <rFont val="Arial"/>
        <family val="2"/>
        <charset val="1"/>
      </rPr>
      <t xml:space="preserve">i</t>
    </r>
  </si>
  <si>
    <r>
      <rPr>
        <i val="true"/>
        <sz val="10"/>
        <rFont val="Arial"/>
        <family val="2"/>
        <charset val="1"/>
      </rPr>
      <t xml:space="preserve">A</t>
    </r>
    <r>
      <rPr>
        <i val="true"/>
        <vertAlign val="subscript"/>
        <sz val="10"/>
        <rFont val="Arial"/>
        <family val="2"/>
        <charset val="1"/>
      </rPr>
      <t xml:space="preserve">s</t>
    </r>
  </si>
  <si>
    <t xml:space="preserve">N</t>
  </si>
  <si>
    <r>
      <rPr>
        <i val="true"/>
        <sz val="10"/>
        <rFont val="Arial"/>
        <family val="2"/>
        <charset val="1"/>
      </rPr>
      <t xml:space="preserve">A</t>
    </r>
    <r>
      <rPr>
        <i val="true"/>
        <vertAlign val="subscript"/>
        <sz val="10"/>
        <rFont val="Arial"/>
        <family val="2"/>
        <charset val="1"/>
      </rPr>
      <t xml:space="preserve">living</t>
    </r>
  </si>
  <si>
    <r>
      <rPr>
        <i val="true"/>
        <sz val="10"/>
        <rFont val="Arial"/>
        <family val="2"/>
        <charset val="1"/>
      </rPr>
      <t xml:space="preserve">L</t>
    </r>
    <r>
      <rPr>
        <i val="true"/>
        <vertAlign val="subscript"/>
        <sz val="10"/>
        <rFont val="Arial"/>
        <family val="2"/>
        <charset val="1"/>
      </rPr>
      <t xml:space="preserve">living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</si>
  <si>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v</t>
    </r>
  </si>
  <si>
    <r>
      <rPr>
        <i val="true"/>
        <sz val="10"/>
        <rFont val="Arial"/>
        <family val="2"/>
        <charset val="1"/>
      </rPr>
      <t xml:space="preserve">φ</t>
    </r>
    <r>
      <rPr>
        <i val="true"/>
        <vertAlign val="subscript"/>
        <sz val="10"/>
        <rFont val="Arial"/>
        <family val="2"/>
        <charset val="1"/>
      </rPr>
      <t xml:space="preserve">design</t>
    </r>
  </si>
  <si>
    <r>
      <rPr>
        <i val="true"/>
        <sz val="10"/>
        <rFont val="Arial"/>
        <family val="2"/>
        <charset val="1"/>
      </rPr>
      <t xml:space="preserve">θ</t>
    </r>
    <r>
      <rPr>
        <i val="true"/>
        <vertAlign val="subscript"/>
        <sz val="10"/>
        <rFont val="Arial"/>
        <family val="2"/>
        <charset val="1"/>
      </rPr>
      <t xml:space="preserve">em</t>
    </r>
  </si>
  <si>
    <r>
      <rPr>
        <i val="true"/>
        <sz val="10"/>
        <rFont val="Arial"/>
        <family val="2"/>
        <charset val="1"/>
      </rPr>
      <t xml:space="preserve">H</t>
    </r>
    <r>
      <rPr>
        <i val="true"/>
        <vertAlign val="subscript"/>
        <sz val="10"/>
        <rFont val="Arial"/>
        <family val="2"/>
        <charset val="1"/>
      </rPr>
      <t xml:space="preserve">em</t>
    </r>
  </si>
  <si>
    <r>
      <rPr>
        <i val="true"/>
        <sz val="10"/>
        <rFont val="Arial"/>
        <family val="2"/>
        <charset val="1"/>
      </rPr>
      <t xml:space="preserve">m</t>
    </r>
    <r>
      <rPr>
        <i val="true"/>
        <vertAlign val="subscript"/>
        <sz val="10"/>
        <rFont val="Arial"/>
        <family val="2"/>
        <charset val="1"/>
      </rPr>
      <t xml:space="preserve">em</t>
    </r>
  </si>
  <si>
    <r>
      <rPr>
        <i val="true"/>
        <sz val="10"/>
        <rFont val="Arial"/>
        <family val="2"/>
        <charset val="1"/>
      </rPr>
      <t xml:space="preserve">C</t>
    </r>
    <r>
      <rPr>
        <i val="true"/>
        <vertAlign val="subscript"/>
        <sz val="10"/>
        <rFont val="Arial"/>
        <family val="2"/>
        <charset val="1"/>
      </rPr>
      <t xml:space="preserve">em</t>
    </r>
  </si>
  <si>
    <t xml:space="preserve">W/K</t>
  </si>
  <si>
    <t xml:space="preserve">J/K</t>
  </si>
  <si>
    <r>
      <rPr>
        <sz val="10"/>
        <rFont val="Arial"/>
        <family val="2"/>
        <charset val="1"/>
      </rPr>
      <t xml:space="preserve">m</t>
    </r>
    <r>
      <rPr>
        <vertAlign val="superscript"/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</si>
  <si>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h</t>
    </r>
    <r>
      <rPr>
        <vertAlign val="superscript"/>
        <sz val="10"/>
        <rFont val="Arial"/>
        <family val="2"/>
        <charset val="1"/>
      </rPr>
      <t xml:space="preserve">-1</t>
    </r>
  </si>
  <si>
    <t xml:space="preserve">m</t>
  </si>
  <si>
    <t xml:space="preserve">°C</t>
  </si>
  <si>
    <t xml:space="preserve">kg</t>
  </si>
  <si>
    <t xml:space="preserve">out_build_transfer_coef </t>
  </si>
  <si>
    <t xml:space="preserve">build_int_transfer_coef </t>
  </si>
  <si>
    <t xml:space="preserve">ext_capacitance </t>
  </si>
  <si>
    <t xml:space="preserve">int_capacitance </t>
  </si>
  <si>
    <t xml:space="preserve">irradiance_multiplier </t>
  </si>
  <si>
    <t xml:space="preserve">floor_area </t>
  </si>
  <si>
    <t xml:space="preserve">height </t>
  </si>
  <si>
    <t xml:space="preserve">ventilation_transfer_coef </t>
  </si>
  <si>
    <t xml:space="preserve">emitters_target_temperature </t>
  </si>
  <si>
    <t xml:space="preserve">emitters_transfer_coef </t>
  </si>
  <si>
    <t xml:space="preserve">emitters_capacitance </t>
  </si>
  <si>
    <t xml:space="preserve">Detached</t>
  </si>
  <si>
    <t xml:space="preserve">Improved detached</t>
  </si>
  <si>
    <t xml:space="preserve">Semi-detached</t>
  </si>
  <si>
    <t xml:space="preserve">Improved semi-detached</t>
  </si>
  <si>
    <t xml:space="preserve">Terraced</t>
  </si>
  <si>
    <t xml:space="preserve">Improved terrace</t>
  </si>
  <si>
    <t xml:space="preserve">Cement block appartment</t>
  </si>
  <si>
    <t xml:space="preserve">Small brick-built house</t>
  </si>
  <si>
    <t xml:space="preserve">Electric cars models</t>
  </si>
  <si>
    <t xml:space="preserve">Index</t>
  </si>
  <si>
    <t xml:space="preserve">Car Type</t>
  </si>
  <si>
    <t xml:space="preserve">Proportion of car</t>
  </si>
  <si>
    <t xml:space="preserve">Battery capacity</t>
  </si>
  <si>
    <t xml:space="preserve">Consumption</t>
  </si>
  <si>
    <t xml:space="preserve">Max charging power AC</t>
  </si>
  <si>
    <t xml:space="preserve">Max charging power DC</t>
  </si>
  <si>
    <t xml:space="preserve">Model brand example</t>
  </si>
  <si>
    <t xml:space="preserve">kWh</t>
  </si>
  <si>
    <t xml:space="preserve">kWh/100km</t>
  </si>
  <si>
    <t xml:space="preserve">kW</t>
  </si>
  <si>
    <t xml:space="preserve">Sport-fast</t>
  </si>
  <si>
    <t xml:space="preserve">Porsche Taycan</t>
  </si>
  <si>
    <t xml:space="preserve">Standard</t>
  </si>
  <si>
    <t xml:space="preserve">VW ID.3</t>
  </si>
  <si>
    <t xml:space="preserve">Heavy</t>
  </si>
  <si>
    <t xml:space="preserve">Audi e-tron Quattro</t>
  </si>
  <si>
    <t xml:space="preserve">Small</t>
  </si>
  <si>
    <t xml:space="preserve">VW e-Up!</t>
  </si>
  <si>
    <t xml:space="preserve">Electric cars charging station models</t>
  </si>
  <si>
    <t xml:space="preserve">Station Type</t>
  </si>
  <si>
    <t xml:space="preserve">Proportion of dwellings with this station</t>
  </si>
  <si>
    <t xml:space="preserve">Max charging power</t>
  </si>
  <si>
    <t xml:space="preserve">https://www.ladestation-zuhause.de/</t>
  </si>
  <si>
    <t xml:space="preserve">Standard Electricity plug</t>
  </si>
  <si>
    <t xml:space="preserve">Typ-1</t>
  </si>
  <si>
    <t xml:space="preserve">Typ-2</t>
  </si>
  <si>
    <t xml:space="preserve">CREST</t>
  </si>
  <si>
    <t xml:space="preserve">Occupancy</t>
  </si>
  <si>
    <t xml:space="preserve">we/wd</t>
  </si>
  <si>
    <t xml:space="preserve">v</t>
  </si>
  <si>
    <t xml:space="preserve">n residents</t>
  </si>
  <si>
    <t xml:space="preserve">social</t>
  </si>
  <si>
    <t xml:space="preserve">-</t>
  </si>
  <si>
    <t xml:space="preserve">seasonal</t>
  </si>
  <si>
    <t xml:space="preserve">set</t>
  </si>
  <si>
    <t xml:space="preserve">social set</t>
  </si>
  <si>
    <t xml:space="preserve">- </t>
  </si>
  <si>
    <t xml:space="preserve">not implemented</t>
  </si>
  <si>
    <t xml:space="preserve">water</t>
  </si>
  <si>
    <t xml:space="preserve">crest</t>
  </si>
  <si>
    <t xml:space="preserve">calibration</t>
  </si>
  <si>
    <t xml:space="preserve">not detailed</t>
  </si>
  <si>
    <t xml:space="preserve">Light</t>
  </si>
  <si>
    <t xml:space="preserve">bulbs</t>
  </si>
  <si>
    <t xml:space="preserve">Heating</t>
  </si>
  <si>
    <t xml:space="preserve">gas</t>
  </si>
  <si>
    <t xml:space="preserve">heat pump</t>
  </si>
  <si>
    <t xml:space="preserve">variable T</t>
  </si>
  <si>
    <t xml:space="preserve">not data-based</t>
  </si>
  <si>
    <t xml:space="preserve">buildings </t>
  </si>
  <si>
    <t xml:space="preserve">Electric Cars</t>
  </si>
  <si>
    <t xml:space="preserve">model</t>
  </si>
  <si>
    <t xml:space="preserve">data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</si>
</sst>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.00000"/>
    <numFmt numFmtId="166" formatCode="0.000"/>
    <numFmt numFmtId="167" formatCode="0"/>
    <numFmt numFmtId="168" formatCode="0.00"/>
    <numFmt numFmtId="169" formatCode="0.0000"/>
    <numFmt numFmtId="170" formatCode="General"/>
    <numFmt numFmtId="171" formatCode="0.0"/>
    <numFmt numFmtId="172" formatCode="0%"/>
    <numFmt numFmtId="173" formatCode="* #,##0.00\ ;\-* #,##0.00\ ;* \-#\ ;@\ "/>
    <numFmt numFmtId="174" formatCode="* #,##0.0\ ;\-* #,##0.0\ ;* \-#\ ;@\ 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Mangal"/>
      <family val="2"/>
      <charset val="1"/>
    </font>
    <font>
      <sz val="10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sz val="8"/>
      <color rgb="FF000000"/>
      <name val="Arial"/>
      <family val="2"/>
    </font>
    <font>
      <sz val="8.25"/>
      <color rgb="FF000000"/>
      <name val="Arial"/>
      <family val="2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i val="true"/>
      <vertAlign val="subscript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0"/>
      <name val="Mangal"/>
      <family val="2"/>
      <charset val="1"/>
    </font>
    <font>
      <sz val="10"/>
      <name val="Arial"/>
      <family val="0"/>
      <charset val="1"/>
    </font>
    <font>
      <sz val="10"/>
      <name val="Times New Roman"/>
      <family val="1"/>
      <charset val="1"/>
    </font>
  </fonts>
  <fills count="15">
    <fill>
      <patternFill patternType="none"/>
    </fill>
    <fill>
      <patternFill patternType="gray125"/>
    </fill>
    <fill>
      <patternFill patternType="solid">
        <fgColor rgb="FF808080"/>
        <bgColor rgb="FFBF819E"/>
      </patternFill>
    </fill>
    <fill>
      <patternFill patternType="solid">
        <fgColor rgb="FFDDDDDD"/>
        <bgColor rgb="FFD9D9D9"/>
      </patternFill>
    </fill>
    <fill>
      <patternFill patternType="solid">
        <fgColor rgb="FF99CC00"/>
        <bgColor rgb="FFE6E905"/>
      </patternFill>
    </fill>
    <fill>
      <patternFill patternType="solid">
        <fgColor rgb="FFBF819E"/>
        <bgColor rgb="FF808080"/>
      </patternFill>
    </fill>
    <fill>
      <patternFill patternType="solid">
        <fgColor rgb="FF8D1D75"/>
        <bgColor rgb="FF993366"/>
      </patternFill>
    </fill>
    <fill>
      <patternFill patternType="solid">
        <fgColor rgb="FFFFD428"/>
        <bgColor rgb="FFE6E905"/>
      </patternFill>
    </fill>
    <fill>
      <patternFill patternType="solid">
        <fgColor rgb="FFFF860D"/>
        <bgColor rgb="FFFF8000"/>
      </patternFill>
    </fill>
    <fill>
      <patternFill patternType="solid">
        <fgColor rgb="FF00FFCC"/>
        <bgColor rgb="FF00FFFF"/>
      </patternFill>
    </fill>
    <fill>
      <patternFill patternType="solid">
        <fgColor rgb="FF729FCF"/>
        <bgColor rgb="FF9999FF"/>
      </patternFill>
    </fill>
    <fill>
      <patternFill patternType="solid">
        <fgColor rgb="FFFFA6A6"/>
        <bgColor rgb="FFFFCC99"/>
      </patternFill>
    </fill>
    <fill>
      <patternFill patternType="solid">
        <fgColor rgb="FF99CCFF"/>
        <bgColor rgb="FFC0C0C0"/>
      </patternFill>
    </fill>
    <fill>
      <patternFill patternType="solid">
        <fgColor rgb="FFFF8000"/>
        <bgColor rgb="FFFF860D"/>
      </patternFill>
    </fill>
    <fill>
      <patternFill patternType="solid">
        <fgColor rgb="FFD9D9D9"/>
        <bgColor rgb="FFDDDDDD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2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13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2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7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9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20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2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0" fillId="0" borderId="2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2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1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4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11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8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0" xfId="22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7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11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7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4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4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1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13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13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0" fillId="0" borderId="13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8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1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12" borderId="1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1" fillId="1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3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1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 6" xfId="20"/>
    <cellStyle name="Accent 3 1" xfId="21"/>
    <cellStyle name="Normal 2" xfId="22"/>
    <cellStyle name="Normal 4 2" xfId="23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CC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D428"/>
      <rgbColor rgb="FFFF860D"/>
      <rgbColor rgb="FFFF8000"/>
      <rgbColor rgb="FF729FCF"/>
      <rgbColor rgb="FFBF819E"/>
      <rgbColor rgb="FF003366"/>
      <rgbColor rgb="FF339966"/>
      <rgbColor rgb="FF003300"/>
      <rgbColor rgb="FF333300"/>
      <rgbColor rgb="FFBE480A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externalLink" Target="externalLinks/externalLink1.xml"/><Relationship Id="rId12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47646800777088"/>
          <c:y val="0.110523385300668"/>
          <c:w val="0.821771009588268"/>
          <c:h val="0.54315144766147"/>
        </c:manualLayout>
      </c:layout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S</c:v>
                </c:pt>
              </c:strCache>
            </c:strRef>
          </c:tx>
          <c:spPr>
            <a:solidFill>
              <a:srgbClr val="000080"/>
            </a:solidFill>
            <a:ln w="25560">
              <a:solidFill>
                <a:srgbClr val="00008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35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2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1"/>
                <c:pt idx="0">
                  <c:v>4.60517018598809</c:v>
                </c:pt>
                <c:pt idx="1">
                  <c:v>2.99573227355399</c:v>
                </c:pt>
                <c:pt idx="2">
                  <c:v>2.30258509299405</c:v>
                </c:pt>
                <c:pt idx="3">
                  <c:v>1.89711998488588</c:v>
                </c:pt>
                <c:pt idx="4">
                  <c:v>1.6094379124341</c:v>
                </c:pt>
                <c:pt idx="5">
                  <c:v>1.38629436111989</c:v>
                </c:pt>
                <c:pt idx="6">
                  <c:v>1.20397280432594</c:v>
                </c:pt>
                <c:pt idx="7">
                  <c:v>1.04982212449868</c:v>
                </c:pt>
                <c:pt idx="8">
                  <c:v>0.916290731874155</c:v>
                </c:pt>
                <c:pt idx="9">
                  <c:v>0.798507696217772</c:v>
                </c:pt>
                <c:pt idx="10">
                  <c:v>0.693147180559945</c:v>
                </c:pt>
                <c:pt idx="11">
                  <c:v>0.59783700075562</c:v>
                </c:pt>
                <c:pt idx="12">
                  <c:v>0.510825623765991</c:v>
                </c:pt>
                <c:pt idx="13">
                  <c:v>0.430782916092454</c:v>
                </c:pt>
                <c:pt idx="14">
                  <c:v>0.356674943938732</c:v>
                </c:pt>
                <c:pt idx="15">
                  <c:v>0.287682072451781</c:v>
                </c:pt>
                <c:pt idx="16">
                  <c:v>0.22314355131421</c:v>
                </c:pt>
                <c:pt idx="17">
                  <c:v>0.162518929497775</c:v>
                </c:pt>
                <c:pt idx="18">
                  <c:v>0.105360515657826</c:v>
                </c:pt>
                <c:pt idx="19">
                  <c:v>0.0512932943875506</c:v>
                </c:pt>
                <c:pt idx="20">
                  <c:v>-0</c:v>
                </c:pt>
              </c:numCache>
            </c:numRef>
          </c:yVal>
          <c:smooth val="1"/>
        </c:ser>
        <c:axId val="31104690"/>
        <c:axId val="95671507"/>
      </c:scatterChart>
      <c:valAx>
        <c:axId val="31104690"/>
        <c:scaling>
          <c:orientation val="minMax"/>
          <c:max val="1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Random variable, X</a:t>
                </a:r>
              </a:p>
            </c:rich>
          </c:tx>
          <c:layout>
            <c:manualLayout>
              <c:xMode val="edge"/>
              <c:yMode val="edge"/>
              <c:x val="0.47433728144388"/>
              <c:y val="0.813752783964365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5671507"/>
        <c:crosses val="autoZero"/>
        <c:crossBetween val="midCat"/>
      </c:valAx>
      <c:valAx>
        <c:axId val="95671507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Relative bulb use weighting</a:t>
                </a:r>
              </a:p>
            </c:rich>
          </c:tx>
          <c:layout>
            <c:manualLayout>
              <c:xMode val="edge"/>
              <c:yMode val="edge"/>
              <c:x val="0.0454972739236699"/>
              <c:y val="0.126113585746102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1104690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11685311284047"/>
          <c:y val="0.0900022670596237"/>
          <c:w val="0.880958171206226"/>
          <c:h val="0.608025391067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invertIfNegative val="0"/>
          <c:dLbls>
            <c:txPr>
              <a:bodyPr wrap="none"/>
              <a:lstStyle/>
              <a:p>
                <a:pPr>
                  <a:defRPr b="0" sz="42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1.52814569536424</c:v>
                </c:pt>
                <c:pt idx="3">
                  <c:v>1.69370860927152</c:v>
                </c:pt>
                <c:pt idx="4">
                  <c:v>1.98344370860927</c:v>
                </c:pt>
                <c:pt idx="5">
                  <c:v>2.09437086092715</c:v>
                </c:pt>
              </c:numCache>
            </c:numRef>
          </c:val>
        </c:ser>
        <c:gapWidth val="150"/>
        <c:overlap val="0"/>
        <c:axId val="12304683"/>
        <c:axId val="45346713"/>
      </c:barChart>
      <c:catAx>
        <c:axId val="123046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active occupants</a:t>
                </a:r>
              </a:p>
            </c:rich>
          </c:tx>
          <c:layout>
            <c:manualLayout>
              <c:xMode val="edge"/>
              <c:yMode val="edge"/>
              <c:x val="0.400170233463035"/>
              <c:y val="0.84833371117660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5346713"/>
        <c:crosses val="autoZero"/>
        <c:auto val="1"/>
        <c:lblAlgn val="ctr"/>
        <c:lblOffset val="100"/>
        <c:noMultiLvlLbl val="0"/>
      </c:catAx>
      <c:valAx>
        <c:axId val="45346713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Effective occupancy</a:t>
                </a:r>
              </a:p>
            </c:rich>
          </c:tx>
          <c:layout>
            <c:manualLayout>
              <c:xMode val="edge"/>
              <c:yMode val="edge"/>
              <c:x val="0.00839007782101167"/>
              <c:y val="0.182498299705282"/>
            </c:manualLayout>
          </c:layout>
          <c:overlay val="0"/>
          <c:spPr>
            <a:noFill/>
            <a:ln w="2556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2304683"/>
        <c:crosses val="autoZero"/>
        <c:crossBetween val="between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3978084802287"/>
          <c:y val="0.135952283011107"/>
          <c:w val="0.853501667460696"/>
          <c:h val="0.615178938708351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Column E</c:v>
                </c:pt>
              </c:strCache>
            </c:strRef>
          </c:tx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txPr>
              <a:bodyPr wrap="none"/>
              <a:lstStyle/>
              <a:p>
                <a:pPr>
                  <a:defRPr b="0" sz="475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27</c:v>
                </c:pt>
                <c:pt idx="6">
                  <c:v>49</c:v>
                </c:pt>
                <c:pt idx="7">
                  <c:v>91</c:v>
                </c:pt>
                <c:pt idx="8">
                  <c:v>259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9"/>
                <c:pt idx="0">
                  <c:v>0.111111111111111</c:v>
                </c:pt>
                <c:pt idx="1">
                  <c:v>0.222222222222222</c:v>
                </c:pt>
                <c:pt idx="2">
                  <c:v>0.333333333333333</c:v>
                </c:pt>
                <c:pt idx="3">
                  <c:v>0.444444444444444</c:v>
                </c:pt>
                <c:pt idx="4">
                  <c:v>0.555555555555556</c:v>
                </c:pt>
                <c:pt idx="5">
                  <c:v>0.666666666666667</c:v>
                </c:pt>
                <c:pt idx="6">
                  <c:v>0.777777777777778</c:v>
                </c:pt>
                <c:pt idx="7">
                  <c:v>0.888888888888889</c:v>
                </c:pt>
                <c:pt idx="8">
                  <c:v>1</c:v>
                </c:pt>
              </c:numCache>
            </c:numRef>
          </c:yVal>
          <c:smooth val="0"/>
        </c:ser>
        <c:axId val="55738510"/>
        <c:axId val="37165770"/>
      </c:scatterChart>
      <c:valAx>
        <c:axId val="55738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Lighting event duration (minutes)</a:t>
                </a:r>
              </a:p>
            </c:rich>
          </c:tx>
          <c:layout>
            <c:manualLayout>
              <c:xMode val="edge"/>
              <c:yMode val="edge"/>
              <c:x val="0.397451167222487"/>
              <c:y val="0.862402303578774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7165770"/>
        <c:crosses val="autoZero"/>
        <c:crossBetween val="midCat"/>
      </c:valAx>
      <c:valAx>
        <c:axId val="37165770"/>
        <c:scaling>
          <c:orientation val="minMax"/>
          <c:max val="1"/>
          <c:min val="0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lang="en-GB" sz="8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Cumulative probability</a:t>
                </a:r>
              </a:p>
            </c:rich>
          </c:tx>
          <c:layout>
            <c:manualLayout>
              <c:xMode val="edge"/>
              <c:yMode val="edge"/>
              <c:x val="0.0215578847070033"/>
              <c:y val="0.203619909502262"/>
            </c:manualLayout>
          </c:layout>
          <c:overlay val="0"/>
          <c:spPr>
            <a:noFill/>
            <a:ln w="255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lang="en-US" sz="825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5738510"/>
        <c:crosses val="autoZero"/>
        <c:crossBetween val="midCat"/>
      </c:valAx>
      <c:spPr>
        <a:solidFill>
          <a:srgbClr val="c0c0c0"/>
        </a:soli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693000</xdr:colOff>
      <xdr:row>9</xdr:row>
      <xdr:rowOff>32040</xdr:rowOff>
    </xdr:from>
    <xdr:to>
      <xdr:col>7</xdr:col>
      <xdr:colOff>531000</xdr:colOff>
      <xdr:row>17</xdr:row>
      <xdr:rowOff>24120</xdr:rowOff>
    </xdr:to>
    <xdr:graphicFrame>
      <xdr:nvGraphicFramePr>
        <xdr:cNvPr id="0" name="Chart 7"/>
        <xdr:cNvGraphicFramePr/>
      </xdr:nvGraphicFramePr>
      <xdr:xfrm>
        <a:off x="2331000" y="1522800"/>
        <a:ext cx="5744160" cy="129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451800</xdr:colOff>
      <xdr:row>34</xdr:row>
      <xdr:rowOff>105480</xdr:rowOff>
    </xdr:from>
    <xdr:to>
      <xdr:col>13</xdr:col>
      <xdr:colOff>638640</xdr:colOff>
      <xdr:row>44</xdr:row>
      <xdr:rowOff>67320</xdr:rowOff>
    </xdr:to>
    <xdr:graphicFrame>
      <xdr:nvGraphicFramePr>
        <xdr:cNvPr id="1" name="Chart 2_0"/>
        <xdr:cNvGraphicFramePr/>
      </xdr:nvGraphicFramePr>
      <xdr:xfrm>
        <a:off x="7176960" y="5660280"/>
        <a:ext cx="5920920" cy="158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451800</xdr:colOff>
      <xdr:row>51</xdr:row>
      <xdr:rowOff>113760</xdr:rowOff>
    </xdr:from>
    <xdr:to>
      <xdr:col>13</xdr:col>
      <xdr:colOff>762480</xdr:colOff>
      <xdr:row>62</xdr:row>
      <xdr:rowOff>75240</xdr:rowOff>
    </xdr:to>
    <xdr:graphicFrame>
      <xdr:nvGraphicFramePr>
        <xdr:cNvPr id="2" name="Chart 6_0"/>
        <xdr:cNvGraphicFramePr/>
      </xdr:nvGraphicFramePr>
      <xdr:xfrm>
        <a:off x="7176960" y="8431920"/>
        <a:ext cx="6044760" cy="174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CREST_data/CREST_Demand_Model_v2.3.3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aterUsage"/>
      <sheetName val="ActivityStats"/>
    </sheetNames>
    <sheetDataSet>
      <sheetData sheetId="0"/>
      <sheetData sheetId="1"/>
    </sheetDataSet>
  </externalBook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G4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3" ySplit="0" topLeftCell="AC1" activePane="topRight" state="frozen"/>
      <selection pane="topLeft" activeCell="A1" activeCellId="0" sqref="A1"/>
      <selection pane="topRight" activeCell="E15" activeCellId="0" sqref="E15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8.47"/>
    <col collapsed="false" customWidth="true" hidden="false" outlineLevel="0" max="6" min="6" style="0" width="16.09"/>
    <col collapsed="false" customWidth="true" hidden="false" outlineLevel="0" max="7" min="7" style="0" width="12.37"/>
    <col collapsed="false" customWidth="false" hidden="false" outlineLevel="0" max="34" min="34" style="1" width="11.57"/>
  </cols>
  <sheetData>
    <row r="1" customFormat="false" ht="1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3"/>
      <c r="I1" s="4"/>
      <c r="J1" s="3" t="s">
        <v>1</v>
      </c>
      <c r="K1" s="3"/>
      <c r="L1" s="5" t="s">
        <v>2</v>
      </c>
      <c r="M1" s="5"/>
      <c r="N1" s="3" t="s">
        <v>3</v>
      </c>
      <c r="O1" s="3"/>
      <c r="P1" s="3"/>
      <c r="Q1" s="3"/>
      <c r="R1" s="3"/>
      <c r="S1" s="3"/>
      <c r="T1" s="3"/>
      <c r="U1" s="3"/>
      <c r="V1" s="6"/>
      <c r="W1" s="0" t="s">
        <v>4</v>
      </c>
      <c r="Y1" s="7"/>
      <c r="Z1" s="0" t="s">
        <v>5</v>
      </c>
      <c r="AA1" s="3"/>
      <c r="AB1" s="3"/>
      <c r="AC1" s="8"/>
      <c r="AD1" s="3" t="s">
        <v>6</v>
      </c>
      <c r="AE1" s="3"/>
      <c r="AF1" s="3"/>
      <c r="AG1" s="3"/>
      <c r="AH1" s="9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customFormat="false" ht="12.8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10"/>
      <c r="J2" s="3" t="s">
        <v>7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Y2" s="11"/>
      <c r="Z2" s="0" t="s">
        <v>8</v>
      </c>
      <c r="AA2" s="3"/>
      <c r="AB2" s="3"/>
      <c r="AC2" s="12" t="s">
        <v>2</v>
      </c>
      <c r="AD2" s="3" t="s">
        <v>9</v>
      </c>
      <c r="AE2" s="3"/>
      <c r="AF2" s="3"/>
      <c r="AG2" s="3"/>
      <c r="AH2" s="9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customFormat="false" ht="12.8" hidden="false" customHeight="false" outlineLevel="0" collapsed="false">
      <c r="A3" s="13" t="s">
        <v>10</v>
      </c>
      <c r="B3" s="14" t="s">
        <v>11</v>
      </c>
      <c r="C3" s="14"/>
      <c r="D3" s="14"/>
      <c r="E3" s="15" t="s">
        <v>12</v>
      </c>
      <c r="F3" s="14" t="s">
        <v>13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6"/>
      <c r="S3" s="16"/>
      <c r="T3" s="14"/>
      <c r="U3" s="17"/>
      <c r="V3" s="17"/>
      <c r="W3" s="17"/>
      <c r="X3" s="18"/>
      <c r="Y3" s="17"/>
      <c r="Z3" s="18"/>
      <c r="AA3" s="17"/>
      <c r="AB3" s="17"/>
      <c r="AC3" s="17"/>
      <c r="AD3" s="17"/>
      <c r="AE3" s="17"/>
      <c r="AF3" s="17"/>
      <c r="AG3" s="17"/>
      <c r="AH3" s="19"/>
      <c r="AI3" s="17"/>
      <c r="AJ3" s="17"/>
      <c r="AK3" s="20"/>
      <c r="AL3" s="21"/>
      <c r="AM3" s="22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3"/>
      <c r="AY3" s="23"/>
      <c r="AZ3" s="23"/>
      <c r="BA3" s="23"/>
      <c r="BB3" s="23"/>
      <c r="BC3" s="23"/>
      <c r="BD3" s="23"/>
      <c r="BE3" s="23"/>
      <c r="BF3" s="3"/>
      <c r="BG3" s="23"/>
    </row>
    <row r="4" customFormat="false" ht="12.8" hidden="false" customHeight="false" outlineLevel="0" collapsed="false">
      <c r="A4" s="24"/>
      <c r="B4" s="23"/>
      <c r="C4" s="25"/>
      <c r="D4" s="25"/>
      <c r="E4" s="26" t="s">
        <v>14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/>
      <c r="S4" s="27"/>
      <c r="T4" s="25"/>
      <c r="U4" s="23"/>
      <c r="V4" s="23"/>
      <c r="W4" s="23"/>
      <c r="X4" s="28"/>
      <c r="Y4" s="23"/>
      <c r="Z4" s="28"/>
      <c r="AA4" s="23"/>
      <c r="AB4" s="23"/>
      <c r="AC4" s="23" t="s">
        <v>15</v>
      </c>
      <c r="AD4" s="23" t="s">
        <v>15</v>
      </c>
      <c r="AE4" s="23" t="s">
        <v>16</v>
      </c>
      <c r="AF4" s="23" t="s">
        <v>17</v>
      </c>
      <c r="AG4" s="23" t="s">
        <v>18</v>
      </c>
      <c r="AH4" s="29" t="s">
        <v>19</v>
      </c>
      <c r="AI4" s="23" t="s">
        <v>20</v>
      </c>
      <c r="AJ4" s="23" t="s">
        <v>21</v>
      </c>
      <c r="AK4" s="30"/>
      <c r="AL4" s="31"/>
      <c r="AM4" s="32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3"/>
      <c r="AY4" s="23"/>
      <c r="AZ4" s="23"/>
      <c r="BA4" s="23"/>
      <c r="BB4" s="23"/>
      <c r="BC4" s="23"/>
      <c r="BD4" s="23"/>
      <c r="BE4" s="23"/>
      <c r="BF4" s="3"/>
      <c r="BG4" s="23"/>
    </row>
    <row r="5" customFormat="false" ht="12.8" hidden="false" customHeight="true" outlineLevel="0" collapsed="false">
      <c r="A5" s="24"/>
      <c r="B5" s="23"/>
      <c r="C5" s="25"/>
      <c r="D5" s="25"/>
      <c r="E5" s="26" t="s">
        <v>22</v>
      </c>
      <c r="F5" s="33" t="s">
        <v>23</v>
      </c>
      <c r="G5" s="34" t="s">
        <v>24</v>
      </c>
      <c r="H5" s="33" t="s">
        <v>23</v>
      </c>
      <c r="I5" s="33" t="s">
        <v>25</v>
      </c>
      <c r="J5" s="33" t="s">
        <v>26</v>
      </c>
      <c r="K5" s="33" t="s">
        <v>27</v>
      </c>
      <c r="L5" s="33" t="s">
        <v>19</v>
      </c>
      <c r="M5" s="34" t="s">
        <v>28</v>
      </c>
      <c r="N5" s="33" t="s">
        <v>29</v>
      </c>
      <c r="O5" s="33" t="s">
        <v>30</v>
      </c>
      <c r="P5" s="33" t="s">
        <v>31</v>
      </c>
      <c r="Q5" s="33" t="s">
        <v>32</v>
      </c>
      <c r="R5" s="27"/>
      <c r="S5" s="27"/>
      <c r="T5" s="25"/>
      <c r="U5" s="23"/>
      <c r="V5" s="23"/>
      <c r="W5" s="33" t="s">
        <v>33</v>
      </c>
      <c r="X5" s="28"/>
      <c r="Y5" s="23"/>
      <c r="Z5" s="28"/>
      <c r="AA5" s="23"/>
      <c r="AB5" s="33" t="s">
        <v>34</v>
      </c>
      <c r="AC5" s="33" t="s">
        <v>35</v>
      </c>
      <c r="AD5" s="33" t="s">
        <v>36</v>
      </c>
      <c r="AE5" s="33" t="s">
        <v>37</v>
      </c>
      <c r="AF5" s="33" t="s">
        <v>38</v>
      </c>
      <c r="AG5" s="33" t="s">
        <v>39</v>
      </c>
      <c r="AH5" s="35" t="s">
        <v>40</v>
      </c>
      <c r="AI5" s="23" t="s">
        <v>41</v>
      </c>
      <c r="AJ5" s="23" t="s">
        <v>42</v>
      </c>
      <c r="AK5" s="30" t="s">
        <v>43</v>
      </c>
      <c r="AL5" s="36" t="s">
        <v>44</v>
      </c>
      <c r="AM5" s="37" t="s">
        <v>45</v>
      </c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3"/>
      <c r="AY5" s="23"/>
      <c r="AZ5" s="23"/>
      <c r="BA5" s="23"/>
      <c r="BB5" s="23"/>
      <c r="BC5" s="23"/>
      <c r="BD5" s="23"/>
      <c r="BE5" s="23"/>
      <c r="BF5" s="3"/>
      <c r="BG5" s="23"/>
    </row>
    <row r="6" customFormat="false" ht="12.8" hidden="false" customHeight="false" outlineLevel="0" collapsed="false">
      <c r="A6" s="24"/>
      <c r="B6" s="23"/>
      <c r="C6" s="25"/>
      <c r="D6" s="25"/>
      <c r="E6" s="26" t="s">
        <v>46</v>
      </c>
      <c r="F6" s="33" t="s">
        <v>47</v>
      </c>
      <c r="G6" s="34"/>
      <c r="H6" s="33" t="s">
        <v>48</v>
      </c>
      <c r="I6" s="33" t="s">
        <v>49</v>
      </c>
      <c r="J6" s="33" t="s">
        <v>50</v>
      </c>
      <c r="K6" s="33" t="s">
        <v>51</v>
      </c>
      <c r="L6" s="33" t="s">
        <v>52</v>
      </c>
      <c r="M6" s="34"/>
      <c r="N6" s="33" t="s">
        <v>53</v>
      </c>
      <c r="O6" s="33" t="s">
        <v>54</v>
      </c>
      <c r="P6" s="33" t="s">
        <v>55</v>
      </c>
      <c r="Q6" s="33" t="s">
        <v>56</v>
      </c>
      <c r="R6" s="28" t="s">
        <v>57</v>
      </c>
      <c r="S6" s="28"/>
      <c r="T6" s="23"/>
      <c r="U6" s="23" t="s">
        <v>58</v>
      </c>
      <c r="V6" s="23" t="s">
        <v>57</v>
      </c>
      <c r="W6" s="33" t="s">
        <v>59</v>
      </c>
      <c r="X6" s="28" t="s">
        <v>60</v>
      </c>
      <c r="Y6" s="23" t="s">
        <v>61</v>
      </c>
      <c r="Z6" s="28" t="s">
        <v>62</v>
      </c>
      <c r="AA6" s="23" t="s">
        <v>62</v>
      </c>
      <c r="AB6" s="33" t="s">
        <v>63</v>
      </c>
      <c r="AC6" s="33" t="s">
        <v>64</v>
      </c>
      <c r="AD6" s="33" t="s">
        <v>65</v>
      </c>
      <c r="AE6" s="33" t="s">
        <v>66</v>
      </c>
      <c r="AF6" s="33" t="s">
        <v>67</v>
      </c>
      <c r="AG6" s="33" t="s">
        <v>68</v>
      </c>
      <c r="AH6" s="35"/>
      <c r="AI6" s="23" t="s">
        <v>69</v>
      </c>
      <c r="AJ6" s="23" t="s">
        <v>70</v>
      </c>
      <c r="AK6" s="30" t="s">
        <v>71</v>
      </c>
      <c r="AL6" s="36"/>
      <c r="AM6" s="37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3"/>
      <c r="AY6" s="23"/>
      <c r="AZ6" s="23"/>
      <c r="BA6" s="23"/>
      <c r="BB6" s="23"/>
      <c r="BC6" s="23"/>
      <c r="BD6" s="23"/>
      <c r="BE6" s="23"/>
      <c r="BF6" s="3"/>
      <c r="BG6" s="23"/>
    </row>
    <row r="7" customFormat="false" ht="12.8" hidden="false" customHeight="false" outlineLevel="0" collapsed="false">
      <c r="A7" s="24"/>
      <c r="B7" s="25" t="s">
        <v>72</v>
      </c>
      <c r="C7" s="25" t="s">
        <v>73</v>
      </c>
      <c r="D7" s="25"/>
      <c r="E7" s="26"/>
      <c r="F7" s="33" t="s">
        <v>74</v>
      </c>
      <c r="G7" s="34"/>
      <c r="H7" s="33" t="s">
        <v>75</v>
      </c>
      <c r="I7" s="33" t="s">
        <v>76</v>
      </c>
      <c r="J7" s="33" t="s">
        <v>64</v>
      </c>
      <c r="K7" s="33" t="s">
        <v>77</v>
      </c>
      <c r="L7" s="33"/>
      <c r="M7" s="34"/>
      <c r="N7" s="33"/>
      <c r="O7" s="33" t="s">
        <v>76</v>
      </c>
      <c r="P7" s="33" t="s">
        <v>78</v>
      </c>
      <c r="Q7" s="33" t="s">
        <v>79</v>
      </c>
      <c r="R7" s="28" t="s">
        <v>70</v>
      </c>
      <c r="S7" s="28"/>
      <c r="T7" s="23"/>
      <c r="U7" s="23" t="s">
        <v>80</v>
      </c>
      <c r="V7" s="23" t="s">
        <v>81</v>
      </c>
      <c r="W7" s="33" t="s">
        <v>82</v>
      </c>
      <c r="X7" s="28" t="s">
        <v>83</v>
      </c>
      <c r="Y7" s="23" t="s">
        <v>84</v>
      </c>
      <c r="Z7" s="28" t="s">
        <v>84</v>
      </c>
      <c r="AA7" s="23" t="s">
        <v>85</v>
      </c>
      <c r="AB7" s="33" t="s">
        <v>64</v>
      </c>
      <c r="AC7" s="33"/>
      <c r="AD7" s="33"/>
      <c r="AE7" s="33" t="s">
        <v>86</v>
      </c>
      <c r="AF7" s="33" t="s">
        <v>87</v>
      </c>
      <c r="AG7" s="33"/>
      <c r="AH7" s="35"/>
      <c r="AI7" s="23" t="s">
        <v>88</v>
      </c>
      <c r="AJ7" s="23" t="s">
        <v>89</v>
      </c>
      <c r="AK7" s="30" t="s">
        <v>90</v>
      </c>
      <c r="AL7" s="36"/>
      <c r="AM7" s="37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3"/>
      <c r="AY7" s="23"/>
      <c r="AZ7" s="23"/>
      <c r="BA7" s="23"/>
      <c r="BB7" s="23"/>
      <c r="BC7" s="23"/>
      <c r="BD7" s="23"/>
      <c r="BE7" s="23"/>
      <c r="BF7" s="3"/>
      <c r="BG7" s="23"/>
    </row>
    <row r="8" customFormat="false" ht="12.8" hidden="false" customHeight="false" outlineLevel="0" collapsed="false">
      <c r="A8" s="38"/>
      <c r="B8" s="39"/>
      <c r="C8" s="40"/>
      <c r="D8" s="40"/>
      <c r="E8" s="41"/>
      <c r="F8" s="40"/>
      <c r="G8" s="34"/>
      <c r="H8" s="40"/>
      <c r="I8" s="40"/>
      <c r="J8" s="40" t="s">
        <v>91</v>
      </c>
      <c r="K8" s="40" t="s">
        <v>91</v>
      </c>
      <c r="L8" s="40"/>
      <c r="M8" s="34"/>
      <c r="N8" s="40"/>
      <c r="O8" s="40" t="s">
        <v>92</v>
      </c>
      <c r="P8" s="40" t="s">
        <v>93</v>
      </c>
      <c r="Q8" s="40" t="s">
        <v>94</v>
      </c>
      <c r="R8" s="42" t="s">
        <v>95</v>
      </c>
      <c r="S8" s="42"/>
      <c r="T8" s="40"/>
      <c r="U8" s="40" t="s">
        <v>96</v>
      </c>
      <c r="V8" s="40" t="s">
        <v>93</v>
      </c>
      <c r="W8" s="43" t="s">
        <v>93</v>
      </c>
      <c r="X8" s="42" t="s">
        <v>95</v>
      </c>
      <c r="Y8" s="40"/>
      <c r="Z8" s="42" t="s">
        <v>97</v>
      </c>
      <c r="AA8" s="40" t="s">
        <v>97</v>
      </c>
      <c r="AB8" s="43" t="s">
        <v>98</v>
      </c>
      <c r="AC8" s="43" t="s">
        <v>93</v>
      </c>
      <c r="AD8" s="43" t="s">
        <v>93</v>
      </c>
      <c r="AE8" s="43" t="s">
        <v>93</v>
      </c>
      <c r="AF8" s="43" t="s">
        <v>93</v>
      </c>
      <c r="AG8" s="43" t="s">
        <v>93</v>
      </c>
      <c r="AH8" s="44"/>
      <c r="AI8" s="40" t="s">
        <v>97</v>
      </c>
      <c r="AJ8" s="40"/>
      <c r="AK8" s="45"/>
      <c r="AL8" s="36"/>
      <c r="AM8" s="37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3"/>
      <c r="AY8" s="23"/>
      <c r="AZ8" s="23"/>
      <c r="BA8" s="23"/>
      <c r="BB8" s="23"/>
      <c r="BC8" s="23"/>
      <c r="BD8" s="23"/>
      <c r="BE8" s="23"/>
      <c r="BF8" s="3"/>
      <c r="BG8" s="23"/>
    </row>
    <row r="9" customFormat="false" ht="12.8" hidden="false" customHeight="false" outlineLevel="0" collapsed="false">
      <c r="A9" s="13"/>
      <c r="B9" s="14"/>
      <c r="C9" s="14"/>
      <c r="D9" s="14"/>
      <c r="E9" s="46"/>
      <c r="F9" s="14" t="s">
        <v>99</v>
      </c>
      <c r="G9" s="14"/>
      <c r="H9" s="14"/>
      <c r="I9" s="47"/>
      <c r="J9" s="48"/>
      <c r="K9" s="49"/>
      <c r="L9" s="49"/>
      <c r="M9" s="49"/>
      <c r="N9" s="49"/>
      <c r="O9" s="50"/>
      <c r="P9" s="49"/>
      <c r="Q9" s="49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51"/>
      <c r="AI9" s="52"/>
      <c r="AJ9" s="17"/>
      <c r="AK9" s="20"/>
      <c r="AL9" s="31"/>
      <c r="AM9" s="32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customFormat="false" ht="12.8" hidden="false" customHeight="false" outlineLevel="0" collapsed="false">
      <c r="A10" s="24"/>
      <c r="B10" s="25"/>
      <c r="C10" s="25"/>
      <c r="D10" s="25"/>
      <c r="E10" s="53" t="s">
        <v>12</v>
      </c>
      <c r="F10" s="25"/>
      <c r="G10" s="25"/>
      <c r="H10" s="25"/>
      <c r="I10" s="47"/>
      <c r="J10" s="25"/>
      <c r="K10" s="54"/>
      <c r="L10" s="54"/>
      <c r="M10" s="54"/>
      <c r="N10" s="54"/>
      <c r="O10" s="50"/>
      <c r="P10" s="54"/>
      <c r="Q10" s="54"/>
      <c r="R10" s="55"/>
      <c r="S10" s="55"/>
      <c r="T10" s="55"/>
      <c r="U10" s="55"/>
      <c r="V10" s="55"/>
      <c r="W10" s="55"/>
      <c r="X10" s="55"/>
      <c r="Y10" s="56"/>
      <c r="Z10" s="56"/>
      <c r="AA10" s="56"/>
      <c r="AB10" s="56"/>
      <c r="AC10" s="23" t="s">
        <v>100</v>
      </c>
      <c r="AD10" s="23" t="s">
        <v>100</v>
      </c>
      <c r="AE10" s="23" t="s">
        <v>16</v>
      </c>
      <c r="AF10" s="23" t="s">
        <v>17</v>
      </c>
      <c r="AG10" s="23" t="s">
        <v>18</v>
      </c>
      <c r="AH10" s="29" t="s">
        <v>19</v>
      </c>
      <c r="AI10" s="23" t="s">
        <v>20</v>
      </c>
      <c r="AJ10" s="57"/>
      <c r="AK10" s="30"/>
      <c r="AL10" s="31"/>
      <c r="AM10" s="32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customFormat="false" ht="12.8" hidden="false" customHeight="false" outlineLevel="0" collapsed="false">
      <c r="A11" s="24"/>
      <c r="B11" s="23"/>
      <c r="C11" s="25"/>
      <c r="D11" s="25"/>
      <c r="E11" s="53" t="s">
        <v>14</v>
      </c>
      <c r="F11" s="33" t="s">
        <v>23</v>
      </c>
      <c r="G11" s="33"/>
      <c r="H11" s="33"/>
      <c r="I11" s="33" t="s">
        <v>25</v>
      </c>
      <c r="J11" s="33" t="s">
        <v>26</v>
      </c>
      <c r="K11" s="33" t="s">
        <v>27</v>
      </c>
      <c r="L11" s="33" t="s">
        <v>19</v>
      </c>
      <c r="M11" s="33"/>
      <c r="N11" s="33" t="s">
        <v>29</v>
      </c>
      <c r="O11" s="33" t="s">
        <v>30</v>
      </c>
      <c r="P11" s="33" t="s">
        <v>31</v>
      </c>
      <c r="Q11" s="33" t="s">
        <v>32</v>
      </c>
      <c r="R11" s="33"/>
      <c r="S11" s="33"/>
      <c r="T11" s="33"/>
      <c r="U11" s="23"/>
      <c r="V11" s="23"/>
      <c r="W11" s="33" t="s">
        <v>33</v>
      </c>
      <c r="X11" s="33"/>
      <c r="Y11" s="23"/>
      <c r="Z11" s="56"/>
      <c r="AA11" s="23"/>
      <c r="AB11" s="33" t="s">
        <v>34</v>
      </c>
      <c r="AC11" s="33" t="s">
        <v>35</v>
      </c>
      <c r="AD11" s="33" t="s">
        <v>36</v>
      </c>
      <c r="AE11" s="33" t="s">
        <v>101</v>
      </c>
      <c r="AF11" s="33" t="s">
        <v>102</v>
      </c>
      <c r="AG11" s="33" t="s">
        <v>39</v>
      </c>
      <c r="AH11" s="35" t="s">
        <v>40</v>
      </c>
      <c r="AI11" s="23" t="s">
        <v>41</v>
      </c>
      <c r="AJ11" s="58"/>
      <c r="AK11" s="30"/>
      <c r="AL11" s="59"/>
      <c r="AM11" s="60"/>
      <c r="AN11" s="57"/>
      <c r="AO11" s="23"/>
      <c r="AP11" s="23"/>
      <c r="AQ11" s="23"/>
      <c r="AR11" s="23"/>
      <c r="AS11" s="23"/>
      <c r="AT11" s="23"/>
      <c r="AU11" s="23"/>
      <c r="AV11" s="23"/>
      <c r="AW11" s="2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customFormat="false" ht="12.8" hidden="false" customHeight="false" outlineLevel="0" collapsed="false">
      <c r="A12" s="24"/>
      <c r="B12" s="61"/>
      <c r="C12" s="25"/>
      <c r="D12" s="25"/>
      <c r="E12" s="53" t="s">
        <v>22</v>
      </c>
      <c r="F12" s="33" t="s">
        <v>47</v>
      </c>
      <c r="G12" s="33"/>
      <c r="H12" s="33"/>
      <c r="I12" s="33" t="s">
        <v>49</v>
      </c>
      <c r="J12" s="33" t="s">
        <v>50</v>
      </c>
      <c r="K12" s="33" t="s">
        <v>51</v>
      </c>
      <c r="L12" s="33" t="s">
        <v>52</v>
      </c>
      <c r="M12" s="33"/>
      <c r="N12" s="33" t="s">
        <v>53</v>
      </c>
      <c r="O12" s="33" t="s">
        <v>54</v>
      </c>
      <c r="P12" s="33" t="s">
        <v>103</v>
      </c>
      <c r="Q12" s="33" t="s">
        <v>56</v>
      </c>
      <c r="S12" s="33" t="s">
        <v>57</v>
      </c>
      <c r="T12" s="33"/>
      <c r="U12" s="33" t="s">
        <v>57</v>
      </c>
      <c r="V12" s="33" t="s">
        <v>58</v>
      </c>
      <c r="W12" s="33" t="s">
        <v>59</v>
      </c>
      <c r="X12" s="33" t="s">
        <v>104</v>
      </c>
      <c r="Y12" s="23" t="s">
        <v>104</v>
      </c>
      <c r="Z12" s="23" t="s">
        <v>62</v>
      </c>
      <c r="AA12" s="23" t="s">
        <v>62</v>
      </c>
      <c r="AB12" s="33" t="s">
        <v>63</v>
      </c>
      <c r="AC12" s="33" t="s">
        <v>64</v>
      </c>
      <c r="AD12" s="33" t="s">
        <v>65</v>
      </c>
      <c r="AE12" s="33" t="s">
        <v>66</v>
      </c>
      <c r="AF12" s="33" t="s">
        <v>67</v>
      </c>
      <c r="AG12" s="33" t="s">
        <v>68</v>
      </c>
      <c r="AH12" s="35"/>
      <c r="AI12" s="23" t="s">
        <v>69</v>
      </c>
      <c r="AJ12" s="23"/>
      <c r="AK12" s="62"/>
      <c r="AL12" s="31"/>
      <c r="AM12" s="60"/>
      <c r="AN12" s="57"/>
      <c r="AO12" s="57"/>
      <c r="AP12" s="23"/>
      <c r="AQ12" s="23"/>
      <c r="AR12" s="23"/>
      <c r="AS12" s="23"/>
      <c r="AT12" s="23"/>
      <c r="AU12" s="23"/>
      <c r="AV12" s="23"/>
      <c r="AW12" s="2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customFormat="false" ht="12.8" hidden="false" customHeight="false" outlineLevel="0" collapsed="false">
      <c r="A13" s="24"/>
      <c r="B13" s="25" t="s">
        <v>105</v>
      </c>
      <c r="C13" s="25" t="s">
        <v>73</v>
      </c>
      <c r="D13" s="25"/>
      <c r="E13" s="53" t="s">
        <v>46</v>
      </c>
      <c r="F13" s="33" t="s">
        <v>74</v>
      </c>
      <c r="G13" s="33"/>
      <c r="H13" s="33"/>
      <c r="I13" s="33" t="s">
        <v>76</v>
      </c>
      <c r="J13" s="33" t="s">
        <v>64</v>
      </c>
      <c r="K13" s="33" t="s">
        <v>77</v>
      </c>
      <c r="L13" s="33"/>
      <c r="M13" s="33"/>
      <c r="N13" s="33"/>
      <c r="O13" s="33" t="s">
        <v>76</v>
      </c>
      <c r="P13" s="33" t="s">
        <v>78</v>
      </c>
      <c r="Q13" s="33" t="s">
        <v>79</v>
      </c>
      <c r="S13" s="33" t="s">
        <v>106</v>
      </c>
      <c r="T13" s="33"/>
      <c r="U13" s="33" t="s">
        <v>107</v>
      </c>
      <c r="V13" s="33" t="s">
        <v>108</v>
      </c>
      <c r="W13" s="33" t="s">
        <v>82</v>
      </c>
      <c r="X13" s="33" t="s">
        <v>106</v>
      </c>
      <c r="Y13" s="23" t="s">
        <v>109</v>
      </c>
      <c r="Z13" s="23" t="s">
        <v>84</v>
      </c>
      <c r="AA13" s="23" t="s">
        <v>85</v>
      </c>
      <c r="AB13" s="33" t="s">
        <v>64</v>
      </c>
      <c r="AC13" s="33"/>
      <c r="AD13" s="33"/>
      <c r="AE13" s="33" t="s">
        <v>86</v>
      </c>
      <c r="AF13" s="33" t="s">
        <v>87</v>
      </c>
      <c r="AG13" s="33"/>
      <c r="AH13" s="35"/>
      <c r="AI13" s="23" t="s">
        <v>88</v>
      </c>
      <c r="AJ13" s="23"/>
      <c r="AK13" s="62"/>
      <c r="AL13" s="31"/>
      <c r="AM13" s="60"/>
      <c r="AN13" s="57"/>
      <c r="AO13" s="57"/>
      <c r="AP13" s="23"/>
      <c r="AQ13" s="23"/>
      <c r="AR13" s="23"/>
      <c r="AS13" s="23"/>
      <c r="AT13" s="23"/>
      <c r="AU13" s="23"/>
      <c r="AV13" s="23"/>
      <c r="AW13" s="2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customFormat="false" ht="12.8" hidden="false" customHeight="false" outlineLevel="0" collapsed="false">
      <c r="A14" s="63"/>
      <c r="B14" s="40"/>
      <c r="C14" s="64"/>
      <c r="D14" s="64"/>
      <c r="E14" s="65"/>
      <c r="F14" s="43"/>
      <c r="G14" s="43"/>
      <c r="H14" s="43"/>
      <c r="I14" s="47"/>
      <c r="J14" s="43" t="s">
        <v>110</v>
      </c>
      <c r="K14" s="43" t="s">
        <v>110</v>
      </c>
      <c r="L14" s="40"/>
      <c r="M14" s="40"/>
      <c r="N14" s="40"/>
      <c r="O14" s="40" t="s">
        <v>92</v>
      </c>
      <c r="P14" s="40" t="s">
        <v>93</v>
      </c>
      <c r="Q14" s="40" t="s">
        <v>94</v>
      </c>
      <c r="S14" s="43" t="s">
        <v>111</v>
      </c>
      <c r="T14" s="43"/>
      <c r="U14" s="43" t="s">
        <v>112</v>
      </c>
      <c r="V14" s="43" t="s">
        <v>93</v>
      </c>
      <c r="W14" s="43" t="s">
        <v>93</v>
      </c>
      <c r="X14" s="43" t="s">
        <v>111</v>
      </c>
      <c r="Y14" s="40" t="s">
        <v>113</v>
      </c>
      <c r="Z14" s="40" t="s">
        <v>114</v>
      </c>
      <c r="AA14" s="40" t="s">
        <v>114</v>
      </c>
      <c r="AB14" s="43" t="s">
        <v>115</v>
      </c>
      <c r="AC14" s="43" t="s">
        <v>93</v>
      </c>
      <c r="AD14" s="43" t="s">
        <v>93</v>
      </c>
      <c r="AE14" s="43" t="s">
        <v>93</v>
      </c>
      <c r="AF14" s="43" t="s">
        <v>93</v>
      </c>
      <c r="AG14" s="43" t="s">
        <v>93</v>
      </c>
      <c r="AH14" s="44"/>
      <c r="AI14" s="40" t="s">
        <v>114</v>
      </c>
      <c r="AJ14" s="40"/>
      <c r="AK14" s="66"/>
      <c r="AL14" s="31"/>
      <c r="AM14" s="60"/>
      <c r="AN14" s="57"/>
      <c r="AO14" s="57"/>
      <c r="AP14" s="23"/>
      <c r="AQ14" s="23"/>
      <c r="AR14" s="23"/>
      <c r="AS14" s="23"/>
      <c r="AT14" s="23"/>
      <c r="AU14" s="23"/>
      <c r="AV14" s="23"/>
      <c r="AW14" s="2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="68" customFormat="true" ht="12.8" hidden="false" customHeight="false" outlineLevel="0" collapsed="false">
      <c r="A15" s="67"/>
      <c r="C15" s="68" t="s">
        <v>116</v>
      </c>
      <c r="D15" s="68" t="s">
        <v>117</v>
      </c>
      <c r="E15" s="69" t="s">
        <v>118</v>
      </c>
      <c r="F15" s="68" t="s">
        <v>119</v>
      </c>
      <c r="G15" s="68" t="s">
        <v>120</v>
      </c>
      <c r="M15" s="68" t="s">
        <v>121</v>
      </c>
      <c r="N15" s="0"/>
      <c r="R15" s="68" t="s">
        <v>122</v>
      </c>
      <c r="S15" s="68" t="s">
        <v>123</v>
      </c>
      <c r="T15" s="68" t="s">
        <v>124</v>
      </c>
      <c r="V15" s="69" t="s">
        <v>125</v>
      </c>
      <c r="W15" s="69" t="s">
        <v>126</v>
      </c>
      <c r="X15" s="68" t="s">
        <v>127</v>
      </c>
      <c r="Z15" s="68" t="s">
        <v>128</v>
      </c>
      <c r="AA15" s="69" t="s">
        <v>129</v>
      </c>
      <c r="AB15" s="68" t="s">
        <v>130</v>
      </c>
      <c r="AC15" s="68" t="s">
        <v>131</v>
      </c>
      <c r="AH15" s="70" t="s">
        <v>132</v>
      </c>
      <c r="AJ15" s="69" t="s">
        <v>133</v>
      </c>
      <c r="AK15" s="69" t="s">
        <v>134</v>
      </c>
      <c r="AL15" s="71" t="s">
        <v>135</v>
      </c>
      <c r="AM15" s="72" t="s">
        <v>136</v>
      </c>
    </row>
    <row r="16" s="93" customFormat="true" ht="12.8" hidden="false" customHeight="false" outlineLevel="0" collapsed="false">
      <c r="A16" s="73" t="s">
        <v>137</v>
      </c>
      <c r="B16" s="74" t="s">
        <v>138</v>
      </c>
      <c r="C16" s="75" t="s">
        <v>139</v>
      </c>
      <c r="D16" s="76" t="s">
        <v>140</v>
      </c>
      <c r="E16" s="77" t="n">
        <v>0.997</v>
      </c>
      <c r="F16" s="76" t="s">
        <v>141</v>
      </c>
      <c r="G16" s="78" t="n">
        <f aca="false">FALSE()</f>
        <v>0</v>
      </c>
      <c r="H16" s="75"/>
      <c r="I16" s="79" t="n">
        <f aca="false">IF(F16="level", 1, VLOOKUP(F16,ActivityStats!$C$4:$D$12,2,FALSE()))</f>
        <v>1</v>
      </c>
      <c r="J16" s="80" t="n">
        <f aca="false">365*24*60</f>
        <v>525600</v>
      </c>
      <c r="K16" s="80" t="n">
        <f aca="false">I16*J16</f>
        <v>525600</v>
      </c>
      <c r="L16" s="81" t="n">
        <f aca="false">K16/J16</f>
        <v>1</v>
      </c>
      <c r="M16" s="78" t="n">
        <f aca="false">FALSE()</f>
        <v>0</v>
      </c>
      <c r="N16" s="82" t="n">
        <f aca="false">IF(F16="level",FALSE(), TRUE())</f>
        <v>0</v>
      </c>
      <c r="O16" s="50" t="n">
        <f aca="false">IF(N16 = FALSE(),1,ActivityStats!$D$12)</f>
        <v>1</v>
      </c>
      <c r="P16" s="83" t="n">
        <f aca="false">O16*J16</f>
        <v>525600</v>
      </c>
      <c r="Q16" s="81" t="n">
        <f aca="false">L16/O16</f>
        <v>1</v>
      </c>
      <c r="R16" s="84" t="n">
        <v>130</v>
      </c>
      <c r="S16" s="85" t="n">
        <v>0</v>
      </c>
      <c r="T16" s="85" t="n">
        <f aca="false">IF(S16&gt;0, TRUE(), FALSE())</f>
        <v>0</v>
      </c>
      <c r="U16" s="86" t="n">
        <f aca="false">R16*V16/(60*1000)</f>
        <v>0.039</v>
      </c>
      <c r="V16" s="85" t="n">
        <v>18</v>
      </c>
      <c r="W16" s="75" t="n">
        <f aca="false">2*V16</f>
        <v>36</v>
      </c>
      <c r="X16" s="75" t="n">
        <v>0</v>
      </c>
      <c r="Y16" s="87" t="n">
        <f aca="false">X16*J16/(60*1000)</f>
        <v>0</v>
      </c>
      <c r="Z16" s="88" t="n">
        <v>297.1</v>
      </c>
      <c r="AA16" s="87" t="n">
        <f aca="false">Z16-Y16</f>
        <v>297.1</v>
      </c>
      <c r="AB16" s="89" t="n">
        <f aca="false">AA16/((R16-X16)*V16)*60*1000</f>
        <v>7617.94871794872</v>
      </c>
      <c r="AC16" s="90" t="n">
        <f aca="false">AB16*V16</f>
        <v>137123.076923077</v>
      </c>
      <c r="AD16" s="90" t="n">
        <f aca="false">AB16*W16</f>
        <v>274246.153846154</v>
      </c>
      <c r="AE16" s="91" t="n">
        <f aca="false">P16-AC16-AD16</f>
        <v>114230.769230769</v>
      </c>
      <c r="AF16" s="91" t="n">
        <f aca="false">AE16*Q16</f>
        <v>114230.769230769</v>
      </c>
      <c r="AG16" s="91" t="n">
        <f aca="false">AF16/AB16</f>
        <v>14.9949511948839</v>
      </c>
      <c r="AH16" s="92" t="n">
        <f aca="false">1/AG16</f>
        <v>0.0666891133557801</v>
      </c>
      <c r="AI16" s="91" t="n">
        <f aca="false">Z16*E16</f>
        <v>296.2087</v>
      </c>
      <c r="AJ16" s="86" t="n">
        <v>0.8</v>
      </c>
      <c r="AK16" s="86" t="n">
        <v>1</v>
      </c>
      <c r="AL16" s="21"/>
      <c r="AM16" s="22"/>
      <c r="AN16" s="86"/>
      <c r="AO16" s="86"/>
      <c r="AP16" s="86"/>
      <c r="AQ16" s="86"/>
      <c r="AR16" s="86"/>
      <c r="AS16" s="86"/>
      <c r="AT16" s="86"/>
      <c r="AU16" s="86"/>
      <c r="AV16" s="86"/>
      <c r="AW16" s="86"/>
      <c r="AX16" s="86"/>
      <c r="AY16" s="86"/>
      <c r="AZ16" s="86"/>
      <c r="BA16" s="86"/>
      <c r="BB16" s="86"/>
      <c r="BC16" s="86"/>
      <c r="BD16" s="86"/>
      <c r="BE16" s="86"/>
      <c r="BF16" s="86"/>
      <c r="BG16" s="86"/>
    </row>
    <row r="17" customFormat="false" ht="12.8" hidden="false" customHeight="false" outlineLevel="0" collapsed="false">
      <c r="A17" s="25"/>
      <c r="B17" s="94" t="s">
        <v>138</v>
      </c>
      <c r="C17" s="95" t="s">
        <v>142</v>
      </c>
      <c r="D17" s="96" t="s">
        <v>140</v>
      </c>
      <c r="E17" s="97" t="n">
        <v>0.233</v>
      </c>
      <c r="F17" s="96" t="s">
        <v>141</v>
      </c>
      <c r="G17" s="78" t="n">
        <f aca="false">FALSE()</f>
        <v>0</v>
      </c>
      <c r="H17" s="95"/>
      <c r="I17" s="47" t="n">
        <f aca="false">IF(F17="level", 1, VLOOKUP(F17,ActivityStats!$C$4:$D$12,2,FALSE()))</f>
        <v>1</v>
      </c>
      <c r="J17" s="54" t="n">
        <f aca="false">365*24*60</f>
        <v>525600</v>
      </c>
      <c r="K17" s="54" t="n">
        <f aca="false">I17*J17</f>
        <v>525600</v>
      </c>
      <c r="L17" s="50" t="n">
        <f aca="false">K17/J17</f>
        <v>1</v>
      </c>
      <c r="M17" s="78" t="n">
        <f aca="false">FALSE()</f>
        <v>0</v>
      </c>
      <c r="N17" s="98" t="n">
        <f aca="false">IF(F17="level",FALSE(), TRUE())</f>
        <v>0</v>
      </c>
      <c r="O17" s="50" t="n">
        <f aca="false">IF(N17 = FALSE(),1,ActivityStats!$D$12)</f>
        <v>1</v>
      </c>
      <c r="P17" s="99" t="n">
        <f aca="false">O17*J17</f>
        <v>525600</v>
      </c>
      <c r="Q17" s="50" t="n">
        <f aca="false">L17/O17</f>
        <v>1</v>
      </c>
      <c r="R17" s="100" t="n">
        <v>130</v>
      </c>
      <c r="S17" s="101" t="n">
        <v>0</v>
      </c>
      <c r="T17" s="101" t="n">
        <f aca="false">IF(S17&gt;0, TRUE(), FALSE())</f>
        <v>0</v>
      </c>
      <c r="U17" s="23" t="n">
        <f aca="false">R17*V17/(60*1000)</f>
        <v>0.039</v>
      </c>
      <c r="V17" s="101" t="n">
        <v>18</v>
      </c>
      <c r="W17" s="95" t="n">
        <f aca="false">2*V17</f>
        <v>36</v>
      </c>
      <c r="X17" s="95" t="n">
        <v>0</v>
      </c>
      <c r="Y17" s="56" t="n">
        <f aca="false">X17*J17/(60*1000)</f>
        <v>0</v>
      </c>
      <c r="Z17" s="102" t="n">
        <v>297.1</v>
      </c>
      <c r="AA17" s="56" t="n">
        <f aca="false">Z17-Y17</f>
        <v>297.1</v>
      </c>
      <c r="AB17" s="103" t="n">
        <f aca="false">AA17/((R17-X17)*V17)*60*1000</f>
        <v>7617.94871794872</v>
      </c>
      <c r="AC17" s="104" t="n">
        <f aca="false">AB17*V17</f>
        <v>137123.076923077</v>
      </c>
      <c r="AD17" s="104" t="n">
        <f aca="false">AB17*W17</f>
        <v>274246.153846154</v>
      </c>
      <c r="AE17" s="57" t="n">
        <f aca="false">P17-AC17-AD17</f>
        <v>114230.769230769</v>
      </c>
      <c r="AF17" s="57" t="n">
        <f aca="false">AE17*Q17</f>
        <v>114230.769230769</v>
      </c>
      <c r="AG17" s="57" t="n">
        <f aca="false">AF17/AB17</f>
        <v>14.9949511948839</v>
      </c>
      <c r="AH17" s="105" t="n">
        <f aca="false">1/AG17</f>
        <v>0.0666891133557801</v>
      </c>
      <c r="AI17" s="57" t="n">
        <f aca="false">Z17*E17</f>
        <v>69.2243</v>
      </c>
      <c r="AJ17" s="23" t="n">
        <v>0.8</v>
      </c>
      <c r="AK17" s="23" t="n">
        <v>1</v>
      </c>
      <c r="AL17" s="31"/>
      <c r="AM17" s="32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3"/>
      <c r="AY17" s="23"/>
      <c r="AZ17" s="23"/>
      <c r="BA17" s="23"/>
      <c r="BB17" s="23"/>
      <c r="BC17" s="23"/>
      <c r="BD17" s="23"/>
      <c r="BE17" s="23"/>
      <c r="BF17" s="3"/>
      <c r="BG17" s="23"/>
    </row>
    <row r="18" customFormat="false" ht="12.8" hidden="false" customHeight="false" outlineLevel="0" collapsed="false">
      <c r="A18" s="106"/>
      <c r="B18" s="94" t="s">
        <v>143</v>
      </c>
      <c r="C18" s="95" t="s">
        <v>144</v>
      </c>
      <c r="D18" s="96" t="s">
        <v>145</v>
      </c>
      <c r="E18" s="97" t="n">
        <v>0.482</v>
      </c>
      <c r="F18" s="96" t="s">
        <v>141</v>
      </c>
      <c r="G18" s="78" t="n">
        <f aca="false">FALSE()</f>
        <v>0</v>
      </c>
      <c r="H18" s="95"/>
      <c r="I18" s="47" t="n">
        <f aca="false">IF(F18="level", 1, VLOOKUP(F18,ActivityStats!$C$4:$D$12,2,FALSE()))</f>
        <v>1</v>
      </c>
      <c r="J18" s="54" t="n">
        <f aca="false">365*24*60</f>
        <v>525600</v>
      </c>
      <c r="K18" s="54" t="n">
        <f aca="false">I18*J18</f>
        <v>525600</v>
      </c>
      <c r="L18" s="50" t="n">
        <f aca="false">K18/J18</f>
        <v>1</v>
      </c>
      <c r="M18" s="78" t="n">
        <f aca="false">FALSE()</f>
        <v>0</v>
      </c>
      <c r="N18" s="98" t="n">
        <f aca="false">IF(F18="level",FALSE(), TRUE())</f>
        <v>0</v>
      </c>
      <c r="O18" s="50" t="n">
        <f aca="false">IF(N18 = FALSE(),1,ActivityStats!$D$12)</f>
        <v>1</v>
      </c>
      <c r="P18" s="99" t="n">
        <f aca="false">O18*J18</f>
        <v>525600</v>
      </c>
      <c r="Q18" s="50" t="n">
        <f aca="false">L18/O18</f>
        <v>1</v>
      </c>
      <c r="R18" s="100" t="n">
        <v>220</v>
      </c>
      <c r="S18" s="101" t="n">
        <v>0</v>
      </c>
      <c r="T18" s="101" t="n">
        <f aca="false">IF(S18&gt;0, TRUE(), FALSE())</f>
        <v>0</v>
      </c>
      <c r="U18" s="23" t="n">
        <f aca="false">R18*V18/(60*1000)</f>
        <v>0.0806666666666667</v>
      </c>
      <c r="V18" s="95" t="n">
        <v>22</v>
      </c>
      <c r="W18" s="95" t="n">
        <f aca="false">2*V18</f>
        <v>44</v>
      </c>
      <c r="X18" s="95" t="n">
        <v>0</v>
      </c>
      <c r="Y18" s="56" t="n">
        <f aca="false">X18*J18/(60*1000)</f>
        <v>0</v>
      </c>
      <c r="Z18" s="102" t="n">
        <v>407</v>
      </c>
      <c r="AA18" s="56" t="n">
        <f aca="false">Z18-Y18</f>
        <v>407</v>
      </c>
      <c r="AB18" s="103" t="n">
        <f aca="false">AA18/((R18-X18)*V18)*60*1000</f>
        <v>5045.45454545455</v>
      </c>
      <c r="AC18" s="104" t="n">
        <f aca="false">AB18*V18</f>
        <v>111000</v>
      </c>
      <c r="AD18" s="104" t="n">
        <f aca="false">AB18*W18</f>
        <v>222000</v>
      </c>
      <c r="AE18" s="57" t="n">
        <f aca="false">P18-AC18-AD18</f>
        <v>192600</v>
      </c>
      <c r="AF18" s="57" t="n">
        <f aca="false">AE18*Q18</f>
        <v>192600</v>
      </c>
      <c r="AG18" s="57" t="n">
        <f aca="false">AF18/AB18</f>
        <v>38.172972972973</v>
      </c>
      <c r="AH18" s="105" t="n">
        <f aca="false">1/AG18</f>
        <v>0.0261965448881337</v>
      </c>
      <c r="AI18" s="57" t="n">
        <f aca="false">Z18*E18</f>
        <v>196.174</v>
      </c>
      <c r="AJ18" s="23" t="n">
        <v>0.8</v>
      </c>
      <c r="AK18" s="30" t="n">
        <v>1</v>
      </c>
      <c r="AL18" s="31"/>
      <c r="AM18" s="32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3"/>
      <c r="AY18" s="23"/>
      <c r="AZ18" s="23"/>
      <c r="BA18" s="23"/>
      <c r="BB18" s="23"/>
      <c r="BC18" s="23"/>
      <c r="BD18" s="23"/>
      <c r="BE18" s="23"/>
      <c r="BF18" s="3"/>
      <c r="BG18" s="23"/>
    </row>
    <row r="19" customFormat="false" ht="12.8" hidden="false" customHeight="false" outlineLevel="0" collapsed="false">
      <c r="A19" s="106"/>
      <c r="B19" s="94" t="s">
        <v>143</v>
      </c>
      <c r="C19" s="95" t="s">
        <v>146</v>
      </c>
      <c r="D19" s="96" t="s">
        <v>145</v>
      </c>
      <c r="E19" s="97" t="n">
        <v>0.057</v>
      </c>
      <c r="F19" s="96" t="s">
        <v>141</v>
      </c>
      <c r="G19" s="78" t="n">
        <f aca="false">FALSE()</f>
        <v>0</v>
      </c>
      <c r="H19" s="95"/>
      <c r="I19" s="47" t="n">
        <f aca="false">IF(F19="level", 1, VLOOKUP(F19,ActivityStats!$C$4:$D$12,2,FALSE()))</f>
        <v>1</v>
      </c>
      <c r="J19" s="54" t="n">
        <f aca="false">365*24*60</f>
        <v>525600</v>
      </c>
      <c r="K19" s="54" t="n">
        <f aca="false">I19*J19</f>
        <v>525600</v>
      </c>
      <c r="L19" s="50" t="n">
        <f aca="false">K19/J19</f>
        <v>1</v>
      </c>
      <c r="M19" s="78" t="n">
        <f aca="false">FALSE()</f>
        <v>0</v>
      </c>
      <c r="N19" s="98" t="n">
        <f aca="false">IF(F19="level",FALSE(), TRUE())</f>
        <v>0</v>
      </c>
      <c r="O19" s="50" t="n">
        <f aca="false">IF(N19 = FALSE(),1,ActivityStats!$D$12)</f>
        <v>1</v>
      </c>
      <c r="P19" s="99" t="n">
        <f aca="false">O19*J19</f>
        <v>525600</v>
      </c>
      <c r="Q19" s="50" t="n">
        <f aca="false">L19/O19</f>
        <v>1</v>
      </c>
      <c r="R19" s="100" t="n">
        <v>220</v>
      </c>
      <c r="S19" s="101" t="n">
        <v>0</v>
      </c>
      <c r="T19" s="101" t="n">
        <f aca="false">IF(S19&gt;0, TRUE(), FALSE())</f>
        <v>0</v>
      </c>
      <c r="U19" s="23" t="n">
        <f aca="false">R19*V19/(60*1000)</f>
        <v>0.0806666666666667</v>
      </c>
      <c r="V19" s="95" t="n">
        <v>22</v>
      </c>
      <c r="W19" s="95" t="n">
        <f aca="false">2*V19</f>
        <v>44</v>
      </c>
      <c r="X19" s="95" t="n">
        <v>0</v>
      </c>
      <c r="Y19" s="56" t="n">
        <f aca="false">X19*J19/(60*1000)</f>
        <v>0</v>
      </c>
      <c r="Z19" s="102" t="n">
        <v>407</v>
      </c>
      <c r="AA19" s="56" t="n">
        <f aca="false">Z19-Y19</f>
        <v>407</v>
      </c>
      <c r="AB19" s="103" t="n">
        <f aca="false">AA19/((R19-X19)*V19)*60*1000</f>
        <v>5045.45454545455</v>
      </c>
      <c r="AC19" s="104" t="n">
        <f aca="false">AB19*V19</f>
        <v>111000</v>
      </c>
      <c r="AD19" s="104" t="n">
        <f aca="false">AB19*W19</f>
        <v>222000</v>
      </c>
      <c r="AE19" s="57" t="n">
        <f aca="false">P19-AC19-AD19</f>
        <v>192600</v>
      </c>
      <c r="AF19" s="57" t="n">
        <f aca="false">AE19*Q19</f>
        <v>192600</v>
      </c>
      <c r="AG19" s="57" t="n">
        <f aca="false">AF19/AB19</f>
        <v>38.172972972973</v>
      </c>
      <c r="AH19" s="105" t="n">
        <f aca="false">1/AG19</f>
        <v>0.0261965448881337</v>
      </c>
      <c r="AI19" s="57" t="n">
        <f aca="false">Z19*E19</f>
        <v>23.199</v>
      </c>
      <c r="AJ19" s="23" t="n">
        <v>0.8</v>
      </c>
      <c r="AK19" s="30" t="n">
        <v>1</v>
      </c>
      <c r="AL19" s="31"/>
      <c r="AM19" s="32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3"/>
      <c r="AY19" s="23"/>
      <c r="AZ19" s="23"/>
      <c r="BA19" s="23"/>
      <c r="BB19" s="23"/>
      <c r="BC19" s="23"/>
      <c r="BD19" s="23"/>
      <c r="BE19" s="23"/>
      <c r="BF19" s="3"/>
      <c r="BG19" s="23"/>
    </row>
    <row r="20" customFormat="false" ht="12.8" hidden="false" customHeight="false" outlineLevel="0" collapsed="false">
      <c r="A20" s="106" t="s">
        <v>147</v>
      </c>
      <c r="B20" s="94" t="s">
        <v>148</v>
      </c>
      <c r="C20" s="95" t="s">
        <v>149</v>
      </c>
      <c r="D20" s="96" t="s">
        <v>150</v>
      </c>
      <c r="E20" s="97" t="n">
        <v>0.849</v>
      </c>
      <c r="F20" s="96" t="s">
        <v>151</v>
      </c>
      <c r="G20" s="107" t="n">
        <f aca="false">TRUE()</f>
        <v>1</v>
      </c>
      <c r="H20" s="95" t="n">
        <v>612</v>
      </c>
      <c r="I20" s="47" t="n">
        <f aca="false">IF(F20="level", 1, VLOOKUP(F20,ActivityStats!$C$4:$D$12,2,FALSE()))</f>
        <v>0.47775902852124</v>
      </c>
      <c r="J20" s="54" t="n">
        <f aca="false">365*24*60</f>
        <v>525600</v>
      </c>
      <c r="K20" s="54" t="n">
        <f aca="false">I20*J20</f>
        <v>251110.145390764</v>
      </c>
      <c r="L20" s="50" t="n">
        <f aca="false">K20/J20</f>
        <v>0.47775902852124</v>
      </c>
      <c r="M20" s="107" t="n">
        <f aca="false">TRUE()</f>
        <v>1</v>
      </c>
      <c r="N20" s="98" t="n">
        <f aca="false">IF(F20="level",FALSE(), TRUE())</f>
        <v>1</v>
      </c>
      <c r="O20" s="50" t="n">
        <f aca="false">IF(N20 = FALSE(),1,ActivityStats!$D$12)</f>
        <v>0.47775902852124</v>
      </c>
      <c r="P20" s="99" t="n">
        <f aca="false">O20*J20</f>
        <v>251110.145390764</v>
      </c>
      <c r="Q20" s="50" t="n">
        <f aca="false">L20/O20</f>
        <v>1</v>
      </c>
      <c r="R20" s="101" t="n">
        <v>2</v>
      </c>
      <c r="S20" s="101" t="n">
        <v>0</v>
      </c>
      <c r="T20" s="101" t="n">
        <f aca="false">IF(S20&gt;0, TRUE(), FALSE())</f>
        <v>0</v>
      </c>
      <c r="U20" s="23" t="n">
        <f aca="false">R20*V20/(60*1000)</f>
        <v>0</v>
      </c>
      <c r="V20" s="95" t="n">
        <v>0</v>
      </c>
      <c r="W20" s="95" t="n">
        <v>0</v>
      </c>
      <c r="X20" s="95" t="n">
        <v>1</v>
      </c>
      <c r="Y20" s="56" t="n">
        <f aca="false">X20*J20/(60*1000)</f>
        <v>8.76</v>
      </c>
      <c r="Z20" s="108" t="n">
        <v>8.76</v>
      </c>
      <c r="AA20" s="56" t="n">
        <f aca="false">Z20-Y20</f>
        <v>0</v>
      </c>
      <c r="AB20" s="103" t="n">
        <v>0</v>
      </c>
      <c r="AC20" s="104" t="n">
        <f aca="false">AB20*V20</f>
        <v>0</v>
      </c>
      <c r="AD20" s="104" t="n">
        <f aca="false">AB20*W20</f>
        <v>0</v>
      </c>
      <c r="AE20" s="57" t="n">
        <f aca="false">P20-AC20-AD20</f>
        <v>251110.145390764</v>
      </c>
      <c r="AF20" s="57" t="n">
        <f aca="false">AE20*Q20</f>
        <v>251110.145390764</v>
      </c>
      <c r="AG20" s="57" t="n">
        <v>0</v>
      </c>
      <c r="AH20" s="105" t="n">
        <v>1</v>
      </c>
      <c r="AI20" s="57" t="n">
        <f aca="false">Z20*E20</f>
        <v>7.43724</v>
      </c>
      <c r="AJ20" s="23" t="n">
        <v>1</v>
      </c>
      <c r="AK20" s="30" t="n">
        <v>1</v>
      </c>
      <c r="AL20" s="31"/>
      <c r="AM20" s="32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3"/>
      <c r="AY20" s="23"/>
      <c r="AZ20" s="23"/>
      <c r="BA20" s="23"/>
      <c r="BB20" s="23"/>
      <c r="BC20" s="23"/>
      <c r="BD20" s="23"/>
      <c r="BE20" s="23"/>
      <c r="BF20" s="3"/>
      <c r="BG20" s="23"/>
    </row>
    <row r="21" customFormat="false" ht="12.8" hidden="false" customHeight="false" outlineLevel="0" collapsed="false">
      <c r="A21" s="106"/>
      <c r="B21" s="25" t="s">
        <v>152</v>
      </c>
      <c r="C21" s="95" t="s">
        <v>153</v>
      </c>
      <c r="D21" s="96" t="s">
        <v>154</v>
      </c>
      <c r="E21" s="109" t="n">
        <v>0.9</v>
      </c>
      <c r="F21" s="96" t="s">
        <v>155</v>
      </c>
      <c r="G21" s="107" t="n">
        <f aca="false">FALSE()</f>
        <v>0</v>
      </c>
      <c r="H21" s="95" t="n">
        <v>432</v>
      </c>
      <c r="I21" s="47" t="n">
        <f aca="false">IF(F21="LEVEL", 1, VLOOKUP(F21,ActivityStats!$C$4:$D$12,2,FALSE()))</f>
        <v>0.00809295793279327</v>
      </c>
      <c r="J21" s="54" t="n">
        <f aca="false">365*24*60</f>
        <v>525600</v>
      </c>
      <c r="K21" s="54" t="n">
        <f aca="false">I21*J21</f>
        <v>4253.65868947614</v>
      </c>
      <c r="L21" s="50" t="n">
        <f aca="false">K21/J21</f>
        <v>0.00809295793279327</v>
      </c>
      <c r="M21" s="107" t="n">
        <f aca="false">TRUE()</f>
        <v>1</v>
      </c>
      <c r="N21" s="98" t="n">
        <f aca="false">IF(F21="level",FALSE(), TRUE())</f>
        <v>1</v>
      </c>
      <c r="O21" s="50" t="n">
        <f aca="false">IF(N21 = FALSE(),1,ActivityStats!$D$12)</f>
        <v>0.47775902852124</v>
      </c>
      <c r="P21" s="99" t="n">
        <f aca="false">O21*J21</f>
        <v>251110.145390764</v>
      </c>
      <c r="Q21" s="50" t="n">
        <f aca="false">L21/O21</f>
        <v>0.0169394139088121</v>
      </c>
      <c r="R21" s="101" t="n">
        <v>1000</v>
      </c>
      <c r="S21" s="101" t="n">
        <v>0</v>
      </c>
      <c r="T21" s="101" t="n">
        <f aca="false">IF(S21&gt;0, TRUE(), FALSE())</f>
        <v>0</v>
      </c>
      <c r="U21" s="23" t="n">
        <f aca="false">R21*V21/(60*1000)</f>
        <v>0.5</v>
      </c>
      <c r="V21" s="95" t="n">
        <v>30</v>
      </c>
      <c r="W21" s="95" t="n">
        <v>0</v>
      </c>
      <c r="X21" s="95" t="n">
        <v>0</v>
      </c>
      <c r="Y21" s="110" t="n">
        <f aca="false">X21*J21/(60*1000)</f>
        <v>0</v>
      </c>
      <c r="Z21" s="111" t="n">
        <v>17.7297346053873</v>
      </c>
      <c r="AA21" s="110" t="n">
        <f aca="false">Z21-Y21</f>
        <v>17.7297346053873</v>
      </c>
      <c r="AB21" s="103" t="n">
        <f aca="false">AA21/((R21-X21)*V21)*60*1000</f>
        <v>35.4594692107746</v>
      </c>
      <c r="AC21" s="104" t="n">
        <f aca="false">AB21*V21</f>
        <v>1063.78407632324</v>
      </c>
      <c r="AD21" s="104" t="n">
        <f aca="false">AB21*W21</f>
        <v>0</v>
      </c>
      <c r="AE21" s="57" t="n">
        <f aca="false">P21-AC21-AD21</f>
        <v>250046.361314441</v>
      </c>
      <c r="AF21" s="57" t="n">
        <f aca="false">AE21*Q21</f>
        <v>4235.6388106977</v>
      </c>
      <c r="AG21" s="57" t="n">
        <f aca="false">AF21/AB21</f>
        <v>119.45014702619</v>
      </c>
      <c r="AH21" s="105" t="n">
        <f aca="false">1/AG21</f>
        <v>0.00837169333731118</v>
      </c>
      <c r="AI21" s="57" t="n">
        <f aca="false">Z21*E21</f>
        <v>15.9567611448486</v>
      </c>
      <c r="AJ21" s="23" t="n">
        <v>1</v>
      </c>
      <c r="AK21" s="30" t="n">
        <v>1</v>
      </c>
      <c r="AL21" s="31"/>
      <c r="AM21" s="32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3"/>
      <c r="AY21" s="23"/>
      <c r="AZ21" s="23"/>
      <c r="BA21" s="23"/>
      <c r="BB21" s="23"/>
      <c r="BC21" s="23"/>
      <c r="BD21" s="23"/>
      <c r="BE21" s="23"/>
      <c r="BF21" s="3"/>
      <c r="BG21" s="23"/>
    </row>
    <row r="22" customFormat="false" ht="12.8" hidden="false" customHeight="false" outlineLevel="0" collapsed="false">
      <c r="A22" s="106"/>
      <c r="B22" s="25" t="s">
        <v>156</v>
      </c>
      <c r="C22" s="95" t="s">
        <v>157</v>
      </c>
      <c r="D22" s="96" t="s">
        <v>158</v>
      </c>
      <c r="E22" s="109" t="n">
        <v>0.937</v>
      </c>
      <c r="F22" s="96" t="s">
        <v>159</v>
      </c>
      <c r="G22" s="107" t="n">
        <v>1</v>
      </c>
      <c r="H22" s="95" t="n">
        <v>421</v>
      </c>
      <c r="I22" s="47" t="n">
        <f aca="false">IF(F22="LEVEL", 1, VLOOKUP(F22,ActivityStats!$C$4:$D$12,2,FALSE()))</f>
        <v>0.0529504866187396</v>
      </c>
      <c r="J22" s="54" t="n">
        <f aca="false">365*24*60</f>
        <v>525600</v>
      </c>
      <c r="K22" s="54" t="n">
        <f aca="false">I22*J22</f>
        <v>27830.7757668095</v>
      </c>
      <c r="L22" s="50" t="n">
        <f aca="false">K22/J22</f>
        <v>0.0529504866187396</v>
      </c>
      <c r="M22" s="107" t="n">
        <f aca="false">TRUE()</f>
        <v>1</v>
      </c>
      <c r="N22" s="98" t="n">
        <f aca="false">IF(F22="level",FALSE(), TRUE())</f>
        <v>1</v>
      </c>
      <c r="O22" s="50" t="n">
        <f aca="false">IF(N22 = FALSE(),1,ActivityStats!$D$12)</f>
        <v>0.47775902852124</v>
      </c>
      <c r="P22" s="99" t="n">
        <f aca="false">O22*J22</f>
        <v>251110.145390764</v>
      </c>
      <c r="Q22" s="50" t="n">
        <f aca="false">L22/O22</f>
        <v>0.110830949197615</v>
      </c>
      <c r="R22" s="101" t="n">
        <v>2000</v>
      </c>
      <c r="S22" s="101" t="n">
        <v>0</v>
      </c>
      <c r="T22" s="101" t="n">
        <f aca="false">IF(S22&gt;0, TRUE(), FALSE())</f>
        <v>0</v>
      </c>
      <c r="U22" s="23" t="n">
        <f aca="false">R22*V22/(60*1000)</f>
        <v>0.666666666666667</v>
      </c>
      <c r="V22" s="95" t="n">
        <v>20</v>
      </c>
      <c r="W22" s="95" t="n">
        <v>0</v>
      </c>
      <c r="X22" s="95" t="n">
        <v>0</v>
      </c>
      <c r="Y22" s="110" t="n">
        <f aca="false">X22*J22/(60*1000)</f>
        <v>0</v>
      </c>
      <c r="Z22" s="111" t="n">
        <v>73.5783986123575</v>
      </c>
      <c r="AA22" s="110" t="n">
        <f aca="false">Z22-Y22</f>
        <v>73.5783986123575</v>
      </c>
      <c r="AB22" s="103" t="n">
        <f aca="false">AA22/((R22-X22)*V22)*60*1000</f>
        <v>110.367597918536</v>
      </c>
      <c r="AC22" s="104" t="n">
        <f aca="false">AB22*V22</f>
        <v>2207.35195837072</v>
      </c>
      <c r="AD22" s="104" t="n">
        <f aca="false">AB22*W22</f>
        <v>0</v>
      </c>
      <c r="AE22" s="57" t="n">
        <f aca="false">P22-AC22-AD22</f>
        <v>248902.793432393</v>
      </c>
      <c r="AF22" s="57" t="n">
        <f aca="false">AE22*Q22</f>
        <v>27586.1328540501</v>
      </c>
      <c r="AG22" s="57" t="n">
        <f aca="false">AF22/AB22</f>
        <v>249.947750737601</v>
      </c>
      <c r="AH22" s="105" t="n">
        <f aca="false">1/AG22</f>
        <v>0.00400083616295397</v>
      </c>
      <c r="AI22" s="57" t="n">
        <f aca="false">Z22*E22</f>
        <v>68.942959499779</v>
      </c>
      <c r="AJ22" s="23" t="n">
        <v>1</v>
      </c>
      <c r="AK22" s="30" t="n">
        <v>0.7</v>
      </c>
      <c r="AL22" s="31"/>
      <c r="AM22" s="32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3"/>
      <c r="AY22" s="23"/>
      <c r="AZ22" s="23"/>
      <c r="BA22" s="23"/>
      <c r="BB22" s="23"/>
      <c r="BC22" s="23"/>
      <c r="BD22" s="23"/>
      <c r="BE22" s="23"/>
      <c r="BF22" s="3"/>
      <c r="BG22" s="23"/>
    </row>
    <row r="23" customFormat="false" ht="12.8" hidden="false" customHeight="false" outlineLevel="0" collapsed="false">
      <c r="A23" s="106"/>
      <c r="B23" s="94" t="s">
        <v>160</v>
      </c>
      <c r="C23" s="95" t="s">
        <v>161</v>
      </c>
      <c r="D23" s="96" t="s">
        <v>162</v>
      </c>
      <c r="E23" s="97" t="n">
        <v>0.442</v>
      </c>
      <c r="F23" s="96" t="s">
        <v>163</v>
      </c>
      <c r="G23" s="107" t="n">
        <f aca="false">TRUE()</f>
        <v>1</v>
      </c>
      <c r="H23" s="95" t="n">
        <v>84</v>
      </c>
      <c r="I23" s="47" t="n">
        <f aca="false">IF(F23="LEVEL", 1, VLOOKUP(F23,ActivityStats!$C$4:$D$12,2,FALSE()))</f>
        <v>0.0456507194552938</v>
      </c>
      <c r="J23" s="54" t="n">
        <f aca="false">365*24*60</f>
        <v>525600</v>
      </c>
      <c r="K23" s="54" t="n">
        <f aca="false">I23*J23</f>
        <v>23994.0181457024</v>
      </c>
      <c r="L23" s="50" t="n">
        <f aca="false">K23/J23</f>
        <v>0.0456507194552938</v>
      </c>
      <c r="M23" s="107" t="n">
        <f aca="false">TRUE()</f>
        <v>1</v>
      </c>
      <c r="N23" s="98" t="n">
        <f aca="false">IF(F23="level",FALSE(), TRUE())</f>
        <v>1</v>
      </c>
      <c r="O23" s="50" t="n">
        <f aca="false">IF(N23 = FALSE(),1,ActivityStats!$D$12)</f>
        <v>0.47775902852124</v>
      </c>
      <c r="P23" s="99" t="n">
        <f aca="false">O23*J23</f>
        <v>251110.145390764</v>
      </c>
      <c r="Q23" s="50" t="n">
        <f aca="false">L23/O23</f>
        <v>0.0955517671672097</v>
      </c>
      <c r="R23" s="101" t="n">
        <v>140.7</v>
      </c>
      <c r="S23" s="101" t="n">
        <v>0</v>
      </c>
      <c r="T23" s="101" t="n">
        <f aca="false">IF(S23&gt;0, TRUE(), FALSE())</f>
        <v>0</v>
      </c>
      <c r="U23" s="23" t="n">
        <f aca="false">R23*V23/(60*1000)</f>
        <v>0.4221</v>
      </c>
      <c r="V23" s="112" t="n">
        <v>180</v>
      </c>
      <c r="W23" s="95" t="n">
        <v>0</v>
      </c>
      <c r="X23" s="95" t="n">
        <v>5</v>
      </c>
      <c r="Y23" s="56" t="n">
        <f aca="false">X23*J23/(60*1000)</f>
        <v>43.8</v>
      </c>
      <c r="Z23" s="111" t="n">
        <v>348</v>
      </c>
      <c r="AA23" s="56" t="n">
        <f aca="false">Z23-Y23</f>
        <v>304.2</v>
      </c>
      <c r="AB23" s="103" t="n">
        <f aca="false">AA23/((R23-X23)*V23)*60*1000</f>
        <v>747.236551215918</v>
      </c>
      <c r="AC23" s="104" t="n">
        <f aca="false">AB23*V23</f>
        <v>134502.579218865</v>
      </c>
      <c r="AD23" s="104" t="n">
        <f aca="false">AB23*W23</f>
        <v>0</v>
      </c>
      <c r="AE23" s="57" t="n">
        <f aca="false">P23-AC23-AD23</f>
        <v>116607.566171899</v>
      </c>
      <c r="AF23" s="57" t="n">
        <f aca="false">AE23*Q23</f>
        <v>11142.0590127922</v>
      </c>
      <c r="AG23" s="57" t="n">
        <f aca="false">AF23/AB23</f>
        <v>14.9110198031155</v>
      </c>
      <c r="AH23" s="105" t="n">
        <f aca="false">1/AG23</f>
        <v>0.0670644941260868</v>
      </c>
      <c r="AI23" s="57" t="n">
        <f aca="false">Z23*E23</f>
        <v>153.816</v>
      </c>
      <c r="AJ23" s="23" t="n">
        <v>0.9</v>
      </c>
      <c r="AK23" s="30" t="n">
        <v>1</v>
      </c>
      <c r="AL23" s="31"/>
      <c r="AM23" s="113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3"/>
      <c r="AY23" s="23"/>
      <c r="AZ23" s="56"/>
      <c r="BA23" s="56"/>
      <c r="BB23" s="56"/>
      <c r="BC23" s="56"/>
      <c r="BD23" s="56"/>
      <c r="BE23" s="56"/>
      <c r="BF23" s="3"/>
      <c r="BG23" s="23"/>
    </row>
    <row r="24" customFormat="false" ht="12.8" hidden="false" customHeight="false" outlineLevel="0" collapsed="false">
      <c r="A24" s="106"/>
      <c r="B24" s="94" t="s">
        <v>160</v>
      </c>
      <c r="C24" s="95" t="s">
        <v>164</v>
      </c>
      <c r="D24" s="96" t="s">
        <v>162</v>
      </c>
      <c r="E24" s="97" t="n">
        <v>0.102</v>
      </c>
      <c r="F24" s="96" t="s">
        <v>163</v>
      </c>
      <c r="G24" s="107" t="n">
        <f aca="false">TRUE()</f>
        <v>1</v>
      </c>
      <c r="H24" s="95" t="n">
        <v>84</v>
      </c>
      <c r="I24" s="47" t="n">
        <f aca="false">IF(F24="LEVEL", 1, VLOOKUP(F24,ActivityStats!$C$4:$D$12,2,FALSE()))</f>
        <v>0.0456507194552938</v>
      </c>
      <c r="J24" s="54" t="n">
        <f aca="false">365*24*60</f>
        <v>525600</v>
      </c>
      <c r="K24" s="54" t="n">
        <f aca="false">I24*J24</f>
        <v>23994.0181457024</v>
      </c>
      <c r="L24" s="50" t="n">
        <f aca="false">K24/J24</f>
        <v>0.0456507194552938</v>
      </c>
      <c r="M24" s="107" t="n">
        <f aca="false">TRUE()</f>
        <v>1</v>
      </c>
      <c r="N24" s="98" t="n">
        <f aca="false">IF(F24="level",FALSE(), TRUE())</f>
        <v>1</v>
      </c>
      <c r="O24" s="50" t="n">
        <f aca="false">IF(N24 = FALSE(),1,ActivityStats!$D$12)</f>
        <v>0.47775902852124</v>
      </c>
      <c r="P24" s="99" t="n">
        <f aca="false">O24*J24</f>
        <v>251110.145390764</v>
      </c>
      <c r="Q24" s="50" t="n">
        <f aca="false">L24/O24</f>
        <v>0.0955517671672097</v>
      </c>
      <c r="R24" s="101" t="n">
        <v>140.7</v>
      </c>
      <c r="S24" s="101" t="n">
        <v>0</v>
      </c>
      <c r="T24" s="101" t="n">
        <f aca="false">IF(S24&gt;0, TRUE(), FALSE())</f>
        <v>0</v>
      </c>
      <c r="U24" s="23" t="n">
        <f aca="false">R24*V24/(60*1000)</f>
        <v>0.4221</v>
      </c>
      <c r="V24" s="112" t="n">
        <v>180</v>
      </c>
      <c r="W24" s="95" t="n">
        <v>0</v>
      </c>
      <c r="X24" s="95" t="n">
        <v>5</v>
      </c>
      <c r="Y24" s="56" t="n">
        <f aca="false">X24*J24/(60*1000)</f>
        <v>43.8</v>
      </c>
      <c r="Z24" s="111" t="n">
        <v>348</v>
      </c>
      <c r="AA24" s="56" t="n">
        <f aca="false">Z24-Y24</f>
        <v>304.2</v>
      </c>
      <c r="AB24" s="103" t="n">
        <f aca="false">AA24/((R24-X24)*V24)*60*1000</f>
        <v>747.236551215918</v>
      </c>
      <c r="AC24" s="104" t="n">
        <f aca="false">AB24*V24</f>
        <v>134502.579218865</v>
      </c>
      <c r="AD24" s="104" t="n">
        <f aca="false">AB24*W24</f>
        <v>0</v>
      </c>
      <c r="AE24" s="57" t="n">
        <f aca="false">P24-AC24-AD24</f>
        <v>116607.566171899</v>
      </c>
      <c r="AF24" s="57" t="n">
        <f aca="false">AE24*Q24</f>
        <v>11142.0590127922</v>
      </c>
      <c r="AG24" s="57" t="n">
        <f aca="false">AF24/AB24</f>
        <v>14.9110198031155</v>
      </c>
      <c r="AH24" s="105" t="n">
        <f aca="false">1/AG24</f>
        <v>0.0670644941260868</v>
      </c>
      <c r="AI24" s="57" t="n">
        <f aca="false">Z24*E24</f>
        <v>35.496</v>
      </c>
      <c r="AJ24" s="23" t="n">
        <v>0.9</v>
      </c>
      <c r="AK24" s="30" t="n">
        <v>1</v>
      </c>
      <c r="AL24" s="31"/>
      <c r="AM24" s="113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3"/>
      <c r="AY24" s="23"/>
      <c r="AZ24" s="56"/>
      <c r="BA24" s="56"/>
      <c r="BB24" s="56"/>
      <c r="BC24" s="56"/>
      <c r="BD24" s="56"/>
      <c r="BE24" s="56"/>
      <c r="BF24" s="3"/>
      <c r="BG24" s="23"/>
    </row>
    <row r="25" customFormat="false" ht="12.8" hidden="false" customHeight="false" outlineLevel="0" collapsed="false">
      <c r="A25" s="106"/>
      <c r="B25" s="94" t="s">
        <v>165</v>
      </c>
      <c r="C25" s="95" t="s">
        <v>166</v>
      </c>
      <c r="D25" s="96" t="s">
        <v>167</v>
      </c>
      <c r="E25" s="97" t="n">
        <v>0.739</v>
      </c>
      <c r="F25" s="96" t="s">
        <v>163</v>
      </c>
      <c r="G25" s="107" t="n">
        <f aca="false">TRUE()</f>
        <v>1</v>
      </c>
      <c r="H25" s="95" t="n">
        <v>84</v>
      </c>
      <c r="I25" s="47" t="n">
        <f aca="false">IF(F25="LEVEL", 1, VLOOKUP(F25,ActivityStats!$C$4:$D$12,2,FALSE()))</f>
        <v>0.0456507194552938</v>
      </c>
      <c r="J25" s="54" t="n">
        <f aca="false">365*24*60</f>
        <v>525600</v>
      </c>
      <c r="K25" s="54" t="n">
        <f aca="false">I25*J25</f>
        <v>23994.0181457024</v>
      </c>
      <c r="L25" s="50" t="n">
        <f aca="false">K25/J25</f>
        <v>0.0456507194552938</v>
      </c>
      <c r="M25" s="107" t="n">
        <f aca="false">TRUE()</f>
        <v>1</v>
      </c>
      <c r="N25" s="98" t="n">
        <f aca="false">IF(F25="level",FALSE(), TRUE())</f>
        <v>1</v>
      </c>
      <c r="O25" s="50" t="n">
        <f aca="false">IF(N25 = FALSE(),1,ActivityStats!$D$12)</f>
        <v>0.47775902852124</v>
      </c>
      <c r="P25" s="99" t="n">
        <f aca="false">O25*J25</f>
        <v>251110.145390764</v>
      </c>
      <c r="Q25" s="50" t="n">
        <f aca="false">L25/O25</f>
        <v>0.0955517671672097</v>
      </c>
      <c r="R25" s="114" t="n">
        <v>60</v>
      </c>
      <c r="S25" s="101" t="n">
        <v>0</v>
      </c>
      <c r="T25" s="101" t="n">
        <f aca="false">IF(S25&gt;0, TRUE(), FALSE())</f>
        <v>0</v>
      </c>
      <c r="U25" s="23" t="n">
        <f aca="false">R25*V25/(60*1000)</f>
        <v>0.13</v>
      </c>
      <c r="V25" s="115" t="n">
        <v>130</v>
      </c>
      <c r="W25" s="115" t="n">
        <v>360</v>
      </c>
      <c r="X25" s="116" t="n">
        <v>1</v>
      </c>
      <c r="Y25" s="56" t="n">
        <f aca="false">X25*J25/(60*1000)</f>
        <v>8.76</v>
      </c>
      <c r="Z25" s="102" t="n">
        <v>69.2</v>
      </c>
      <c r="AA25" s="56" t="n">
        <f aca="false">Z25-Y25</f>
        <v>60.44</v>
      </c>
      <c r="AB25" s="103" t="n">
        <f aca="false">AA25/((R25-X25)*V25)*60*1000</f>
        <v>472.803129074316</v>
      </c>
      <c r="AC25" s="104" t="n">
        <f aca="false">AB25*V25</f>
        <v>61464.406779661</v>
      </c>
      <c r="AD25" s="104" t="n">
        <f aca="false">AB25*W25</f>
        <v>170209.126466754</v>
      </c>
      <c r="AE25" s="57" t="n">
        <f aca="false">P25-AC25-AD25</f>
        <v>19436.6121443491</v>
      </c>
      <c r="AF25" s="57" t="n">
        <f aca="false">AE25*Q25</f>
        <v>1857.20263813621</v>
      </c>
      <c r="AG25" s="57" t="n">
        <f aca="false">AF25/AB25</f>
        <v>3.92806756962958</v>
      </c>
      <c r="AH25" s="105" t="n">
        <f aca="false">1/AG25</f>
        <v>0.254578105461231</v>
      </c>
      <c r="AI25" s="57" t="n">
        <f aca="false">Z25*E25</f>
        <v>51.1388</v>
      </c>
      <c r="AJ25" s="23" t="n">
        <v>0.9</v>
      </c>
      <c r="AK25" s="30" t="n">
        <v>1</v>
      </c>
      <c r="AL25" s="31"/>
      <c r="AM25" s="113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3"/>
      <c r="AY25" s="23"/>
      <c r="AZ25" s="56"/>
      <c r="BA25" s="56"/>
      <c r="BB25" s="56"/>
      <c r="BC25" s="56"/>
      <c r="BD25" s="56"/>
      <c r="BE25" s="56"/>
      <c r="BF25" s="3"/>
      <c r="BG25" s="23"/>
    </row>
    <row r="26" customFormat="false" ht="12.8" hidden="false" customHeight="false" outlineLevel="0" collapsed="false">
      <c r="A26" s="106"/>
      <c r="B26" s="94" t="s">
        <v>165</v>
      </c>
      <c r="C26" s="95" t="s">
        <v>168</v>
      </c>
      <c r="D26" s="96" t="s">
        <v>167</v>
      </c>
      <c r="E26" s="97" t="n">
        <v>0.332</v>
      </c>
      <c r="F26" s="96" t="s">
        <v>163</v>
      </c>
      <c r="G26" s="107" t="n">
        <f aca="false">TRUE()</f>
        <v>1</v>
      </c>
      <c r="H26" s="95" t="n">
        <v>84</v>
      </c>
      <c r="I26" s="47" t="n">
        <f aca="false">IF(F26="LEVEL", 1, VLOOKUP(F26,ActivityStats!$C$4:$D$12,2,FALSE()))</f>
        <v>0.0456507194552938</v>
      </c>
      <c r="J26" s="54" t="n">
        <f aca="false">365*24*60</f>
        <v>525600</v>
      </c>
      <c r="K26" s="54" t="n">
        <f aca="false">I26*J26</f>
        <v>23994.0181457024</v>
      </c>
      <c r="L26" s="50" t="n">
        <f aca="false">K26/J26</f>
        <v>0.0456507194552938</v>
      </c>
      <c r="M26" s="107" t="n">
        <f aca="false">TRUE()</f>
        <v>1</v>
      </c>
      <c r="N26" s="98" t="n">
        <f aca="false">IF(F26="level",FALSE(), TRUE())</f>
        <v>1</v>
      </c>
      <c r="O26" s="50" t="n">
        <f aca="false">IF(N26 = FALSE(),1,ActivityStats!$D$12)</f>
        <v>0.47775902852124</v>
      </c>
      <c r="P26" s="99" t="n">
        <f aca="false">O26*J26</f>
        <v>251110.145390764</v>
      </c>
      <c r="Q26" s="50" t="n">
        <f aca="false">L26/O26</f>
        <v>0.0955517671672097</v>
      </c>
      <c r="R26" s="114" t="n">
        <v>60</v>
      </c>
      <c r="S26" s="101" t="n">
        <v>0</v>
      </c>
      <c r="T26" s="101" t="n">
        <f aca="false">IF(S26&gt;0, TRUE(), FALSE())</f>
        <v>0</v>
      </c>
      <c r="U26" s="23" t="n">
        <f aca="false">R26*V26/(60*1000)</f>
        <v>0.13</v>
      </c>
      <c r="V26" s="115" t="n">
        <v>130</v>
      </c>
      <c r="W26" s="115" t="n">
        <v>360</v>
      </c>
      <c r="X26" s="116" t="n">
        <v>1</v>
      </c>
      <c r="Y26" s="56" t="n">
        <f aca="false">X26*J26/(60*1000)</f>
        <v>8.76</v>
      </c>
      <c r="Z26" s="102" t="n">
        <v>69.2</v>
      </c>
      <c r="AA26" s="56" t="n">
        <f aca="false">Z26-Y26</f>
        <v>60.44</v>
      </c>
      <c r="AB26" s="103" t="n">
        <f aca="false">AA26/((R26-X26)*V26)*60*1000</f>
        <v>472.803129074316</v>
      </c>
      <c r="AC26" s="104" t="n">
        <f aca="false">AB26*V26</f>
        <v>61464.406779661</v>
      </c>
      <c r="AD26" s="104" t="n">
        <f aca="false">AB26*W26</f>
        <v>170209.126466754</v>
      </c>
      <c r="AE26" s="57" t="n">
        <f aca="false">P26-AC26-AD26</f>
        <v>19436.6121443491</v>
      </c>
      <c r="AF26" s="57" t="n">
        <f aca="false">AE26*Q26</f>
        <v>1857.20263813621</v>
      </c>
      <c r="AG26" s="57" t="n">
        <f aca="false">AF26/AB26</f>
        <v>3.92806756962958</v>
      </c>
      <c r="AH26" s="105" t="n">
        <f aca="false">1/AG26</f>
        <v>0.254578105461231</v>
      </c>
      <c r="AI26" s="57" t="n">
        <f aca="false">Z26*E26</f>
        <v>22.9744</v>
      </c>
      <c r="AJ26" s="23" t="n">
        <v>0.9</v>
      </c>
      <c r="AK26" s="30" t="n">
        <v>1</v>
      </c>
      <c r="AL26" s="31"/>
      <c r="AM26" s="113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3"/>
      <c r="AY26" s="23"/>
      <c r="AZ26" s="56"/>
      <c r="BA26" s="56"/>
      <c r="BB26" s="56"/>
      <c r="BC26" s="56"/>
      <c r="BD26" s="56"/>
      <c r="BE26" s="56"/>
      <c r="BF26" s="3"/>
      <c r="BG26" s="23"/>
    </row>
    <row r="27" customFormat="false" ht="12.8" hidden="false" customHeight="false" outlineLevel="0" collapsed="false">
      <c r="A27" s="106"/>
      <c r="B27" s="94" t="s">
        <v>169</v>
      </c>
      <c r="C27" s="95" t="s">
        <v>170</v>
      </c>
      <c r="D27" s="96" t="s">
        <v>171</v>
      </c>
      <c r="E27" s="97" t="n">
        <v>0.475</v>
      </c>
      <c r="F27" s="96" t="s">
        <v>163</v>
      </c>
      <c r="G27" s="107" t="n">
        <f aca="false">TRUE()</f>
        <v>1</v>
      </c>
      <c r="H27" s="95" t="n">
        <v>84</v>
      </c>
      <c r="I27" s="47" t="n">
        <f aca="false">IF(F27="LEVEL", 1, VLOOKUP(F27,ActivityStats!$C$4:$D$12,2,FALSE()))</f>
        <v>0.0456507194552938</v>
      </c>
      <c r="J27" s="54" t="n">
        <f aca="false">365*24*60</f>
        <v>525600</v>
      </c>
      <c r="K27" s="54" t="n">
        <f aca="false">I27*J27</f>
        <v>23994.0181457024</v>
      </c>
      <c r="L27" s="50" t="n">
        <f aca="false">K27/J27</f>
        <v>0.0456507194552938</v>
      </c>
      <c r="M27" s="107" t="n">
        <f aca="false">TRUE()</f>
        <v>1</v>
      </c>
      <c r="N27" s="98" t="n">
        <f aca="false">IF(F27="level",FALSE(), TRUE())</f>
        <v>1</v>
      </c>
      <c r="O27" s="50" t="n">
        <f aca="false">IF(N27 = FALSE(),1,ActivityStats!$D$12)</f>
        <v>0.47775902852124</v>
      </c>
      <c r="P27" s="99" t="n">
        <f aca="false">O27*J27</f>
        <v>251110.145390764</v>
      </c>
      <c r="Q27" s="50" t="n">
        <f aca="false">L27/O27</f>
        <v>0.0955517671672097</v>
      </c>
      <c r="R27" s="114" t="n">
        <v>12</v>
      </c>
      <c r="S27" s="101" t="n">
        <v>0</v>
      </c>
      <c r="T27" s="101" t="n">
        <f aca="false">IF(S27&gt;0, TRUE(), FALSE())</f>
        <v>0</v>
      </c>
      <c r="U27" s="23" t="n">
        <f aca="false">R27*V27/(60*1000)</f>
        <v>0.024</v>
      </c>
      <c r="V27" s="115" t="n">
        <v>120</v>
      </c>
      <c r="W27" s="115" t="n">
        <v>360</v>
      </c>
      <c r="X27" s="116" t="n">
        <v>1</v>
      </c>
      <c r="Y27" s="56" t="n">
        <f aca="false">X27*J27/(60*1000)</f>
        <v>8.76</v>
      </c>
      <c r="Z27" s="117" t="n">
        <v>12</v>
      </c>
      <c r="AA27" s="56" t="n">
        <f aca="false">Z27-Y27</f>
        <v>3.24</v>
      </c>
      <c r="AB27" s="103" t="n">
        <f aca="false">AA27/((R27-X27)*V27)*60*1000</f>
        <v>147.272727272727</v>
      </c>
      <c r="AC27" s="104" t="n">
        <f aca="false">AB27*V27</f>
        <v>17672.7272727273</v>
      </c>
      <c r="AD27" s="104" t="n">
        <f aca="false">AB27*W27</f>
        <v>53018.1818181818</v>
      </c>
      <c r="AE27" s="57" t="n">
        <f aca="false">P27-AC27-AD27</f>
        <v>180419.236299855</v>
      </c>
      <c r="AF27" s="57" t="n">
        <f aca="false">AE27*Q27</f>
        <v>17239.3768594095</v>
      </c>
      <c r="AG27" s="57" t="n">
        <f aca="false">AF27/AB27</f>
        <v>117.057497193521</v>
      </c>
      <c r="AH27" s="105" t="n">
        <f aca="false">1/AG27</f>
        <v>0.008542810362217</v>
      </c>
      <c r="AI27" s="57" t="n">
        <f aca="false">Z27*E27</f>
        <v>5.7</v>
      </c>
      <c r="AJ27" s="23" t="n">
        <v>0.9</v>
      </c>
      <c r="AK27" s="30" t="n">
        <v>1</v>
      </c>
      <c r="AL27" s="31"/>
      <c r="AM27" s="113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3"/>
      <c r="AY27" s="23"/>
      <c r="AZ27" s="56"/>
      <c r="BA27" s="56"/>
      <c r="BB27" s="56"/>
      <c r="BC27" s="56"/>
      <c r="BD27" s="56"/>
      <c r="BE27" s="56"/>
      <c r="BF27" s="3"/>
      <c r="BG27" s="23"/>
    </row>
    <row r="28" customFormat="false" ht="12.8" hidden="false" customHeight="false" outlineLevel="0" collapsed="false">
      <c r="A28" s="106"/>
      <c r="B28" s="94" t="s">
        <v>172</v>
      </c>
      <c r="C28" s="95" t="s">
        <v>173</v>
      </c>
      <c r="D28" s="96" t="s">
        <v>174</v>
      </c>
      <c r="E28" s="97" t="n">
        <v>0.752</v>
      </c>
      <c r="F28" s="96" t="s">
        <v>163</v>
      </c>
      <c r="G28" s="107" t="n">
        <f aca="false">TRUE()</f>
        <v>1</v>
      </c>
      <c r="H28" s="95" t="n">
        <v>849</v>
      </c>
      <c r="I28" s="47" t="n">
        <f aca="false">IF(F28="LEVEL", 1, VLOOKUP(F28,ActivityStats!$C$4:$D$12,2,FALSE()))</f>
        <v>0.0456507194552938</v>
      </c>
      <c r="J28" s="54" t="n">
        <f aca="false">365*24*60</f>
        <v>525600</v>
      </c>
      <c r="K28" s="54" t="n">
        <f aca="false">I28*J28</f>
        <v>23994.0181457024</v>
      </c>
      <c r="L28" s="50" t="n">
        <f aca="false">K28/J28</f>
        <v>0.0456507194552938</v>
      </c>
      <c r="M28" s="107" t="n">
        <f aca="false">TRUE()</f>
        <v>1</v>
      </c>
      <c r="N28" s="98" t="n">
        <f aca="false">IF(F28="level",FALSE(), TRUE())</f>
        <v>1</v>
      </c>
      <c r="O28" s="50" t="n">
        <f aca="false">IF(N28 = FALSE(),1,ActivityStats!$D$12)</f>
        <v>0.47775902852124</v>
      </c>
      <c r="P28" s="99" t="n">
        <f aca="false">O28*J28</f>
        <v>251110.145390764</v>
      </c>
      <c r="Q28" s="50" t="n">
        <f aca="false">L28/O28</f>
        <v>0.0955517671672097</v>
      </c>
      <c r="R28" s="101" t="n">
        <v>335.2</v>
      </c>
      <c r="S28" s="101" t="n">
        <v>0</v>
      </c>
      <c r="T28" s="101" t="n">
        <f aca="false">IF(S28&gt;0, TRUE(), FALSE())</f>
        <v>0</v>
      </c>
      <c r="U28" s="23" t="n">
        <f aca="false">R28*V28/(60*1000)</f>
        <v>0.0223466666666667</v>
      </c>
      <c r="V28" s="95" t="n">
        <v>4</v>
      </c>
      <c r="W28" s="95" t="n">
        <v>0</v>
      </c>
      <c r="X28" s="95" t="n">
        <v>4</v>
      </c>
      <c r="Y28" s="56" t="n">
        <f aca="false">X28*J28/(60*1000)</f>
        <v>35.04</v>
      </c>
      <c r="Z28" s="108" t="n">
        <v>49.499661152891</v>
      </c>
      <c r="AA28" s="56" t="n">
        <f aca="false">Z28-Y28</f>
        <v>14.459661152891</v>
      </c>
      <c r="AB28" s="103" t="n">
        <f aca="false">AA28/((R28-X28)*V28)*60*1000</f>
        <v>654.875958011368</v>
      </c>
      <c r="AC28" s="104" t="n">
        <f aca="false">AB28*V28</f>
        <v>2619.50383204547</v>
      </c>
      <c r="AD28" s="104" t="n">
        <f aca="false">AB28*W28</f>
        <v>0</v>
      </c>
      <c r="AE28" s="57" t="n">
        <f aca="false">P28-AC28-AD28</f>
        <v>248490.641558718</v>
      </c>
      <c r="AF28" s="57" t="n">
        <f aca="false">AE28*Q28</f>
        <v>23743.7199254492</v>
      </c>
      <c r="AG28" s="57" t="n">
        <f aca="false">AF28/AB28</f>
        <v>36.2568202954811</v>
      </c>
      <c r="AH28" s="105" t="n">
        <f aca="false">1/AG28</f>
        <v>0.0275810176361394</v>
      </c>
      <c r="AI28" s="57" t="n">
        <f aca="false">Z28*E28</f>
        <v>37.223745186974</v>
      </c>
      <c r="AJ28" s="23" t="n">
        <v>0.9</v>
      </c>
      <c r="AK28" s="30" t="n">
        <v>1</v>
      </c>
      <c r="AL28" s="31"/>
      <c r="AM28" s="32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3"/>
      <c r="AY28" s="23"/>
      <c r="AZ28" s="23"/>
      <c r="BA28" s="23"/>
      <c r="BB28" s="23"/>
      <c r="BC28" s="23"/>
      <c r="BD28" s="23"/>
      <c r="BE28" s="23"/>
      <c r="BF28" s="3"/>
      <c r="BG28" s="23"/>
    </row>
    <row r="29" customFormat="false" ht="12.8" hidden="false" customHeight="false" outlineLevel="0" collapsed="false">
      <c r="A29" s="106"/>
      <c r="B29" s="94" t="s">
        <v>175</v>
      </c>
      <c r="C29" s="95" t="s">
        <v>176</v>
      </c>
      <c r="D29" s="96" t="s">
        <v>177</v>
      </c>
      <c r="E29" s="97" t="n">
        <v>0.943</v>
      </c>
      <c r="F29" s="96" t="s">
        <v>178</v>
      </c>
      <c r="G29" s="78" t="n">
        <f aca="false">FALSE()</f>
        <v>0</v>
      </c>
      <c r="H29" s="95" t="n">
        <v>820</v>
      </c>
      <c r="I29" s="47" t="n">
        <f aca="false">IF(F29="LEVEL", 1, VLOOKUP(F29,ActivityStats!$C$4:$D$12,2,FALSE()))</f>
        <v>0.228549421174936</v>
      </c>
      <c r="J29" s="54" t="n">
        <f aca="false">365*24*60</f>
        <v>525600</v>
      </c>
      <c r="K29" s="54" t="n">
        <f aca="false">I29*J29</f>
        <v>120125.575769546</v>
      </c>
      <c r="L29" s="50" t="n">
        <f aca="false">K29/J29</f>
        <v>0.228549421174936</v>
      </c>
      <c r="M29" s="107" t="n">
        <f aca="false">TRUE()</f>
        <v>1</v>
      </c>
      <c r="N29" s="98" t="n">
        <f aca="false">IF(F29="level",FALSE(), TRUE())</f>
        <v>1</v>
      </c>
      <c r="O29" s="50" t="n">
        <f aca="false">IF(N29 = FALSE(),1,ActivityStats!$D$12)</f>
        <v>0.47775902852124</v>
      </c>
      <c r="P29" s="99" t="n">
        <f aca="false">O29*J29</f>
        <v>251110.145390764</v>
      </c>
      <c r="Q29" s="50" t="n">
        <f aca="false">L29/O29</f>
        <v>0.478378026433833</v>
      </c>
      <c r="R29" s="101" t="n">
        <v>124</v>
      </c>
      <c r="S29" s="101" t="n">
        <v>0</v>
      </c>
      <c r="T29" s="101" t="n">
        <f aca="false">IF(S29&gt;0, TRUE(), FALSE())</f>
        <v>0</v>
      </c>
      <c r="U29" s="23" t="n">
        <f aca="false">R29*V29/(60*1000)</f>
        <v>0.150866666666667</v>
      </c>
      <c r="V29" s="95" t="n">
        <v>73</v>
      </c>
      <c r="W29" s="95" t="n">
        <v>0</v>
      </c>
      <c r="X29" s="95" t="n">
        <v>3</v>
      </c>
      <c r="Y29" s="56" t="n">
        <f aca="false">X29*J29/(60*1000)</f>
        <v>26.28</v>
      </c>
      <c r="Z29" s="102" t="n">
        <v>129.61</v>
      </c>
      <c r="AA29" s="56" t="n">
        <f aca="false">Z29-Y29</f>
        <v>103.33</v>
      </c>
      <c r="AB29" s="103" t="n">
        <f aca="false">AA29/((R29-X29)*V29)*60*1000</f>
        <v>701.890637382543</v>
      </c>
      <c r="AC29" s="104" t="n">
        <f aca="false">AB29*V29</f>
        <v>51238.0165289256</v>
      </c>
      <c r="AD29" s="104" t="n">
        <f aca="false">AB29*W29</f>
        <v>0</v>
      </c>
      <c r="AE29" s="57" t="n">
        <f aca="false">P29-AC29-AD29</f>
        <v>199872.128861838</v>
      </c>
      <c r="AF29" s="57" t="n">
        <f aca="false">AE29*Q29</f>
        <v>95614.4345440548</v>
      </c>
      <c r="AG29" s="57" t="n">
        <f aca="false">AF29/AB29</f>
        <v>136.224120185754</v>
      </c>
      <c r="AH29" s="105" t="n">
        <f aca="false">1/AG29</f>
        <v>0.00734084388753189</v>
      </c>
      <c r="AI29" s="57" t="n">
        <f aca="false">Z29*E29</f>
        <v>122.22223</v>
      </c>
      <c r="AJ29" s="23" t="n">
        <v>1</v>
      </c>
      <c r="AK29" s="30" t="n">
        <v>1</v>
      </c>
      <c r="AL29" s="31"/>
      <c r="AM29" s="113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3"/>
      <c r="AY29" s="23"/>
      <c r="AZ29" s="56"/>
      <c r="BA29" s="56"/>
      <c r="BB29" s="56"/>
      <c r="BC29" s="56"/>
      <c r="BD29" s="56"/>
      <c r="BE29" s="56"/>
      <c r="BF29" s="3"/>
      <c r="BG29" s="23"/>
    </row>
    <row r="30" customFormat="false" ht="12.8" hidden="false" customHeight="false" outlineLevel="0" collapsed="false">
      <c r="A30" s="106"/>
      <c r="B30" s="94" t="s">
        <v>175</v>
      </c>
      <c r="C30" s="95" t="s">
        <v>179</v>
      </c>
      <c r="D30" s="96" t="s">
        <v>177</v>
      </c>
      <c r="E30" s="97" t="n">
        <v>0.618</v>
      </c>
      <c r="F30" s="96" t="s">
        <v>178</v>
      </c>
      <c r="G30" s="78" t="n">
        <f aca="false">FALSE()</f>
        <v>0</v>
      </c>
      <c r="H30" s="95" t="n">
        <v>820</v>
      </c>
      <c r="I30" s="47" t="n">
        <f aca="false">IF(F30="LEVEL", 1, VLOOKUP(F30,ActivityStats!$C$4:$D$12,2,FALSE()))</f>
        <v>0.228549421174936</v>
      </c>
      <c r="J30" s="54" t="n">
        <f aca="false">365*24*60</f>
        <v>525600</v>
      </c>
      <c r="K30" s="54" t="n">
        <f aca="false">I30*J30</f>
        <v>120125.575769546</v>
      </c>
      <c r="L30" s="50" t="n">
        <f aca="false">K30/J30</f>
        <v>0.228549421174936</v>
      </c>
      <c r="M30" s="107" t="n">
        <f aca="false">TRUE()</f>
        <v>1</v>
      </c>
      <c r="N30" s="98" t="n">
        <f aca="false">IF(F30="level",FALSE(), TRUE())</f>
        <v>1</v>
      </c>
      <c r="O30" s="50" t="n">
        <f aca="false">IF(N30 = FALSE(),1,ActivityStats!$D$12)</f>
        <v>0.47775902852124</v>
      </c>
      <c r="P30" s="99" t="n">
        <f aca="false">O30*J30</f>
        <v>251110.145390764</v>
      </c>
      <c r="Q30" s="50" t="n">
        <f aca="false">L30/O30</f>
        <v>0.478378026433833</v>
      </c>
      <c r="R30" s="101" t="n">
        <v>124</v>
      </c>
      <c r="S30" s="101" t="n">
        <v>0</v>
      </c>
      <c r="T30" s="101" t="n">
        <f aca="false">IF(S30&gt;0, TRUE(), FALSE())</f>
        <v>0</v>
      </c>
      <c r="U30" s="23" t="n">
        <f aca="false">R30*V30/(60*1000)</f>
        <v>0.150866666666667</v>
      </c>
      <c r="V30" s="95" t="n">
        <v>73</v>
      </c>
      <c r="W30" s="95" t="n">
        <v>0</v>
      </c>
      <c r="X30" s="95" t="n">
        <v>3</v>
      </c>
      <c r="Y30" s="56" t="n">
        <f aca="false">X30*J30/(60*1000)</f>
        <v>26.28</v>
      </c>
      <c r="Z30" s="102" t="n">
        <v>129.61</v>
      </c>
      <c r="AA30" s="56" t="n">
        <f aca="false">Z30-Y30</f>
        <v>103.33</v>
      </c>
      <c r="AB30" s="103" t="n">
        <f aca="false">AA30/((R30-X30)*V30)*60*1000</f>
        <v>701.890637382543</v>
      </c>
      <c r="AC30" s="104" t="n">
        <f aca="false">AB30*V30</f>
        <v>51238.0165289256</v>
      </c>
      <c r="AD30" s="104" t="n">
        <f aca="false">AB30*W30</f>
        <v>0</v>
      </c>
      <c r="AE30" s="57" t="n">
        <f aca="false">P30-AC30-AD30</f>
        <v>199872.128861838</v>
      </c>
      <c r="AF30" s="57" t="n">
        <f aca="false">AE30*Q30</f>
        <v>95614.4345440548</v>
      </c>
      <c r="AG30" s="57" t="n">
        <f aca="false">AF30/AB30</f>
        <v>136.224120185754</v>
      </c>
      <c r="AH30" s="105" t="n">
        <f aca="false">1/AG30</f>
        <v>0.00734084388753189</v>
      </c>
      <c r="AI30" s="57" t="n">
        <f aca="false">Z30*E30</f>
        <v>80.09898</v>
      </c>
      <c r="AJ30" s="23" t="n">
        <v>1</v>
      </c>
      <c r="AK30" s="30" t="n">
        <v>1</v>
      </c>
      <c r="AL30" s="31"/>
      <c r="AM30" s="113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3"/>
      <c r="AY30" s="23"/>
      <c r="AZ30" s="56"/>
      <c r="BA30" s="56"/>
      <c r="BB30" s="56"/>
      <c r="BC30" s="56"/>
      <c r="BD30" s="56"/>
      <c r="BE30" s="56"/>
      <c r="BF30" s="3"/>
      <c r="BG30" s="23"/>
    </row>
    <row r="31" customFormat="false" ht="12.8" hidden="false" customHeight="false" outlineLevel="0" collapsed="false">
      <c r="A31" s="106"/>
      <c r="B31" s="94" t="s">
        <v>180</v>
      </c>
      <c r="C31" s="95" t="s">
        <v>181</v>
      </c>
      <c r="D31" s="96" t="s">
        <v>182</v>
      </c>
      <c r="E31" s="97" t="n">
        <v>0.607</v>
      </c>
      <c r="F31" s="96" t="s">
        <v>178</v>
      </c>
      <c r="G31" s="107" t="n">
        <f aca="false">TRUE()</f>
        <v>1</v>
      </c>
      <c r="H31" s="95" t="n">
        <v>820</v>
      </c>
      <c r="I31" s="47" t="n">
        <f aca="false">IF(F31="LEVEL", 1, VLOOKUP(F31,ActivityStats!$C$4:$D$12,2,FALSE()))</f>
        <v>0.228549421174936</v>
      </c>
      <c r="J31" s="54" t="n">
        <f aca="false">365*24*60</f>
        <v>525600</v>
      </c>
      <c r="K31" s="54" t="n">
        <f aca="false">I31*J31</f>
        <v>120125.575769546</v>
      </c>
      <c r="L31" s="50" t="n">
        <f aca="false">K31/J31</f>
        <v>0.228549421174936</v>
      </c>
      <c r="M31" s="107" t="n">
        <f aca="false">TRUE()</f>
        <v>1</v>
      </c>
      <c r="N31" s="98" t="n">
        <f aca="false">IF(F31="level",FALSE(), TRUE())</f>
        <v>1</v>
      </c>
      <c r="O31" s="50" t="n">
        <f aca="false">IF(N31 = FALSE(),1,ActivityStats!$D$12)</f>
        <v>0.47775902852124</v>
      </c>
      <c r="P31" s="99" t="n">
        <f aca="false">O31*J31</f>
        <v>251110.145390764</v>
      </c>
      <c r="Q31" s="50" t="n">
        <f aca="false">L31/O31</f>
        <v>0.478378026433833</v>
      </c>
      <c r="R31" s="101" t="n">
        <v>33.5521973529143</v>
      </c>
      <c r="S31" s="101" t="n">
        <v>0</v>
      </c>
      <c r="T31" s="101" t="n">
        <f aca="false">IF(S31&gt;0, TRUE(), FALSE())</f>
        <v>0</v>
      </c>
      <c r="U31" s="23" t="n">
        <f aca="false">R31*V31/(60*1000)</f>
        <v>0.0408218401127124</v>
      </c>
      <c r="V31" s="95" t="n">
        <v>73</v>
      </c>
      <c r="W31" s="95" t="n">
        <v>0</v>
      </c>
      <c r="X31" s="95" t="n">
        <v>2</v>
      </c>
      <c r="Y31" s="56" t="n">
        <f aca="false">X31*J31/(60*1000)</f>
        <v>17.52</v>
      </c>
      <c r="Z31" s="108" t="n">
        <v>73.7310058969084</v>
      </c>
      <c r="AA31" s="56" t="n">
        <f aca="false">Z31-Y31</f>
        <v>56.2110058969084</v>
      </c>
      <c r="AB31" s="103" t="n">
        <f aca="false">AA31/((R31-X31)*V31)*60*1000</f>
        <v>1464.26653737683</v>
      </c>
      <c r="AC31" s="104" t="n">
        <f aca="false">AB31*V31</f>
        <v>106891.457228509</v>
      </c>
      <c r="AD31" s="104" t="n">
        <f aca="false">AB31*W31</f>
        <v>0</v>
      </c>
      <c r="AE31" s="57" t="n">
        <f aca="false">P31-AC31-AD31</f>
        <v>144218.688162255</v>
      </c>
      <c r="AF31" s="57" t="n">
        <f aca="false">AE31*Q31</f>
        <v>68991.0514179359</v>
      </c>
      <c r="AG31" s="57" t="n">
        <f aca="false">AF31/AB31</f>
        <v>47.11645704991</v>
      </c>
      <c r="AH31" s="105" t="n">
        <f aca="false">1/AG31</f>
        <v>0.0212240066977173</v>
      </c>
      <c r="AI31" s="57" t="n">
        <f aca="false">Z31*E31</f>
        <v>44.7547205794234</v>
      </c>
      <c r="AJ31" s="23" t="n">
        <v>1</v>
      </c>
      <c r="AK31" s="30" t="n">
        <v>1</v>
      </c>
      <c r="AL31" s="31"/>
      <c r="AM31" s="113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3"/>
      <c r="AY31" s="23"/>
      <c r="AZ31" s="56"/>
      <c r="BA31" s="56"/>
      <c r="BB31" s="56"/>
      <c r="BC31" s="56"/>
      <c r="BD31" s="56"/>
      <c r="BE31" s="56"/>
      <c r="BF31" s="3"/>
      <c r="BG31" s="23"/>
    </row>
    <row r="32" customFormat="false" ht="12.8" hidden="false" customHeight="false" outlineLevel="0" collapsed="false">
      <c r="A32" s="106"/>
      <c r="B32" s="25" t="s">
        <v>183</v>
      </c>
      <c r="C32" s="95" t="s">
        <v>184</v>
      </c>
      <c r="D32" s="96" t="s">
        <v>185</v>
      </c>
      <c r="E32" s="97" t="n">
        <v>0.927</v>
      </c>
      <c r="F32" s="96" t="s">
        <v>178</v>
      </c>
      <c r="G32" s="78" t="n">
        <f aca="false">FALSE()</f>
        <v>0</v>
      </c>
      <c r="H32" s="95" t="n">
        <v>820</v>
      </c>
      <c r="I32" s="47" t="n">
        <f aca="false">IF(F32="LEVEL", 1, VLOOKUP(F32,ActivityStats!$C$4:$D$12,2,FALSE()))</f>
        <v>0.228549421174936</v>
      </c>
      <c r="J32" s="54" t="n">
        <f aca="false">365*24*60</f>
        <v>525600</v>
      </c>
      <c r="K32" s="54" t="n">
        <f aca="false">I32*J32</f>
        <v>120125.575769546</v>
      </c>
      <c r="L32" s="50" t="n">
        <f aca="false">K32/J32</f>
        <v>0.228549421174936</v>
      </c>
      <c r="M32" s="107" t="n">
        <f aca="false">TRUE()</f>
        <v>1</v>
      </c>
      <c r="N32" s="98" t="n">
        <f aca="false">IF(F32="level",FALSE(), TRUE())</f>
        <v>1</v>
      </c>
      <c r="O32" s="50" t="n">
        <f aca="false">IF(N32 = FALSE(),1,ActivityStats!$D$12)</f>
        <v>0.47775902852124</v>
      </c>
      <c r="P32" s="99" t="n">
        <f aca="false">O32*J32</f>
        <v>251110.145390764</v>
      </c>
      <c r="Q32" s="50" t="n">
        <f aca="false">L32/O32</f>
        <v>0.478378026433833</v>
      </c>
      <c r="R32" s="101" t="n">
        <v>26.8237423726735</v>
      </c>
      <c r="S32" s="101" t="n">
        <v>0</v>
      </c>
      <c r="T32" s="101" t="n">
        <f aca="false">IF(S32&gt;0, TRUE(), FALSE())</f>
        <v>0</v>
      </c>
      <c r="U32" s="23" t="n">
        <f aca="false">R32*V32/(60*1000)</f>
        <v>0.0326355532200861</v>
      </c>
      <c r="V32" s="95" t="n">
        <v>73</v>
      </c>
      <c r="W32" s="95" t="n">
        <v>0</v>
      </c>
      <c r="X32" s="95" t="n">
        <v>15</v>
      </c>
      <c r="Y32" s="56" t="n">
        <f aca="false">X32*J32/(60*1000)</f>
        <v>131.4</v>
      </c>
      <c r="Z32" s="108" t="n">
        <v>152.464284201826</v>
      </c>
      <c r="AA32" s="56" t="n">
        <f aca="false">Z32-Y32</f>
        <v>21.064284201826</v>
      </c>
      <c r="AB32" s="103" t="n">
        <f aca="false">AA32/((R32-X32)*V32)*60*1000</f>
        <v>1464.26653737686</v>
      </c>
      <c r="AC32" s="104" t="n">
        <f aca="false">AB32*V32</f>
        <v>106891.457228511</v>
      </c>
      <c r="AD32" s="104" t="n">
        <f aca="false">AB32*W32</f>
        <v>0</v>
      </c>
      <c r="AE32" s="57" t="n">
        <f aca="false">P32-AC32-AD32</f>
        <v>144218.688162253</v>
      </c>
      <c r="AF32" s="57" t="n">
        <f aca="false">AE32*Q32</f>
        <v>68991.051417935</v>
      </c>
      <c r="AG32" s="57" t="n">
        <f aca="false">AF32/AB32</f>
        <v>47.1164570499085</v>
      </c>
      <c r="AH32" s="105" t="n">
        <f aca="false">1/AG32</f>
        <v>0.021224006697718</v>
      </c>
      <c r="AI32" s="57" t="n">
        <f aca="false">Z32*E32</f>
        <v>141.334391455093</v>
      </c>
      <c r="AJ32" s="23" t="n">
        <v>1</v>
      </c>
      <c r="AK32" s="30" t="n">
        <v>1</v>
      </c>
      <c r="AL32" s="31"/>
      <c r="AM32" s="32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3"/>
      <c r="AY32" s="23"/>
      <c r="AZ32" s="23"/>
      <c r="BA32" s="23"/>
      <c r="BB32" s="23"/>
      <c r="BC32" s="23"/>
      <c r="BD32" s="23"/>
      <c r="BE32" s="23"/>
      <c r="BF32" s="3"/>
      <c r="BG32" s="23"/>
    </row>
    <row r="33" customFormat="false" ht="12.8" hidden="false" customHeight="false" outlineLevel="0" collapsed="false">
      <c r="A33" s="106"/>
      <c r="B33" s="94" t="s">
        <v>186</v>
      </c>
      <c r="C33" s="95" t="s">
        <v>187</v>
      </c>
      <c r="D33" s="96" t="s">
        <v>188</v>
      </c>
      <c r="E33" s="97" t="n">
        <v>0.297</v>
      </c>
      <c r="F33" s="96" t="s">
        <v>163</v>
      </c>
      <c r="G33" s="107" t="n">
        <f aca="false">TRUE()</f>
        <v>1</v>
      </c>
      <c r="H33" s="95" t="n">
        <v>763</v>
      </c>
      <c r="I33" s="47" t="n">
        <f aca="false">IF(F33="LEVEL", 1, VLOOKUP(F33,ActivityStats!$C$4:$D$12,2,FALSE()))</f>
        <v>0.0456507194552938</v>
      </c>
      <c r="J33" s="54" t="n">
        <f aca="false">365*24*60</f>
        <v>525600</v>
      </c>
      <c r="K33" s="54" t="n">
        <f aca="false">I33*J33</f>
        <v>23994.0181457024</v>
      </c>
      <c r="L33" s="50" t="n">
        <f aca="false">K33/J33</f>
        <v>0.0456507194552938</v>
      </c>
      <c r="M33" s="107" t="n">
        <f aca="false">TRUE()</f>
        <v>1</v>
      </c>
      <c r="N33" s="98" t="n">
        <f aca="false">IF(F33="level",FALSE(), TRUE())</f>
        <v>1</v>
      </c>
      <c r="O33" s="50" t="n">
        <f aca="false">IF(N33 = FALSE(),1,ActivityStats!$D$12)</f>
        <v>0.47775902852124</v>
      </c>
      <c r="P33" s="99" t="n">
        <f aca="false">O33*J33</f>
        <v>251110.145390764</v>
      </c>
      <c r="Q33" s="50" t="n">
        <f aca="false">L33/O33</f>
        <v>0.0955517671672097</v>
      </c>
      <c r="R33" s="114" t="n">
        <v>84</v>
      </c>
      <c r="S33" s="101" t="n">
        <v>0</v>
      </c>
      <c r="T33" s="101" t="n">
        <f aca="false">IF(S33&gt;0, TRUE(), FALSE())</f>
        <v>0</v>
      </c>
      <c r="U33" s="23" t="n">
        <f aca="false">R33*V33/(60*1000)</f>
        <v>0.1134</v>
      </c>
      <c r="V33" s="118" t="n">
        <v>81</v>
      </c>
      <c r="W33" s="95" t="n">
        <v>0</v>
      </c>
      <c r="X33" s="116" t="n">
        <v>14</v>
      </c>
      <c r="Y33" s="56" t="n">
        <f aca="false">X33*J33/(60*1000)</f>
        <v>122.64</v>
      </c>
      <c r="Z33" s="119" t="n">
        <v>210</v>
      </c>
      <c r="AA33" s="56" t="n">
        <f aca="false">Z33-Y33</f>
        <v>87.36</v>
      </c>
      <c r="AB33" s="103" t="n">
        <f aca="false">AA33/((R33-X33)*V33)*60*1000</f>
        <v>924.444444444445</v>
      </c>
      <c r="AC33" s="104" t="n">
        <f aca="false">AB33*V33</f>
        <v>74880</v>
      </c>
      <c r="AD33" s="104" t="n">
        <f aca="false">AB33*W33</f>
        <v>0</v>
      </c>
      <c r="AE33" s="57" t="n">
        <f aca="false">P33-AC33-AD33</f>
        <v>176230.145390764</v>
      </c>
      <c r="AF33" s="57" t="n">
        <f aca="false">AE33*Q33</f>
        <v>16839.1018202218</v>
      </c>
      <c r="AG33" s="57" t="n">
        <f aca="false">AF33/AB33</f>
        <v>18.2153745651437</v>
      </c>
      <c r="AH33" s="105" t="n">
        <f aca="false">1/AG33</f>
        <v>0.0548986789387007</v>
      </c>
      <c r="AI33" s="57" t="n">
        <f aca="false">Z33*E33</f>
        <v>62.37</v>
      </c>
      <c r="AJ33" s="23" t="n">
        <v>1</v>
      </c>
      <c r="AK33" s="30" t="n">
        <v>1</v>
      </c>
      <c r="AL33" s="31"/>
      <c r="AM33" s="32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3"/>
      <c r="AY33" s="23"/>
      <c r="AZ33" s="23"/>
      <c r="BA33" s="23"/>
      <c r="BB33" s="23"/>
      <c r="BC33" s="23"/>
      <c r="BD33" s="23"/>
      <c r="BE33" s="23"/>
      <c r="BF33" s="3"/>
      <c r="BG33" s="23"/>
    </row>
    <row r="34" customFormat="false" ht="12.8" hidden="false" customHeight="false" outlineLevel="0" collapsed="false">
      <c r="A34" s="106" t="s">
        <v>189</v>
      </c>
      <c r="B34" s="94" t="s">
        <v>190</v>
      </c>
      <c r="C34" s="95" t="s">
        <v>191</v>
      </c>
      <c r="D34" s="96" t="s">
        <v>192</v>
      </c>
      <c r="E34" s="97" t="n">
        <v>0.94</v>
      </c>
      <c r="F34" s="96" t="s">
        <v>193</v>
      </c>
      <c r="G34" s="107" t="n">
        <f aca="false">TRUE()</f>
        <v>1</v>
      </c>
      <c r="H34" s="95" t="n">
        <v>412</v>
      </c>
      <c r="I34" s="47" t="n">
        <f aca="false">IF(F34="LEVEL", 1, VLOOKUP(F34,ActivityStats!$C$4:$D$12,2,FALSE()))</f>
        <v>0.0606130677183567</v>
      </c>
      <c r="J34" s="54" t="n">
        <f aca="false">365*24*60</f>
        <v>525600</v>
      </c>
      <c r="K34" s="54" t="n">
        <f aca="false">I34*J34</f>
        <v>31858.2283927683</v>
      </c>
      <c r="L34" s="50" t="n">
        <f aca="false">K34/J34</f>
        <v>0.0606130677183567</v>
      </c>
      <c r="M34" s="107" t="n">
        <f aca="false">TRUE()</f>
        <v>1</v>
      </c>
      <c r="N34" s="98" t="n">
        <f aca="false">IF(F34="level",FALSE(), TRUE())</f>
        <v>1</v>
      </c>
      <c r="O34" s="50" t="n">
        <f aca="false">IF(N34 = FALSE(),1,ActivityStats!$D$12)</f>
        <v>0.47775902852124</v>
      </c>
      <c r="P34" s="99" t="n">
        <f aca="false">O34*J34</f>
        <v>251110.145390764</v>
      </c>
      <c r="Q34" s="50" t="n">
        <f aca="false">L34/O34</f>
        <v>0.12686953903512</v>
      </c>
      <c r="R34" s="101" t="n">
        <v>2400</v>
      </c>
      <c r="S34" s="101" t="n">
        <v>0</v>
      </c>
      <c r="T34" s="101" t="n">
        <f aca="false">IF(S34&gt;0, TRUE(), FALSE())</f>
        <v>0</v>
      </c>
      <c r="U34" s="23" t="n">
        <f aca="false">R34*V34/(60*1000)</f>
        <v>0.64</v>
      </c>
      <c r="V34" s="95" t="n">
        <v>16</v>
      </c>
      <c r="W34" s="95" t="n">
        <v>0</v>
      </c>
      <c r="X34" s="95" t="n">
        <v>1</v>
      </c>
      <c r="Y34" s="56" t="n">
        <f aca="false">X34*J34/(60*1000)</f>
        <v>8.76</v>
      </c>
      <c r="Z34" s="108" t="n">
        <v>276.105844135875</v>
      </c>
      <c r="AA34" s="56" t="n">
        <f aca="false">Z34-Y34</f>
        <v>267.345844135875</v>
      </c>
      <c r="AB34" s="103" t="n">
        <f aca="false">AA34/((R34-X34)*V34)*60*1000</f>
        <v>417.902007298679</v>
      </c>
      <c r="AC34" s="104" t="n">
        <f aca="false">AB34*V34</f>
        <v>6686.43211677887</v>
      </c>
      <c r="AD34" s="104" t="n">
        <f aca="false">AB34*W34</f>
        <v>0</v>
      </c>
      <c r="AE34" s="57" t="n">
        <f aca="false">P34-AC34-AD34</f>
        <v>244423.713273985</v>
      </c>
      <c r="AF34" s="57" t="n">
        <f aca="false">AE34*Q34</f>
        <v>31009.9238323229</v>
      </c>
      <c r="AG34" s="57" t="n">
        <f aca="false">AF34/AB34</f>
        <v>74.203816422829</v>
      </c>
      <c r="AH34" s="105" t="n">
        <f aca="false">1/AG34</f>
        <v>0.0134763958002078</v>
      </c>
      <c r="AI34" s="57" t="n">
        <f aca="false">Z34*E34</f>
        <v>259.539493487722</v>
      </c>
      <c r="AJ34" s="23" t="n">
        <v>1</v>
      </c>
      <c r="AK34" s="30" t="n">
        <v>0.3</v>
      </c>
      <c r="AL34" s="31"/>
      <c r="AM34" s="32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3"/>
      <c r="AY34" s="23"/>
      <c r="AZ34" s="23"/>
      <c r="BA34" s="23"/>
      <c r="BB34" s="23"/>
      <c r="BC34" s="23"/>
      <c r="BD34" s="23"/>
      <c r="BE34" s="23"/>
      <c r="BF34" s="3"/>
      <c r="BG34" s="23"/>
    </row>
    <row r="35" customFormat="false" ht="12.8" hidden="false" customHeight="false" outlineLevel="0" collapsed="false">
      <c r="A35" s="106"/>
      <c r="B35" s="94" t="s">
        <v>194</v>
      </c>
      <c r="C35" s="95" t="s">
        <v>195</v>
      </c>
      <c r="D35" s="96" t="s">
        <v>196</v>
      </c>
      <c r="E35" s="97" t="n">
        <v>0.061</v>
      </c>
      <c r="F35" s="96" t="s">
        <v>193</v>
      </c>
      <c r="G35" s="107" t="n">
        <f aca="false">TRUE()</f>
        <v>1</v>
      </c>
      <c r="H35" s="95" t="n">
        <v>412</v>
      </c>
      <c r="I35" s="47" t="n">
        <f aca="false">IF(F35="LEVEL", 1, VLOOKUP(F35,ActivityStats!$C$4:$D$12,2,FALSE()))</f>
        <v>0.0606130677183567</v>
      </c>
      <c r="J35" s="54" t="n">
        <f aca="false">365*24*60</f>
        <v>525600</v>
      </c>
      <c r="K35" s="54" t="n">
        <f aca="false">I35*J35</f>
        <v>31858.2283927683</v>
      </c>
      <c r="L35" s="50" t="n">
        <f aca="false">K35/J35</f>
        <v>0.0606130677183567</v>
      </c>
      <c r="M35" s="107" t="n">
        <f aca="false">TRUE()</f>
        <v>1</v>
      </c>
      <c r="N35" s="98" t="n">
        <f aca="false">IF(F35="level",FALSE(), TRUE())</f>
        <v>1</v>
      </c>
      <c r="O35" s="50" t="n">
        <f aca="false">IF(N35 = FALSE(),1,ActivityStats!$D$12)</f>
        <v>0.47775902852124</v>
      </c>
      <c r="P35" s="99" t="n">
        <f aca="false">O35*J35</f>
        <v>251110.145390764</v>
      </c>
      <c r="Q35" s="50" t="n">
        <f aca="false">L35/O35</f>
        <v>0.12686953903512</v>
      </c>
      <c r="R35" s="100" t="n">
        <v>0</v>
      </c>
      <c r="S35" s="101" t="n">
        <v>0</v>
      </c>
      <c r="T35" s="101" t="n">
        <f aca="false">IF(S35&gt;0, TRUE(), FALSE())</f>
        <v>0</v>
      </c>
      <c r="U35" s="23" t="n">
        <f aca="false">R35*V35/(60*1000)</f>
        <v>0</v>
      </c>
      <c r="V35" s="95" t="n">
        <v>16</v>
      </c>
      <c r="W35" s="95" t="n">
        <v>0</v>
      </c>
      <c r="X35" s="112" t="n">
        <v>0</v>
      </c>
      <c r="Y35" s="56" t="n">
        <f aca="false">X35*J35/(60*1000)</f>
        <v>0</v>
      </c>
      <c r="Z35" s="117" t="n">
        <v>0</v>
      </c>
      <c r="AA35" s="56" t="n">
        <f aca="false">Z35-Y35</f>
        <v>0</v>
      </c>
      <c r="AB35" s="103" t="n">
        <v>0</v>
      </c>
      <c r="AC35" s="104" t="n">
        <f aca="false">AB35*V35</f>
        <v>0</v>
      </c>
      <c r="AD35" s="104" t="n">
        <f aca="false">AB35*W35</f>
        <v>0</v>
      </c>
      <c r="AE35" s="57" t="n">
        <f aca="false">P35-AC35-AD35</f>
        <v>251110.145390764</v>
      </c>
      <c r="AF35" s="57" t="n">
        <f aca="false">AE35*Q35</f>
        <v>31858.2283927683</v>
      </c>
      <c r="AG35" s="57" t="n">
        <v>0</v>
      </c>
      <c r="AH35" s="105" t="n">
        <v>0</v>
      </c>
      <c r="AI35" s="57" t="n">
        <f aca="false">Z35*E35</f>
        <v>0</v>
      </c>
      <c r="AJ35" s="23" t="n">
        <v>1</v>
      </c>
      <c r="AK35" s="30" t="n">
        <v>0.3</v>
      </c>
      <c r="AL35" s="31"/>
      <c r="AM35" s="32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3"/>
      <c r="AY35" s="23"/>
      <c r="AZ35" s="23"/>
      <c r="BA35" s="23"/>
      <c r="BB35" s="23"/>
      <c r="BC35" s="23"/>
      <c r="BD35" s="23"/>
      <c r="BE35" s="23"/>
      <c r="BF35" s="3"/>
      <c r="BG35" s="23"/>
    </row>
    <row r="36" customFormat="false" ht="12.8" hidden="false" customHeight="false" outlineLevel="0" collapsed="false">
      <c r="A36" s="106"/>
      <c r="B36" s="25" t="s">
        <v>197</v>
      </c>
      <c r="C36" s="95" t="s">
        <v>198</v>
      </c>
      <c r="D36" s="96" t="s">
        <v>199</v>
      </c>
      <c r="E36" s="120" t="n">
        <v>0.616</v>
      </c>
      <c r="F36" s="96" t="s">
        <v>193</v>
      </c>
      <c r="G36" s="107" t="n">
        <f aca="false">TRUE()</f>
        <v>1</v>
      </c>
      <c r="H36" s="95" t="n">
        <v>412</v>
      </c>
      <c r="I36" s="47" t="n">
        <f aca="false">IF(F36="LEVEL", 1, VLOOKUP(F36,ActivityStats!$C$4:$D$12,2,FALSE()))</f>
        <v>0.0606130677183567</v>
      </c>
      <c r="J36" s="54" t="n">
        <f aca="false">365*24*60</f>
        <v>525600</v>
      </c>
      <c r="K36" s="54" t="n">
        <f aca="false">I36*J36</f>
        <v>31858.2283927683</v>
      </c>
      <c r="L36" s="50" t="n">
        <f aca="false">K36/J36</f>
        <v>0.0606130677183567</v>
      </c>
      <c r="M36" s="107" t="n">
        <f aca="false">TRUE()</f>
        <v>1</v>
      </c>
      <c r="N36" s="98" t="n">
        <f aca="false">IF(F36="level",FALSE(), TRUE())</f>
        <v>1</v>
      </c>
      <c r="O36" s="50" t="n">
        <f aca="false">IF(N36 = FALSE(),1,ActivityStats!$D$12)</f>
        <v>0.47775902852124</v>
      </c>
      <c r="P36" s="99" t="n">
        <f aca="false">O36*J36</f>
        <v>251110.145390764</v>
      </c>
      <c r="Q36" s="50" t="n">
        <f aca="false">L36/O36</f>
        <v>0.12686953903512</v>
      </c>
      <c r="R36" s="101" t="n">
        <v>2125</v>
      </c>
      <c r="S36" s="101" t="n">
        <v>0</v>
      </c>
      <c r="T36" s="101" t="n">
        <f aca="false">IF(S36&gt;0, TRUE(), FALSE())</f>
        <v>0</v>
      </c>
      <c r="U36" s="23" t="n">
        <f aca="false">R36*V36/(60*1000)</f>
        <v>0.95625</v>
      </c>
      <c r="V36" s="95" t="n">
        <v>27</v>
      </c>
      <c r="W36" s="95" t="n">
        <v>0</v>
      </c>
      <c r="X36" s="95" t="n">
        <v>3</v>
      </c>
      <c r="Y36" s="56" t="n">
        <f aca="false">X36*J36/(60*1000)</f>
        <v>26.28</v>
      </c>
      <c r="Z36" s="102" t="n">
        <v>49.26</v>
      </c>
      <c r="AA36" s="56" t="n">
        <f aca="false">Z36-Y36</f>
        <v>22.98</v>
      </c>
      <c r="AB36" s="103" t="n">
        <f aca="false">AA36/((R36-X36)*V36)*60*1000</f>
        <v>24.0653471567703</v>
      </c>
      <c r="AC36" s="104" t="n">
        <f aca="false">AB36*V36</f>
        <v>649.764373232799</v>
      </c>
      <c r="AD36" s="104" t="n">
        <f aca="false">AB36*W36</f>
        <v>0</v>
      </c>
      <c r="AE36" s="57" t="n">
        <f aca="false">P36-AC36-AD36</f>
        <v>250460.381017531</v>
      </c>
      <c r="AF36" s="57" t="n">
        <f aca="false">AE36*Q36</f>
        <v>31775.7930862548</v>
      </c>
      <c r="AG36" s="57" t="n">
        <f aca="false">AF36/AB36</f>
        <v>1320.3962061821</v>
      </c>
      <c r="AH36" s="105" t="n">
        <f aca="false">1/AG36</f>
        <v>0.000757348434748596</v>
      </c>
      <c r="AI36" s="57" t="n">
        <f aca="false">Z36*E36</f>
        <v>30.34416</v>
      </c>
      <c r="AJ36" s="23" t="n">
        <v>1</v>
      </c>
      <c r="AK36" s="30" t="n">
        <v>0.6</v>
      </c>
      <c r="AL36" s="31"/>
      <c r="AM36" s="113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3"/>
      <c r="AY36" s="23"/>
      <c r="AZ36" s="56"/>
      <c r="BA36" s="56"/>
      <c r="BB36" s="56"/>
      <c r="BC36" s="56"/>
      <c r="BD36" s="56"/>
      <c r="BE36" s="56"/>
      <c r="BF36" s="3"/>
      <c r="BG36" s="23"/>
    </row>
    <row r="37" customFormat="false" ht="12.8" hidden="false" customHeight="false" outlineLevel="0" collapsed="false">
      <c r="A37" s="106"/>
      <c r="B37" s="94" t="s">
        <v>200</v>
      </c>
      <c r="C37" s="95" t="s">
        <v>201</v>
      </c>
      <c r="D37" s="96" t="s">
        <v>202</v>
      </c>
      <c r="E37" s="97" t="n">
        <v>0.713</v>
      </c>
      <c r="F37" s="96" t="s">
        <v>193</v>
      </c>
      <c r="G37" s="107" t="n">
        <f aca="false">TRUE()</f>
        <v>1</v>
      </c>
      <c r="H37" s="95" t="n">
        <v>412</v>
      </c>
      <c r="I37" s="47" t="n">
        <f aca="false">IF(F37="LEVEL", 1, VLOOKUP(F37,ActivityStats!$C$4:$D$12,2,FALSE()))</f>
        <v>0.0606130677183567</v>
      </c>
      <c r="J37" s="54" t="n">
        <f aca="false">365*24*60</f>
        <v>525600</v>
      </c>
      <c r="K37" s="54" t="n">
        <f aca="false">I37*J37</f>
        <v>31858.2283927683</v>
      </c>
      <c r="L37" s="50" t="n">
        <f aca="false">K37/J37</f>
        <v>0.0606130677183567</v>
      </c>
      <c r="M37" s="107" t="n">
        <f aca="false">TRUE()</f>
        <v>1</v>
      </c>
      <c r="N37" s="98" t="n">
        <f aca="false">IF(F37="level",FALSE(), TRUE())</f>
        <v>1</v>
      </c>
      <c r="O37" s="50" t="n">
        <f aca="false">IF(N37 = FALSE(),1,ActivityStats!$D$12)</f>
        <v>0.47775902852124</v>
      </c>
      <c r="P37" s="99" t="n">
        <f aca="false">O37*J37</f>
        <v>251110.145390764</v>
      </c>
      <c r="Q37" s="50" t="n">
        <f aca="false">L37/O37</f>
        <v>0.12686953903512</v>
      </c>
      <c r="R37" s="101" t="n">
        <v>1250</v>
      </c>
      <c r="S37" s="101" t="n">
        <v>0</v>
      </c>
      <c r="T37" s="101" t="n">
        <f aca="false">IF(S37&gt;0, TRUE(), FALSE())</f>
        <v>0</v>
      </c>
      <c r="U37" s="23" t="n">
        <f aca="false">R37*V37/(60*1000)</f>
        <v>0.625</v>
      </c>
      <c r="V37" s="95" t="n">
        <v>30</v>
      </c>
      <c r="W37" s="95" t="n">
        <v>0</v>
      </c>
      <c r="X37" s="95" t="n">
        <v>2</v>
      </c>
      <c r="Y37" s="56" t="n">
        <f aca="false">X37*J37/(60*1000)</f>
        <v>17.52</v>
      </c>
      <c r="Z37" s="108" t="n">
        <v>76.5624571821228</v>
      </c>
      <c r="AA37" s="56" t="n">
        <f aca="false">Z37-Y37</f>
        <v>59.0424571821228</v>
      </c>
      <c r="AB37" s="103" t="n">
        <f aca="false">AA37/((R37-X37)*V37)*60*1000</f>
        <v>94.6193224072481</v>
      </c>
      <c r="AC37" s="104" t="n">
        <f aca="false">AB37*V37</f>
        <v>2838.57967221744</v>
      </c>
      <c r="AD37" s="104" t="n">
        <f aca="false">AB37*W37</f>
        <v>0</v>
      </c>
      <c r="AE37" s="57" t="n">
        <f aca="false">P37-AC37-AD37</f>
        <v>248271.565718546</v>
      </c>
      <c r="AF37" s="57" t="n">
        <f aca="false">AE37*Q37</f>
        <v>31498.0990982396</v>
      </c>
      <c r="AG37" s="57" t="n">
        <f aca="false">AF37/AB37</f>
        <v>332.892883788256</v>
      </c>
      <c r="AH37" s="105" t="n">
        <f aca="false">1/AG37</f>
        <v>0.00300396929072257</v>
      </c>
      <c r="AI37" s="57" t="n">
        <f aca="false">Z37*E37</f>
        <v>54.5890319708536</v>
      </c>
      <c r="AJ37" s="23" t="n">
        <v>1</v>
      </c>
      <c r="AK37" s="30" t="n">
        <v>1</v>
      </c>
      <c r="AL37" s="31"/>
      <c r="AM37" s="113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3"/>
      <c r="AY37" s="23"/>
      <c r="AZ37" s="56"/>
      <c r="BA37" s="56"/>
      <c r="BB37" s="56"/>
      <c r="BC37" s="56"/>
      <c r="BD37" s="56"/>
      <c r="BE37" s="56"/>
      <c r="BF37" s="3"/>
      <c r="BG37" s="23"/>
    </row>
    <row r="38" customFormat="false" ht="12.8" hidden="false" customHeight="false" outlineLevel="0" collapsed="false">
      <c r="A38" s="106"/>
      <c r="B38" s="25" t="s">
        <v>203</v>
      </c>
      <c r="C38" s="95" t="s">
        <v>204</v>
      </c>
      <c r="D38" s="96" t="s">
        <v>205</v>
      </c>
      <c r="E38" s="120" t="n">
        <v>0.975</v>
      </c>
      <c r="F38" s="96" t="s">
        <v>151</v>
      </c>
      <c r="G38" s="107" t="n">
        <f aca="false">TRUE()</f>
        <v>1</v>
      </c>
      <c r="H38" s="95" t="n">
        <v>419</v>
      </c>
      <c r="I38" s="47" t="n">
        <f aca="false">IF(F38="LEVEL", 1, VLOOKUP(F38,ActivityStats!$C$4:$D$12,2,FALSE()))</f>
        <v>0.47775902852124</v>
      </c>
      <c r="J38" s="54" t="n">
        <f aca="false">365*24*60</f>
        <v>525600</v>
      </c>
      <c r="K38" s="54" t="n">
        <f aca="false">I38*J38</f>
        <v>251110.145390764</v>
      </c>
      <c r="L38" s="50" t="n">
        <f aca="false">K38/J38</f>
        <v>0.47775902852124</v>
      </c>
      <c r="M38" s="107" t="n">
        <f aca="false">TRUE()</f>
        <v>1</v>
      </c>
      <c r="N38" s="98" t="n">
        <f aca="false">IF(F38="level",FALSE(), TRUE())</f>
        <v>1</v>
      </c>
      <c r="O38" s="50" t="n">
        <f aca="false">IF(N38 = FALSE(),1,ActivityStats!$D$12)</f>
        <v>0.47775902852124</v>
      </c>
      <c r="P38" s="99" t="n">
        <f aca="false">O38*J38</f>
        <v>251110.145390764</v>
      </c>
      <c r="Q38" s="50" t="n">
        <f aca="false">L38/O38</f>
        <v>1</v>
      </c>
      <c r="R38" s="101" t="n">
        <v>2000</v>
      </c>
      <c r="S38" s="101" t="n">
        <v>0</v>
      </c>
      <c r="T38" s="101" t="n">
        <f aca="false">IF(S38&gt;0, TRUE(), FALSE())</f>
        <v>0</v>
      </c>
      <c r="U38" s="23" t="n">
        <f aca="false">R38*V38/(60*1000)</f>
        <v>0.1</v>
      </c>
      <c r="V38" s="95" t="n">
        <v>3</v>
      </c>
      <c r="W38" s="95" t="n">
        <v>0</v>
      </c>
      <c r="X38" s="95" t="n">
        <v>1</v>
      </c>
      <c r="Y38" s="56" t="n">
        <f aca="false">X38*J38/(60*1000)</f>
        <v>8.76</v>
      </c>
      <c r="Z38" s="108" t="n">
        <v>160.666295473334</v>
      </c>
      <c r="AA38" s="56" t="n">
        <f aca="false">Z38-Y38</f>
        <v>151.906295473334</v>
      </c>
      <c r="AB38" s="103" t="n">
        <f aca="false">AA38/((R38-X38)*V38)*60*1000</f>
        <v>1519.82286616642</v>
      </c>
      <c r="AC38" s="104" t="n">
        <f aca="false">AB38*V38</f>
        <v>4559.46859849927</v>
      </c>
      <c r="AD38" s="104" t="n">
        <f aca="false">AB38*W38</f>
        <v>0</v>
      </c>
      <c r="AE38" s="57" t="n">
        <f aca="false">P38-AC38-AD38</f>
        <v>246550.676792264</v>
      </c>
      <c r="AF38" s="57" t="n">
        <f aca="false">AE38*Q38</f>
        <v>246550.676792264</v>
      </c>
      <c r="AG38" s="57" t="n">
        <f aca="false">AF38/AB38</f>
        <v>162.22329738607</v>
      </c>
      <c r="AH38" s="105" t="n">
        <f aca="false">1/AG38</f>
        <v>0.00616434270609193</v>
      </c>
      <c r="AI38" s="57" t="n">
        <f aca="false">Z38*E38</f>
        <v>156.649638086501</v>
      </c>
      <c r="AJ38" s="23" t="n">
        <v>1</v>
      </c>
      <c r="AK38" s="30" t="n">
        <v>1</v>
      </c>
      <c r="AL38" s="31"/>
      <c r="AM38" s="32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3"/>
      <c r="AY38" s="23"/>
      <c r="AZ38" s="23"/>
      <c r="BA38" s="23"/>
      <c r="BB38" s="23"/>
      <c r="BC38" s="23"/>
      <c r="BD38" s="23"/>
      <c r="BE38" s="23"/>
      <c r="BF38" s="3"/>
      <c r="BG38" s="23"/>
    </row>
    <row r="39" customFormat="false" ht="12.8" hidden="false" customHeight="false" outlineLevel="0" collapsed="false">
      <c r="A39" s="106"/>
      <c r="B39" s="61" t="s">
        <v>206</v>
      </c>
      <c r="C39" s="95" t="s">
        <v>207</v>
      </c>
      <c r="D39" s="96" t="s">
        <v>208</v>
      </c>
      <c r="E39" s="120" t="n">
        <v>1</v>
      </c>
      <c r="F39" s="96" t="s">
        <v>193</v>
      </c>
      <c r="G39" s="107" t="n">
        <f aca="false">TRUE()</f>
        <v>1</v>
      </c>
      <c r="H39" s="95" t="n">
        <v>412</v>
      </c>
      <c r="I39" s="47" t="n">
        <f aca="false">IF(F39="LEVEL", 1, VLOOKUP(F39,ActivityStats!$C$4:$D$12,2,FALSE()))</f>
        <v>0.0606130677183567</v>
      </c>
      <c r="J39" s="54" t="n">
        <f aca="false">365*24*60</f>
        <v>525600</v>
      </c>
      <c r="K39" s="54" t="n">
        <f aca="false">I39*J39</f>
        <v>31858.2283927683</v>
      </c>
      <c r="L39" s="50" t="n">
        <f aca="false">K39/J39</f>
        <v>0.0606130677183567</v>
      </c>
      <c r="M39" s="107" t="n">
        <f aca="false">TRUE()</f>
        <v>1</v>
      </c>
      <c r="N39" s="98" t="n">
        <f aca="false">IF(F39="level",FALSE(), TRUE())</f>
        <v>1</v>
      </c>
      <c r="O39" s="50" t="n">
        <f aca="false">IF(N39 = FALSE(),1,ActivityStats!$D$12)</f>
        <v>0.47775902852124</v>
      </c>
      <c r="P39" s="99" t="n">
        <f aca="false">O39*J39</f>
        <v>251110.145390764</v>
      </c>
      <c r="Q39" s="50" t="n">
        <f aca="false">L39/O39</f>
        <v>0.12686953903512</v>
      </c>
      <c r="R39" s="101" t="n">
        <v>1000</v>
      </c>
      <c r="S39" s="101" t="n">
        <v>0</v>
      </c>
      <c r="T39" s="101" t="n">
        <f aca="false">IF(S39&gt;0, TRUE(), FALSE())</f>
        <v>0</v>
      </c>
      <c r="U39" s="23" t="n">
        <f aca="false">R39*V39/(60*1000)</f>
        <v>0.05</v>
      </c>
      <c r="V39" s="95" t="n">
        <v>3</v>
      </c>
      <c r="W39" s="95" t="n">
        <v>0</v>
      </c>
      <c r="X39" s="95" t="n">
        <v>2</v>
      </c>
      <c r="Y39" s="56" t="n">
        <f aca="false">X39*J39/(60*1000)</f>
        <v>17.52</v>
      </c>
      <c r="Z39" s="108" t="n">
        <v>32.1070785796487</v>
      </c>
      <c r="AA39" s="56" t="n">
        <f aca="false">Z39-Y39</f>
        <v>14.5870785796487</v>
      </c>
      <c r="AB39" s="103" t="n">
        <f aca="false">AA39/((R39-X39)*V39)*60*1000</f>
        <v>292.326224041056</v>
      </c>
      <c r="AC39" s="104" t="n">
        <f aca="false">AB39*V39</f>
        <v>876.978672123169</v>
      </c>
      <c r="AD39" s="104" t="n">
        <f aca="false">AB39*W39</f>
        <v>0</v>
      </c>
      <c r="AE39" s="57" t="n">
        <f aca="false">P39-AC39-AD39</f>
        <v>250233.166718641</v>
      </c>
      <c r="AF39" s="57" t="n">
        <f aca="false">AE39*Q39</f>
        <v>31746.9665128924</v>
      </c>
      <c r="AG39" s="57" t="n">
        <f aca="false">AF39/AB39</f>
        <v>108.601158233528</v>
      </c>
      <c r="AH39" s="105" t="n">
        <f aca="false">1/AG39</f>
        <v>0.00920800492615076</v>
      </c>
      <c r="AI39" s="57" t="n">
        <f aca="false">Z39*E39</f>
        <v>32.1070785796487</v>
      </c>
      <c r="AJ39" s="23" t="n">
        <v>1</v>
      </c>
      <c r="AK39" s="30" t="n">
        <v>0.6</v>
      </c>
      <c r="AL39" s="31"/>
      <c r="AM39" s="113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3"/>
      <c r="AY39" s="23"/>
      <c r="AZ39" s="56"/>
      <c r="BA39" s="56"/>
      <c r="BB39" s="56"/>
      <c r="BC39" s="56"/>
      <c r="BD39" s="56"/>
      <c r="BE39" s="56"/>
      <c r="BF39" s="3"/>
      <c r="BG39" s="23"/>
    </row>
    <row r="40" customFormat="false" ht="12.8" hidden="false" customHeight="false" outlineLevel="0" collapsed="false">
      <c r="A40" s="106" t="s">
        <v>209</v>
      </c>
      <c r="B40" s="94" t="s">
        <v>210</v>
      </c>
      <c r="C40" s="95" t="s">
        <v>211</v>
      </c>
      <c r="D40" s="96" t="s">
        <v>212</v>
      </c>
      <c r="E40" s="97" t="n">
        <v>0.719</v>
      </c>
      <c r="F40" s="96" t="s">
        <v>213</v>
      </c>
      <c r="G40" s="107" t="n">
        <f aca="false">TRUE()</f>
        <v>1</v>
      </c>
      <c r="H40" s="95" t="n">
        <v>413</v>
      </c>
      <c r="I40" s="47" t="n">
        <f aca="false">IF(F40="LEVEL", 1, VLOOKUP(F40,ActivityStats!$C$4:$D$12,2,FALSE()))</f>
        <v>0.0216761223953879</v>
      </c>
      <c r="J40" s="54" t="n">
        <f aca="false">365*24*60</f>
        <v>525600</v>
      </c>
      <c r="K40" s="54" t="n">
        <f aca="false">I40*J40</f>
        <v>11392.9699310159</v>
      </c>
      <c r="L40" s="50" t="n">
        <f aca="false">K40/J40</f>
        <v>0.0216761223953879</v>
      </c>
      <c r="M40" s="78" t="n">
        <f aca="false">FALSE()</f>
        <v>0</v>
      </c>
      <c r="N40" s="98" t="n">
        <f aca="false">IF(F40="level",FALSE(), TRUE())</f>
        <v>1</v>
      </c>
      <c r="O40" s="50" t="n">
        <f aca="false">IF(N40 = FALSE(),1,ActivityStats!$D$12)</f>
        <v>0.47775902852124</v>
      </c>
      <c r="P40" s="99" t="n">
        <f aca="false">O40*J40</f>
        <v>251110.145390764</v>
      </c>
      <c r="Q40" s="50" t="n">
        <f aca="false">L40/O40</f>
        <v>0.0453704087235773</v>
      </c>
      <c r="R40" s="101" t="n">
        <v>1130.61224489796</v>
      </c>
      <c r="S40" s="101" t="n">
        <v>0</v>
      </c>
      <c r="T40" s="101" t="n">
        <f aca="false">IF(S40&gt;0, TRUE(), FALSE())</f>
        <v>0</v>
      </c>
      <c r="U40" s="23" t="n">
        <f aca="false">R40*V40/(60*1000)</f>
        <v>1.13061224489796</v>
      </c>
      <c r="V40" s="95" t="n">
        <v>60</v>
      </c>
      <c r="W40" s="95" t="n">
        <v>0</v>
      </c>
      <c r="X40" s="95" t="n">
        <v>0</v>
      </c>
      <c r="Y40" s="56" t="n">
        <f aca="false">X40*J40/(60*1000)</f>
        <v>0</v>
      </c>
      <c r="Z40" s="108" t="n">
        <v>273.01616986258</v>
      </c>
      <c r="AA40" s="56" t="n">
        <f aca="false">Z40-Y40</f>
        <v>273.01616986258</v>
      </c>
      <c r="AB40" s="103" t="n">
        <f aca="false">AA40/((R40-X40)*V40)*60*1000</f>
        <v>241.47639572683</v>
      </c>
      <c r="AC40" s="104" t="n">
        <f aca="false">AB40*V40</f>
        <v>14488.5837436098</v>
      </c>
      <c r="AD40" s="104" t="n">
        <f aca="false">AB40*W40</f>
        <v>0</v>
      </c>
      <c r="AE40" s="57" t="n">
        <f aca="false">P40-AC40-AD40</f>
        <v>236621.561647154</v>
      </c>
      <c r="AF40" s="57" t="n">
        <f aca="false">AE40*Q40</f>
        <v>10735.6169647425</v>
      </c>
      <c r="AG40" s="57" t="n">
        <f aca="false">AF40/AB40</f>
        <v>44.4582458357014</v>
      </c>
      <c r="AH40" s="105" t="n">
        <f aca="false">1/AG40</f>
        <v>0.0224930152146706</v>
      </c>
      <c r="AI40" s="57" t="n">
        <f aca="false">Z40*E40</f>
        <v>196.298626131195</v>
      </c>
      <c r="AJ40" s="23" t="n">
        <v>0.8</v>
      </c>
      <c r="AK40" s="30" t="n">
        <v>0.2</v>
      </c>
      <c r="AL40" s="31"/>
      <c r="AM40" s="121" t="s">
        <v>213</v>
      </c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3"/>
      <c r="AY40" s="23"/>
      <c r="AZ40" s="23"/>
      <c r="BA40" s="23"/>
      <c r="BB40" s="23"/>
      <c r="BC40" s="23"/>
      <c r="BD40" s="23"/>
      <c r="BE40" s="23"/>
      <c r="BF40" s="3"/>
      <c r="BG40" s="23"/>
    </row>
    <row r="41" customFormat="false" ht="12.8" hidden="false" customHeight="false" outlineLevel="0" collapsed="false">
      <c r="A41" s="106"/>
      <c r="B41" s="94" t="s">
        <v>214</v>
      </c>
      <c r="C41" s="95" t="s">
        <v>215</v>
      </c>
      <c r="D41" s="96" t="s">
        <v>216</v>
      </c>
      <c r="E41" s="97" t="n">
        <v>0.423</v>
      </c>
      <c r="F41" s="96" t="s">
        <v>217</v>
      </c>
      <c r="G41" s="107" t="n">
        <f aca="false">TRUE()</f>
        <v>1</v>
      </c>
      <c r="H41" s="95" t="n">
        <v>431</v>
      </c>
      <c r="I41" s="47" t="n">
        <f aca="false">IF(F41="LEVEL", 1, VLOOKUP(F41,ActivityStats!$C$4:$D$12,2,FALSE()))</f>
        <v>0.0140074682496996</v>
      </c>
      <c r="J41" s="54" t="n">
        <f aca="false">365*24*60</f>
        <v>525600</v>
      </c>
      <c r="K41" s="54" t="n">
        <f aca="false">I41*J41</f>
        <v>7362.32531204211</v>
      </c>
      <c r="L41" s="50" t="n">
        <f aca="false">K41/J41</f>
        <v>0.0140074682496996</v>
      </c>
      <c r="M41" s="78" t="n">
        <f aca="false">FALSE()</f>
        <v>0</v>
      </c>
      <c r="N41" s="98" t="n">
        <f aca="false">IF(F41="level",FALSE(), TRUE())</f>
        <v>1</v>
      </c>
      <c r="O41" s="50" t="n">
        <f aca="false">IF(N41 = FALSE(),1,ActivityStats!$D$12)</f>
        <v>0.47775902852124</v>
      </c>
      <c r="P41" s="99" t="n">
        <f aca="false">O41*J41</f>
        <v>251110.145390764</v>
      </c>
      <c r="Q41" s="50" t="n">
        <f aca="false">L41/O41</f>
        <v>0.0293191073605778</v>
      </c>
      <c r="R41" s="101" t="n">
        <v>2500</v>
      </c>
      <c r="S41" s="101" t="n">
        <v>0</v>
      </c>
      <c r="T41" s="101" t="n">
        <f aca="false">IF(S41&gt;0, TRUE(), FALSE())</f>
        <v>0</v>
      </c>
      <c r="U41" s="23" t="n">
        <f aca="false">R41*V41/(60*1000)</f>
        <v>2.5</v>
      </c>
      <c r="V41" s="95" t="n">
        <v>60</v>
      </c>
      <c r="W41" s="95" t="n">
        <v>0</v>
      </c>
      <c r="X41" s="95" t="n">
        <v>1</v>
      </c>
      <c r="Y41" s="56" t="n">
        <f aca="false">X41*J41/(60*1000)</f>
        <v>8.76</v>
      </c>
      <c r="Z41" s="108" t="n">
        <v>313.820216429956</v>
      </c>
      <c r="AA41" s="56" t="n">
        <f aca="false">Z41-Y41</f>
        <v>305.060216429956</v>
      </c>
      <c r="AB41" s="103" t="n">
        <f aca="false">AA41/((R41-X41)*V41)*60*1000</f>
        <v>122.072915738278</v>
      </c>
      <c r="AC41" s="104" t="n">
        <f aca="false">AB41*V41</f>
        <v>7324.37494429666</v>
      </c>
      <c r="AD41" s="104" t="n">
        <f aca="false">AB41*W41</f>
        <v>0</v>
      </c>
      <c r="AE41" s="57" t="n">
        <f aca="false">P41-AC41-AD41</f>
        <v>243785.770446467</v>
      </c>
      <c r="AF41" s="57" t="n">
        <f aca="false">AE41*Q41</f>
        <v>7147.58117670115</v>
      </c>
      <c r="AG41" s="57" t="n">
        <f aca="false">AF41/AB41</f>
        <v>58.5517363411344</v>
      </c>
      <c r="AH41" s="105" t="n">
        <f aca="false">1/AG41</f>
        <v>0.0170789128126585</v>
      </c>
      <c r="AI41" s="57" t="n">
        <f aca="false">Z41*E41</f>
        <v>132.745951549871</v>
      </c>
      <c r="AJ41" s="23" t="n">
        <v>0.8</v>
      </c>
      <c r="AK41" s="30" t="n">
        <v>0.2</v>
      </c>
      <c r="AL41" s="122" t="s">
        <v>218</v>
      </c>
      <c r="AM41" s="60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3"/>
      <c r="AY41" s="23"/>
      <c r="AZ41" s="23"/>
      <c r="BA41" s="23"/>
      <c r="BB41" s="23"/>
      <c r="BC41" s="23"/>
      <c r="BD41" s="23"/>
      <c r="BE41" s="23"/>
      <c r="BF41" s="3"/>
      <c r="BG41" s="23"/>
    </row>
    <row r="42" customFormat="false" ht="12.8" hidden="false" customHeight="false" outlineLevel="0" collapsed="false">
      <c r="A42" s="106"/>
      <c r="B42" s="94" t="s">
        <v>219</v>
      </c>
      <c r="C42" s="95" t="s">
        <v>220</v>
      </c>
      <c r="D42" s="96" t="s">
        <v>218</v>
      </c>
      <c r="E42" s="97" t="n">
        <v>0.95</v>
      </c>
      <c r="F42" s="96" t="s">
        <v>217</v>
      </c>
      <c r="G42" s="107" t="n">
        <f aca="false">TRUE()</f>
        <v>1</v>
      </c>
      <c r="H42" s="95" t="n">
        <v>431</v>
      </c>
      <c r="I42" s="47" t="n">
        <f aca="false">IF(F42="LEVEL", 1, VLOOKUP(F42,ActivityStats!$C$4:$D$12,2,FALSE()))</f>
        <v>0.0140074682496996</v>
      </c>
      <c r="J42" s="54" t="n">
        <f aca="false">365*24*60</f>
        <v>525600</v>
      </c>
      <c r="K42" s="54" t="n">
        <f aca="false">I42*J42</f>
        <v>7362.32531204211</v>
      </c>
      <c r="L42" s="50" t="n">
        <f aca="false">K42/J42</f>
        <v>0.0140074682496996</v>
      </c>
      <c r="M42" s="78" t="n">
        <f aca="false">FALSE()</f>
        <v>0</v>
      </c>
      <c r="N42" s="98" t="n">
        <f aca="false">IF(F42="level",FALSE(), TRUE())</f>
        <v>1</v>
      </c>
      <c r="O42" s="50" t="n">
        <f aca="false">IF(N42 = FALSE(),1,ActivityStats!$D$12)</f>
        <v>0.47775902852124</v>
      </c>
      <c r="P42" s="99" t="n">
        <f aca="false">O42*J42</f>
        <v>251110.145390764</v>
      </c>
      <c r="Q42" s="50" t="n">
        <f aca="false">L42/O42</f>
        <v>0.0293191073605778</v>
      </c>
      <c r="R42" s="101" t="n">
        <v>405.54347826087</v>
      </c>
      <c r="S42" s="101" t="n">
        <v>0</v>
      </c>
      <c r="T42" s="101" t="n">
        <f aca="false">IF(S42&gt;0, TRUE(), FALSE())</f>
        <v>0</v>
      </c>
      <c r="U42" s="23" t="n">
        <f aca="false">R42*V42/(60*1000)</f>
        <v>0.932750000000001</v>
      </c>
      <c r="V42" s="95" t="n">
        <v>138</v>
      </c>
      <c r="W42" s="95" t="n">
        <v>0</v>
      </c>
      <c r="X42" s="95" t="n">
        <v>1</v>
      </c>
      <c r="Y42" s="56" t="n">
        <f aca="false">X42*J42/(60*1000)</f>
        <v>8.76</v>
      </c>
      <c r="Z42" s="108" t="n">
        <v>191.041292123096</v>
      </c>
      <c r="AA42" s="56" t="n">
        <f aca="false">Z42-Y42</f>
        <v>182.281292123096</v>
      </c>
      <c r="AB42" s="103" t="n">
        <f aca="false">AA42/((R42-X42)*V42)*60*1000</f>
        <v>195.906595865544</v>
      </c>
      <c r="AC42" s="104" t="n">
        <f aca="false">AB42*V42</f>
        <v>27035.1102294451</v>
      </c>
      <c r="AD42" s="104" t="n">
        <f aca="false">AB42*W42</f>
        <v>0</v>
      </c>
      <c r="AE42" s="57" t="n">
        <f aca="false">P42-AC42-AD42</f>
        <v>224075.035161319</v>
      </c>
      <c r="AF42" s="57" t="n">
        <f aca="false">AE42*Q42</f>
        <v>6569.68001271995</v>
      </c>
      <c r="AG42" s="57" t="n">
        <f aca="false">AF42/AB42</f>
        <v>33.5347566205933</v>
      </c>
      <c r="AH42" s="105" t="n">
        <f aca="false">1/AG42</f>
        <v>0.0298198078880916</v>
      </c>
      <c r="AI42" s="57" t="n">
        <f aca="false">Z42*E42</f>
        <v>181.489227516941</v>
      </c>
      <c r="AJ42" s="23" t="n">
        <v>0.8</v>
      </c>
      <c r="AK42" s="30" t="n">
        <v>0.2</v>
      </c>
      <c r="AL42" s="31"/>
      <c r="AM42" s="113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3"/>
      <c r="AY42" s="23"/>
      <c r="AZ42" s="56"/>
      <c r="BA42" s="56"/>
      <c r="BB42" s="56"/>
      <c r="BC42" s="56"/>
      <c r="BD42" s="56"/>
      <c r="BE42" s="56"/>
      <c r="BF42" s="3"/>
      <c r="BG42" s="23"/>
    </row>
    <row r="43" customFormat="false" ht="12.8" hidden="false" customHeight="false" outlineLevel="0" collapsed="false">
      <c r="A43" s="106"/>
      <c r="B43" s="25" t="s">
        <v>221</v>
      </c>
      <c r="C43" s="95" t="s">
        <v>222</v>
      </c>
      <c r="D43" s="96" t="s">
        <v>223</v>
      </c>
      <c r="E43" s="120" t="n">
        <v>0.153</v>
      </c>
      <c r="F43" s="96" t="s">
        <v>217</v>
      </c>
      <c r="G43" s="107" t="n">
        <f aca="false">TRUE()</f>
        <v>1</v>
      </c>
      <c r="H43" s="95" t="n">
        <v>431</v>
      </c>
      <c r="I43" s="47" t="n">
        <f aca="false">IF(F43="LEVEL", 1, VLOOKUP(F43,ActivityStats!$C$4:$D$12,2,FALSE()))</f>
        <v>0.0140074682496996</v>
      </c>
      <c r="J43" s="54" t="n">
        <f aca="false">365*24*60</f>
        <v>525600</v>
      </c>
      <c r="K43" s="54" t="n">
        <f aca="false">I43*J43</f>
        <v>7362.32531204211</v>
      </c>
      <c r="L43" s="50" t="n">
        <f aca="false">K43/J43</f>
        <v>0.0140074682496996</v>
      </c>
      <c r="M43" s="78" t="n">
        <f aca="false">FALSE()</f>
        <v>0</v>
      </c>
      <c r="N43" s="98" t="n">
        <f aca="false">IF(F43="level",FALSE(), TRUE())</f>
        <v>1</v>
      </c>
      <c r="O43" s="50" t="n">
        <f aca="false">IF(N43 = FALSE(),1,ActivityStats!$D$12)</f>
        <v>0.47775902852124</v>
      </c>
      <c r="P43" s="99" t="n">
        <f aca="false">O43*J43</f>
        <v>251110.145390764</v>
      </c>
      <c r="Q43" s="50" t="n">
        <f aca="false">L43/O43</f>
        <v>0.0293191073605778</v>
      </c>
      <c r="R43" s="101" t="n">
        <v>792.034786057664</v>
      </c>
      <c r="S43" s="101" t="n">
        <v>0</v>
      </c>
      <c r="T43" s="101" t="n">
        <f aca="false">IF(S43&gt;0, TRUE(), FALSE())</f>
        <v>0</v>
      </c>
      <c r="U43" s="23" t="n">
        <f aca="false">R43*V43/(60*1000)</f>
        <v>2.61371479399029</v>
      </c>
      <c r="V43" s="95" t="n">
        <v>198</v>
      </c>
      <c r="W43" s="95" t="n">
        <v>0</v>
      </c>
      <c r="X43" s="95" t="n">
        <v>1</v>
      </c>
      <c r="Y43" s="56" t="n">
        <f aca="false">X43*J43/(60*1000)</f>
        <v>8.76</v>
      </c>
      <c r="Z43" s="108" t="n">
        <v>520.157476087695</v>
      </c>
      <c r="AA43" s="56" t="n">
        <f aca="false">Z43-Y43</f>
        <v>511.397476087695</v>
      </c>
      <c r="AB43" s="103" t="n">
        <f aca="false">AA43/((R43-X43)*V43)*60*1000</f>
        <v>195.906595865545</v>
      </c>
      <c r="AC43" s="104" t="n">
        <f aca="false">AB43*V43</f>
        <v>38789.5059813778</v>
      </c>
      <c r="AD43" s="104" t="n">
        <f aca="false">AB43*W43</f>
        <v>0</v>
      </c>
      <c r="AE43" s="57" t="n">
        <f aca="false">P43-AC43-AD43</f>
        <v>212320.639409386</v>
      </c>
      <c r="AF43" s="57" t="n">
        <f aca="false">AE43*Q43</f>
        <v>6225.05162171032</v>
      </c>
      <c r="AG43" s="57" t="n">
        <f aca="false">AF43/AB43</f>
        <v>31.7756101789585</v>
      </c>
      <c r="AH43" s="105" t="n">
        <f aca="false">1/AG43</f>
        <v>0.0314706781197294</v>
      </c>
      <c r="AI43" s="57" t="n">
        <f aca="false">Z43*E41</f>
        <v>220.026612385095</v>
      </c>
      <c r="AJ43" s="23" t="n">
        <v>0.8</v>
      </c>
      <c r="AK43" s="30" t="n">
        <v>0.2</v>
      </c>
      <c r="AL43" s="31"/>
      <c r="AM43" s="60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3"/>
      <c r="AY43" s="23"/>
      <c r="AZ43" s="57"/>
      <c r="BA43" s="57"/>
      <c r="BB43" s="57"/>
      <c r="BC43" s="57"/>
      <c r="BD43" s="57"/>
      <c r="BE43" s="57"/>
      <c r="BF43" s="3"/>
      <c r="BG43" s="23"/>
    </row>
    <row r="44" customFormat="false" ht="12.8" hidden="false" customHeight="false" outlineLevel="0" collapsed="false">
      <c r="A44" s="13"/>
      <c r="B44" s="14" t="s">
        <v>224</v>
      </c>
      <c r="C44" s="17" t="s">
        <v>225</v>
      </c>
      <c r="D44" s="96" t="s">
        <v>226</v>
      </c>
      <c r="E44" s="123" t="n">
        <v>0.994</v>
      </c>
      <c r="F44" s="96" t="s">
        <v>227</v>
      </c>
      <c r="G44" s="107" t="n">
        <f aca="false">TRUE()</f>
        <v>1</v>
      </c>
      <c r="H44" s="17"/>
      <c r="I44" s="47" t="n">
        <f aca="false">IF(F44="LEVEL", 1, VLOOKUP(F44,ActivityStats!$C$4:$D$12,2,FALSE()))</f>
        <v>0.133577668606201</v>
      </c>
      <c r="J44" s="49" t="n">
        <f aca="false">24*60</f>
        <v>1440</v>
      </c>
      <c r="K44" s="49" t="n">
        <f aca="false">I44*J44</f>
        <v>192.351842792929</v>
      </c>
      <c r="L44" s="50" t="n">
        <f aca="false">K44/J44</f>
        <v>0.133577668606201</v>
      </c>
      <c r="M44" s="107" t="n">
        <f aca="false">TRUE()</f>
        <v>1</v>
      </c>
      <c r="N44" s="98" t="n">
        <f aca="false">IF(F44="level",FALSE(), TRUE())</f>
        <v>1</v>
      </c>
      <c r="O44" s="50" t="n">
        <f aca="false">IF(N44 = FALSE(),1,ActivityStats!$D$12)</f>
        <v>0.47775902852124</v>
      </c>
      <c r="P44" s="99" t="n">
        <f aca="false">O44*J44</f>
        <v>687.973001070586</v>
      </c>
      <c r="Q44" s="50" t="n">
        <f aca="false">L44/O44</f>
        <v>0.279592138781031</v>
      </c>
      <c r="R44" s="124" t="n">
        <v>0</v>
      </c>
      <c r="S44" s="124" t="n">
        <v>3.54</v>
      </c>
      <c r="T44" s="125" t="n">
        <f aca="false">IF(S44&gt;0, TRUE(), FALSE())</f>
        <v>1</v>
      </c>
      <c r="U44" s="17" t="n">
        <f aca="false">[1]WaterUsage!D5</f>
        <v>2.3</v>
      </c>
      <c r="V44" s="124" t="n">
        <f aca="false">U44/S44</f>
        <v>0.649717514124294</v>
      </c>
      <c r="W44" s="17" t="n">
        <v>0</v>
      </c>
      <c r="X44" s="124" t="n">
        <v>0</v>
      </c>
      <c r="Y44" s="17" t="n">
        <f aca="false">X44*J44</f>
        <v>0</v>
      </c>
      <c r="Z44" s="52" t="n">
        <v>22</v>
      </c>
      <c r="AA44" s="52" t="n">
        <f aca="false">Z44-Y44</f>
        <v>22</v>
      </c>
      <c r="AB44" s="126" t="n">
        <f aca="false">AA44/((S44-X44)*V44)</f>
        <v>9.56521739130435</v>
      </c>
      <c r="AC44" s="104" t="n">
        <f aca="false">AB44*V44</f>
        <v>6.21468926553672</v>
      </c>
      <c r="AD44" s="104" t="n">
        <f aca="false">AB44*W44</f>
        <v>0</v>
      </c>
      <c r="AE44" s="57" t="n">
        <f aca="false">P44-AC44-AD44</f>
        <v>681.758311805049</v>
      </c>
      <c r="AF44" s="57" t="n">
        <f aca="false">AE44*Q44</f>
        <v>190.614264529318</v>
      </c>
      <c r="AG44" s="57" t="n">
        <f aca="false">AF44/AB44</f>
        <v>19.9278549280651</v>
      </c>
      <c r="AH44" s="29" t="n">
        <f aca="false">1/AG44</f>
        <v>0.0501810156491888</v>
      </c>
      <c r="AI44" s="52" t="n">
        <f aca="false">Z44*E44</f>
        <v>21.868</v>
      </c>
      <c r="AJ44" s="17"/>
      <c r="AK44" s="127" t="n">
        <v>0</v>
      </c>
      <c r="AL44" s="31"/>
      <c r="AM44" s="60"/>
      <c r="AN44" s="57"/>
      <c r="AO44" s="57"/>
      <c r="AP44" s="23"/>
      <c r="AQ44" s="23"/>
      <c r="AR44" s="23"/>
      <c r="AS44" s="23"/>
      <c r="AT44" s="23"/>
      <c r="AU44" s="23"/>
      <c r="AV44" s="23"/>
      <c r="AW44" s="2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customFormat="false" ht="12.8" hidden="false" customHeight="false" outlineLevel="0" collapsed="false">
      <c r="A45" s="106"/>
      <c r="B45" s="25" t="s">
        <v>228</v>
      </c>
      <c r="C45" s="23" t="s">
        <v>229</v>
      </c>
      <c r="D45" s="96" t="s">
        <v>230</v>
      </c>
      <c r="E45" s="128" t="n">
        <v>1</v>
      </c>
      <c r="F45" s="96" t="s">
        <v>213</v>
      </c>
      <c r="G45" s="78" t="n">
        <f aca="false">FALSE()</f>
        <v>0</v>
      </c>
      <c r="H45" s="23"/>
      <c r="I45" s="47" t="n">
        <f aca="false">IF(F45="LEVEL", 1, VLOOKUP(F45,ActivityStats!$C$4:$D$12,2,FALSE()))</f>
        <v>0.0216761223953879</v>
      </c>
      <c r="J45" s="54" t="n">
        <f aca="false">24*60</f>
        <v>1440</v>
      </c>
      <c r="K45" s="54" t="n">
        <f aca="false">I45*J45</f>
        <v>31.2136162493586</v>
      </c>
      <c r="L45" s="50" t="n">
        <f aca="false">K45/J45</f>
        <v>0.0216761223953879</v>
      </c>
      <c r="M45" s="107" t="n">
        <f aca="false">TRUE()</f>
        <v>1</v>
      </c>
      <c r="N45" s="98" t="n">
        <f aca="false">IF(F45="level",FALSE(), TRUE())</f>
        <v>1</v>
      </c>
      <c r="O45" s="50" t="n">
        <f aca="false">IF(N45 = FALSE(),1,ActivityStats!$D$12)</f>
        <v>0.47775902852124</v>
      </c>
      <c r="P45" s="99" t="n">
        <f aca="false">O45*J45</f>
        <v>687.973001070586</v>
      </c>
      <c r="Q45" s="50" t="n">
        <f aca="false">L45/O45</f>
        <v>0.0453704087235773</v>
      </c>
      <c r="R45" s="129" t="n">
        <v>0</v>
      </c>
      <c r="S45" s="129" t="n">
        <v>3.54</v>
      </c>
      <c r="T45" s="125" t="n">
        <f aca="false">IF(S45&gt;0, TRUE(), FALSE())</f>
        <v>1</v>
      </c>
      <c r="U45" s="23" t="n">
        <f aca="false">[1]WaterUsage!D5</f>
        <v>2.3</v>
      </c>
      <c r="V45" s="124" t="n">
        <f aca="false">U45/S45</f>
        <v>0.649717514124294</v>
      </c>
      <c r="W45" s="23" t="n">
        <v>0</v>
      </c>
      <c r="X45" s="129" t="n">
        <v>0</v>
      </c>
      <c r="Y45" s="23" t="n">
        <f aca="false">X45*J45</f>
        <v>0</v>
      </c>
      <c r="Z45" s="57" t="n">
        <f aca="false">AVERAGE(22,40)</f>
        <v>31</v>
      </c>
      <c r="AA45" s="57" t="n">
        <f aca="false">Z45-Y45</f>
        <v>31</v>
      </c>
      <c r="AB45" s="126" t="n">
        <f aca="false">AA45/((S45-X45)*V45)</f>
        <v>13.4782608695652</v>
      </c>
      <c r="AC45" s="104" t="n">
        <f aca="false">AB45*V45</f>
        <v>8.75706214689265</v>
      </c>
      <c r="AD45" s="104" t="n">
        <f aca="false">AB45*W45</f>
        <v>0</v>
      </c>
      <c r="AE45" s="57" t="n">
        <f aca="false">P45-AC45-AD45</f>
        <v>679.215938923693</v>
      </c>
      <c r="AF45" s="57" t="n">
        <f aca="false">AE45*Q45</f>
        <v>30.8163047605363</v>
      </c>
      <c r="AG45" s="57" t="n">
        <f aca="false">AF45/AB45</f>
        <v>2.28637099836237</v>
      </c>
      <c r="AH45" s="29" t="n">
        <f aca="false">1/AG45</f>
        <v>0.437374337199106</v>
      </c>
      <c r="AI45" s="57" t="n">
        <f aca="false">Z45*E45</f>
        <v>31</v>
      </c>
      <c r="AJ45" s="23"/>
      <c r="AK45" s="62" t="n">
        <v>0</v>
      </c>
      <c r="AL45" s="31"/>
      <c r="AM45" s="60"/>
      <c r="AN45" s="57"/>
      <c r="AO45" s="57"/>
      <c r="AP45" s="23"/>
      <c r="AQ45" s="23"/>
      <c r="AR45" s="23"/>
      <c r="AS45" s="23"/>
      <c r="AT45" s="23"/>
      <c r="AU45" s="23"/>
      <c r="AV45" s="23"/>
      <c r="AW45" s="2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customFormat="false" ht="12.8" hidden="false" customHeight="false" outlineLevel="0" collapsed="false">
      <c r="A46" s="106"/>
      <c r="B46" s="25" t="s">
        <v>231</v>
      </c>
      <c r="C46" s="23" t="s">
        <v>232</v>
      </c>
      <c r="D46" s="96" t="s">
        <v>233</v>
      </c>
      <c r="E46" s="128" t="n">
        <v>0.997</v>
      </c>
      <c r="F46" s="96" t="s">
        <v>227</v>
      </c>
      <c r="G46" s="107" t="n">
        <f aca="false">TRUE()</f>
        <v>1</v>
      </c>
      <c r="H46" s="23"/>
      <c r="I46" s="47" t="n">
        <f aca="false">IF(F46="LEVEL", 1, VLOOKUP(F46,ActivityStats!$C$4:$D$12,2,FALSE()))</f>
        <v>0.133577668606201</v>
      </c>
      <c r="J46" s="54" t="n">
        <f aca="false">24*60</f>
        <v>1440</v>
      </c>
      <c r="K46" s="54" t="n">
        <f aca="false">I46*J46</f>
        <v>192.351842792929</v>
      </c>
      <c r="L46" s="50" t="n">
        <f aca="false">K46/J46</f>
        <v>0.133577668606201</v>
      </c>
      <c r="M46" s="107" t="n">
        <f aca="false">TRUE()</f>
        <v>1</v>
      </c>
      <c r="N46" s="98" t="n">
        <f aca="false">IF(F46="level",FALSE(), TRUE())</f>
        <v>1</v>
      </c>
      <c r="O46" s="50" t="n">
        <f aca="false">IF(N46 = FALSE(),1,ActivityStats!$D$12)</f>
        <v>0.47775902852124</v>
      </c>
      <c r="P46" s="99" t="n">
        <f aca="false">O46*J46</f>
        <v>687.973001070586</v>
      </c>
      <c r="Q46" s="50" t="n">
        <f aca="false">L46/O46</f>
        <v>0.279592138781031</v>
      </c>
      <c r="R46" s="129" t="n">
        <v>0</v>
      </c>
      <c r="S46" s="129" t="n">
        <v>9.26</v>
      </c>
      <c r="T46" s="125" t="n">
        <f aca="false">IF(S46&gt;0, TRUE(), FALSE())</f>
        <v>1</v>
      </c>
      <c r="U46" s="23" t="n">
        <f aca="false">[1]WaterUsage!E5</f>
        <v>25.7</v>
      </c>
      <c r="V46" s="124" t="n">
        <f aca="false">U46/S46</f>
        <v>2.77537796976242</v>
      </c>
      <c r="W46" s="23" t="n">
        <v>0</v>
      </c>
      <c r="X46" s="129" t="n">
        <v>0</v>
      </c>
      <c r="Y46" s="23" t="n">
        <f aca="false">X46*J46</f>
        <v>0</v>
      </c>
      <c r="Z46" s="57" t="n">
        <f aca="false">0.6*[1]ActivityStats!C19*[1]WaterUsage!E5</f>
        <v>32.0460077712464</v>
      </c>
      <c r="AA46" s="57" t="n">
        <f aca="false">Z46-Y46</f>
        <v>32.0460077712464</v>
      </c>
      <c r="AB46" s="126" t="n">
        <f aca="false">AA46/((S46-X46)*V46)</f>
        <v>1.24692637242204</v>
      </c>
      <c r="AC46" s="104" t="n">
        <f aca="false">AB46*V46</f>
        <v>3.4606919839359</v>
      </c>
      <c r="AD46" s="104" t="n">
        <f aca="false">AB46*W46</f>
        <v>0</v>
      </c>
      <c r="AE46" s="57" t="n">
        <f aca="false">P46-AC46-AD46</f>
        <v>684.51230908665</v>
      </c>
      <c r="AF46" s="57" t="n">
        <f aca="false">AE46*Q46</f>
        <v>191.384260519478</v>
      </c>
      <c r="AG46" s="57" t="n">
        <f aca="false">AF46/AB46</f>
        <v>153.484812537674</v>
      </c>
      <c r="AH46" s="29" t="n">
        <f aca="false">1/AG46</f>
        <v>0.00651530261181082</v>
      </c>
      <c r="AI46" s="57" t="n">
        <f aca="false">Z46*E46</f>
        <v>31.9498697479327</v>
      </c>
      <c r="AJ46" s="23"/>
      <c r="AK46" s="62" t="n">
        <v>0</v>
      </c>
      <c r="AL46" s="31"/>
      <c r="AM46" s="60"/>
      <c r="AN46" s="57"/>
      <c r="AO46" s="57"/>
      <c r="AP46" s="23"/>
      <c r="AQ46" s="23"/>
      <c r="AR46" s="23"/>
      <c r="AS46" s="23"/>
      <c r="AT46" s="23"/>
      <c r="AU46" s="23"/>
      <c r="AV46" s="23"/>
      <c r="AW46" s="2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customFormat="false" ht="12.8" hidden="false" customHeight="false" outlineLevel="0" collapsed="false">
      <c r="A47" s="38"/>
      <c r="B47" s="39" t="s">
        <v>234</v>
      </c>
      <c r="C47" s="40" t="s">
        <v>235</v>
      </c>
      <c r="D47" s="96" t="s">
        <v>236</v>
      </c>
      <c r="E47" s="130" t="n">
        <v>0.916</v>
      </c>
      <c r="F47" s="96" t="s">
        <v>227</v>
      </c>
      <c r="G47" s="107" t="n">
        <f aca="false">TRUE()</f>
        <v>1</v>
      </c>
      <c r="H47" s="40"/>
      <c r="I47" s="47" t="n">
        <f aca="false">IF(F47="LEVEL", 1, VLOOKUP(F47,ActivityStats!$C$4:$D$12,2,FALSE()))</f>
        <v>0.133577668606201</v>
      </c>
      <c r="J47" s="131" t="n">
        <f aca="false">24*60</f>
        <v>1440</v>
      </c>
      <c r="K47" s="131" t="n">
        <f aca="false">I47*J47</f>
        <v>192.351842792929</v>
      </c>
      <c r="L47" s="132" t="n">
        <f aca="false">K47/J47</f>
        <v>0.133577668606201</v>
      </c>
      <c r="M47" s="107" t="n">
        <f aca="false">TRUE()</f>
        <v>1</v>
      </c>
      <c r="N47" s="98" t="n">
        <f aca="false">IF(F47="level",FALSE(), TRUE())</f>
        <v>1</v>
      </c>
      <c r="O47" s="50" t="n">
        <f aca="false">IF(N47 = FALSE(),1,ActivityStats!$D$12)</f>
        <v>0.47775902852124</v>
      </c>
      <c r="P47" s="133" t="n">
        <f aca="false">O47*J47</f>
        <v>687.973001070586</v>
      </c>
      <c r="Q47" s="132" t="n">
        <f aca="false">L47/O47</f>
        <v>0.279592138781031</v>
      </c>
      <c r="R47" s="134" t="n">
        <v>0</v>
      </c>
      <c r="S47" s="134" t="n">
        <v>9.26</v>
      </c>
      <c r="T47" s="125" t="n">
        <f aca="false">IF(S47&gt;0, TRUE(), FALSE())</f>
        <v>1</v>
      </c>
      <c r="U47" s="40" t="n">
        <f aca="false">[1]WaterUsage!F5</f>
        <v>73.3</v>
      </c>
      <c r="V47" s="124" t="n">
        <f aca="false">U47/S47</f>
        <v>7.91576673866091</v>
      </c>
      <c r="W47" s="40" t="n">
        <v>20</v>
      </c>
      <c r="X47" s="134" t="n">
        <v>0</v>
      </c>
      <c r="Y47" s="40" t="n">
        <f aca="false">X47*J47</f>
        <v>0</v>
      </c>
      <c r="Z47" s="135" t="n">
        <v>38</v>
      </c>
      <c r="AA47" s="135" t="n">
        <f aca="false">Z47-Y47</f>
        <v>38</v>
      </c>
      <c r="AB47" s="126" t="n">
        <f aca="false">AA47/((S47-X47)*V47)</f>
        <v>0.518417462482947</v>
      </c>
      <c r="AC47" s="136" t="n">
        <f aca="false">AB47*V47</f>
        <v>4.1036717062635</v>
      </c>
      <c r="AD47" s="136" t="n">
        <f aca="false">AB47*W47</f>
        <v>10.3683492496589</v>
      </c>
      <c r="AE47" s="135" t="n">
        <f aca="false">P47-AC47-AD47</f>
        <v>673.500980114663</v>
      </c>
      <c r="AF47" s="135" t="n">
        <f aca="false">AE47*Q47</f>
        <v>188.305579501379</v>
      </c>
      <c r="AG47" s="135" t="n">
        <f aca="false">AF47/AB47</f>
        <v>363.231552038187</v>
      </c>
      <c r="AH47" s="137" t="n">
        <f aca="false">1/AG47</f>
        <v>0.00275306479954382</v>
      </c>
      <c r="AI47" s="135" t="n">
        <f aca="false">Z47*E47</f>
        <v>34.808</v>
      </c>
      <c r="AJ47" s="40"/>
      <c r="AK47" s="66" t="n">
        <v>0</v>
      </c>
      <c r="AL47" s="138"/>
      <c r="AM47" s="139"/>
      <c r="AN47" s="57"/>
      <c r="AO47" s="57"/>
      <c r="AP47" s="23"/>
      <c r="AQ47" s="23"/>
      <c r="AR47" s="23"/>
      <c r="AS47" s="23"/>
      <c r="AT47" s="23"/>
      <c r="AU47" s="23"/>
      <c r="AV47" s="23"/>
      <c r="AW47" s="23"/>
      <c r="AX47" s="3"/>
      <c r="AY47" s="3"/>
      <c r="AZ47" s="3"/>
      <c r="BA47" s="3"/>
      <c r="BB47" s="3"/>
      <c r="BC47" s="3"/>
      <c r="BD47" s="3"/>
      <c r="BE47" s="3"/>
      <c r="BF47" s="3"/>
      <c r="BG47" s="3"/>
    </row>
  </sheetData>
  <mergeCells count="4">
    <mergeCell ref="G5:G8"/>
    <mergeCell ref="M5:M8"/>
    <mergeCell ref="AL5:AL8"/>
    <mergeCell ref="AM5:AM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31" activeCellId="0" sqref="D31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3" min="3" style="0" width="18.2"/>
    <col collapsed="false" customWidth="true" hidden="false" outlineLevel="0" max="4" min="4" style="0" width="17.36"/>
  </cols>
  <sheetData>
    <row r="1" customFormat="false" ht="15" hidden="false" customHeight="false" outlineLevel="0" collapsed="false">
      <c r="A1" s="3"/>
      <c r="B1" s="2" t="s">
        <v>237</v>
      </c>
      <c r="C1" s="3"/>
      <c r="D1" s="3"/>
    </row>
    <row r="2" customFormat="false" ht="15" hidden="false" customHeight="false" outlineLevel="0" collapsed="false">
      <c r="A2" s="3"/>
      <c r="B2" s="2"/>
      <c r="C2" s="3"/>
      <c r="D2" s="3"/>
    </row>
    <row r="3" customFormat="false" ht="64.15" hidden="false" customHeight="false" outlineLevel="0" collapsed="false">
      <c r="A3" s="140"/>
      <c r="B3" s="141" t="s">
        <v>238</v>
      </c>
      <c r="C3" s="142" t="s">
        <v>239</v>
      </c>
      <c r="D3" s="143" t="s">
        <v>240</v>
      </c>
    </row>
    <row r="4" customFormat="false" ht="19.4" hidden="false" customHeight="false" outlineLevel="0" collapsed="false">
      <c r="A4" s="140"/>
      <c r="B4" s="144" t="s">
        <v>241</v>
      </c>
      <c r="C4" s="96" t="s">
        <v>178</v>
      </c>
      <c r="D4" s="145" t="n">
        <v>0.228549421174936</v>
      </c>
    </row>
    <row r="5" customFormat="false" ht="28.35" hidden="false" customHeight="false" outlineLevel="0" collapsed="false">
      <c r="A5" s="140"/>
      <c r="B5" s="144" t="s">
        <v>242</v>
      </c>
      <c r="C5" s="96" t="s">
        <v>193</v>
      </c>
      <c r="D5" s="145" t="n">
        <v>0.0606130677183567</v>
      </c>
    </row>
    <row r="6" customFormat="false" ht="12.8" hidden="false" customHeight="false" outlineLevel="0" collapsed="false">
      <c r="A6" s="140"/>
      <c r="B6" s="144" t="s">
        <v>243</v>
      </c>
      <c r="C6" s="96" t="s">
        <v>217</v>
      </c>
      <c r="D6" s="145" t="n">
        <v>0.0140074682496996</v>
      </c>
    </row>
    <row r="7" customFormat="false" ht="19.4" hidden="false" customHeight="false" outlineLevel="0" collapsed="false">
      <c r="A7" s="140"/>
      <c r="B7" s="144" t="s">
        <v>244</v>
      </c>
      <c r="C7" s="96" t="s">
        <v>227</v>
      </c>
      <c r="D7" s="145" t="n">
        <v>0.133577668606201</v>
      </c>
    </row>
    <row r="8" customFormat="false" ht="12.8" hidden="false" customHeight="false" outlineLevel="0" collapsed="false">
      <c r="A8" s="140"/>
      <c r="B8" s="144" t="s">
        <v>245</v>
      </c>
      <c r="C8" s="96" t="s">
        <v>155</v>
      </c>
      <c r="D8" s="145" t="n">
        <v>0.00809295793279327</v>
      </c>
    </row>
    <row r="9" customFormat="false" ht="19.4" hidden="false" customHeight="false" outlineLevel="0" collapsed="false">
      <c r="A9" s="140"/>
      <c r="B9" s="144" t="s">
        <v>246</v>
      </c>
      <c r="C9" s="96" t="s">
        <v>159</v>
      </c>
      <c r="D9" s="145" t="n">
        <v>0.0529504866187396</v>
      </c>
    </row>
    <row r="10" customFormat="false" ht="19.4" hidden="false" customHeight="false" outlineLevel="0" collapsed="false">
      <c r="A10" s="140"/>
      <c r="B10" s="144" t="s">
        <v>247</v>
      </c>
      <c r="C10" s="96" t="s">
        <v>163</v>
      </c>
      <c r="D10" s="145" t="n">
        <v>0.0456507194552938</v>
      </c>
    </row>
    <row r="11" customFormat="false" ht="19.4" hidden="false" customHeight="false" outlineLevel="0" collapsed="false">
      <c r="A11" s="140"/>
      <c r="B11" s="144" t="s">
        <v>248</v>
      </c>
      <c r="C11" s="96" t="s">
        <v>213</v>
      </c>
      <c r="D11" s="145" t="n">
        <v>0.0216761223953879</v>
      </c>
    </row>
    <row r="12" customFormat="false" ht="19.4" hidden="false" customHeight="false" outlineLevel="0" collapsed="false">
      <c r="A12" s="140"/>
      <c r="B12" s="146" t="s">
        <v>29</v>
      </c>
      <c r="C12" s="96" t="s">
        <v>151</v>
      </c>
      <c r="D12" s="145" t="n">
        <v>0.47775902852124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29FCF"/>
    <pageSetUpPr fitToPage="false"/>
  </sheetPr>
  <dimension ref="A1:S79"/>
  <sheetViews>
    <sheetView showFormulas="false" showGridLines="true" showRowColHeaders="true" showZeros="true" rightToLeft="false" tabSelected="false" showOutlineSymbols="true" defaultGridColor="true" view="normal" topLeftCell="A34" colorId="64" zoomScale="120" zoomScaleNormal="120" zoomScalePageLayoutView="100" workbookViewId="0">
      <selection pane="topLeft" activeCell="H71" activeCellId="0" sqref="H71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26.51"/>
    <col collapsed="false" customWidth="true" hidden="false" outlineLevel="0" max="4" min="4" style="0" width="22.36"/>
  </cols>
  <sheetData>
    <row r="1" customFormat="false" ht="15" hidden="false" customHeight="false" outlineLevel="0" collapsed="false">
      <c r="A1" s="147"/>
      <c r="B1" s="2" t="s">
        <v>249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</row>
    <row r="2" customFormat="false" ht="12.8" hidden="false" customHeight="false" outlineLevel="0" collapsed="false">
      <c r="A2" s="147"/>
      <c r="B2" s="148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</row>
    <row r="3" customFormat="false" ht="12.8" hidden="false" customHeight="false" outlineLevel="0" collapsed="false">
      <c r="A3" s="147"/>
      <c r="B3" s="148" t="s">
        <v>250</v>
      </c>
      <c r="C3" s="147"/>
      <c r="D3" s="147"/>
      <c r="E3" s="147"/>
      <c r="F3" s="147" t="s">
        <v>251</v>
      </c>
      <c r="G3" s="147" t="s">
        <v>252</v>
      </c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</row>
    <row r="4" customFormat="false" ht="12.8" hidden="false" customHeight="false" outlineLevel="0" collapsed="false">
      <c r="A4" s="147"/>
      <c r="B4" s="148"/>
      <c r="C4" s="147"/>
      <c r="D4" s="149" t="s">
        <v>253</v>
      </c>
      <c r="E4" s="150"/>
      <c r="F4" s="151" t="n">
        <v>60</v>
      </c>
      <c r="G4" s="151" t="n">
        <v>10</v>
      </c>
      <c r="H4" s="147" t="s">
        <v>254</v>
      </c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customFormat="false" ht="12.8" hidden="false" customHeight="false" outlineLevel="0" collapsed="false">
      <c r="A5" s="147"/>
      <c r="B5" s="148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</row>
    <row r="6" customFormat="false" ht="12.8" hidden="false" customHeight="false" outlineLevel="0" collapsed="false">
      <c r="A6" s="147"/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customFormat="false" ht="12.8" hidden="false" customHeight="false" outlineLevel="0" collapsed="false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8" t="s">
        <v>255</v>
      </c>
      <c r="S7" s="148" t="s">
        <v>256</v>
      </c>
    </row>
    <row r="8" customFormat="false" ht="12.8" hidden="false" customHeight="false" outlineLevel="0" collapsed="false">
      <c r="A8" s="147"/>
      <c r="B8" s="148" t="s">
        <v>257</v>
      </c>
      <c r="C8" s="147"/>
      <c r="D8" s="147" t="s">
        <v>258</v>
      </c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8"/>
      <c r="S8" s="148" t="s">
        <v>259</v>
      </c>
    </row>
    <row r="9" customFormat="false" ht="12.8" hidden="false" customHeight="false" outlineLevel="0" collapsed="false">
      <c r="A9" s="147"/>
      <c r="B9" s="148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8"/>
      <c r="S9" s="148"/>
    </row>
    <row r="10" customFormat="false" ht="12.8" hidden="false" customHeight="false" outlineLevel="0" collapsed="false">
      <c r="A10" s="147"/>
      <c r="B10" s="148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 t="n">
        <v>0.01</v>
      </c>
      <c r="S10" s="147" t="n">
        <v>4.60517018598809</v>
      </c>
    </row>
    <row r="11" customFormat="false" ht="12.8" hidden="false" customHeight="false" outlineLevel="0" collapsed="false">
      <c r="A11" s="147"/>
      <c r="B11" s="148"/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 t="n">
        <v>0.05</v>
      </c>
      <c r="S11" s="147" t="n">
        <v>2.99573227355399</v>
      </c>
    </row>
    <row r="12" customFormat="false" ht="12.8" hidden="false" customHeight="false" outlineLevel="0" collapsed="false">
      <c r="A12" s="147"/>
      <c r="B12" s="148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 t="n">
        <v>0.1</v>
      </c>
      <c r="S12" s="147" t="n">
        <v>2.30258509299405</v>
      </c>
    </row>
    <row r="13" customFormat="false" ht="12.8" hidden="false" customHeight="false" outlineLevel="0" collapsed="false">
      <c r="A13" s="147"/>
      <c r="B13" s="148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 t="n">
        <v>0.15</v>
      </c>
      <c r="S13" s="147" t="n">
        <v>1.89711998488588</v>
      </c>
    </row>
    <row r="14" customFormat="false" ht="12.8" hidden="false" customHeight="false" outlineLevel="0" collapsed="false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 t="n">
        <v>0.2</v>
      </c>
      <c r="S14" s="147" t="n">
        <v>1.6094379124341</v>
      </c>
    </row>
    <row r="15" customFormat="false" ht="12.8" hidden="false" customHeight="false" outlineLevel="0" collapsed="false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 t="n">
        <v>0.25</v>
      </c>
      <c r="S15" s="147" t="n">
        <v>1.38629436111989</v>
      </c>
    </row>
    <row r="16" customFormat="false" ht="12.8" hidden="false" customHeight="false" outlineLevel="0" collapsed="false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 t="n">
        <v>0.3</v>
      </c>
      <c r="S16" s="147" t="n">
        <v>1.20397280432594</v>
      </c>
    </row>
    <row r="17" customFormat="false" ht="12.8" hidden="false" customHeight="false" outlineLevel="0" collapsed="false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 t="n">
        <v>0.35</v>
      </c>
      <c r="S17" s="147" t="n">
        <v>1.04982212449868</v>
      </c>
    </row>
    <row r="18" customFormat="false" ht="12.8" hidden="false" customHeight="false" outlineLevel="0" collapsed="false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 t="n">
        <v>0.4</v>
      </c>
      <c r="S18" s="147" t="n">
        <v>0.916290731874155</v>
      </c>
    </row>
    <row r="19" customFormat="false" ht="12.8" hidden="false" customHeight="false" outlineLevel="0" collapsed="false">
      <c r="A19" s="147"/>
      <c r="B19" s="147"/>
      <c r="C19" s="147"/>
      <c r="D19" s="147" t="s">
        <v>260</v>
      </c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 t="n">
        <v>0.45</v>
      </c>
      <c r="S19" s="147" t="n">
        <v>0.798507696217772</v>
      </c>
    </row>
    <row r="20" customFormat="false" ht="12.8" hidden="false" customHeight="false" outlineLevel="0" collapsed="false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 t="n">
        <v>0.5</v>
      </c>
      <c r="S20" s="147" t="n">
        <v>0.693147180559945</v>
      </c>
    </row>
    <row r="21" customFormat="false" ht="12.8" hidden="false" customHeight="false" outlineLevel="0" collapsed="false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 t="n">
        <v>0.55</v>
      </c>
      <c r="S21" s="147" t="n">
        <v>0.59783700075562</v>
      </c>
    </row>
    <row r="22" customFormat="false" ht="12.8" hidden="false" customHeight="false" outlineLevel="0" collapsed="false">
      <c r="A22" s="147"/>
      <c r="B22" s="148" t="s">
        <v>261</v>
      </c>
      <c r="C22" s="147"/>
      <c r="D22" s="147" t="s">
        <v>262</v>
      </c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 t="n">
        <v>0.6</v>
      </c>
      <c r="S22" s="147" t="n">
        <v>0.510825623765991</v>
      </c>
    </row>
    <row r="23" customFormat="false" ht="12.8" hidden="false" customHeight="false" outlineLevel="0" collapsed="false">
      <c r="A23" s="147"/>
      <c r="B23" s="147"/>
      <c r="C23" s="147"/>
      <c r="D23" s="147"/>
      <c r="E23" s="148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 t="n">
        <v>0.65</v>
      </c>
      <c r="S23" s="147" t="n">
        <v>0.430782916092454</v>
      </c>
    </row>
    <row r="24" customFormat="false" ht="12.8" hidden="false" customHeight="false" outlineLevel="0" collapsed="false">
      <c r="A24" s="147"/>
      <c r="B24" s="147"/>
      <c r="C24" s="147"/>
      <c r="D24" s="148" t="s">
        <v>263</v>
      </c>
      <c r="E24" s="152" t="s">
        <v>264</v>
      </c>
      <c r="F24" s="151" t="n">
        <v>0.00815368639667705</v>
      </c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 t="n">
        <v>0.7</v>
      </c>
      <c r="S24" s="147" t="n">
        <v>0.356674943938732</v>
      </c>
    </row>
    <row r="25" customFormat="false" ht="12.8" hidden="false" customHeight="false" outlineLevel="0" collapsed="false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 t="n">
        <v>0.75</v>
      </c>
      <c r="S25" s="147" t="n">
        <v>0.287682072451781</v>
      </c>
    </row>
    <row r="26" customFormat="false" ht="12.8" hidden="false" customHeight="false" outlineLevel="0" collapsed="false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 t="n">
        <v>0.8</v>
      </c>
      <c r="S26" s="147" t="n">
        <v>0.22314355131421</v>
      </c>
    </row>
    <row r="27" customFormat="false" ht="12.8" hidden="false" customHeight="false" outlineLevel="0" collapsed="false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 t="n">
        <v>0.85</v>
      </c>
      <c r="S27" s="147" t="n">
        <v>0.162518929497775</v>
      </c>
    </row>
    <row r="28" customFormat="false" ht="12.8" hidden="false" customHeight="false" outlineLevel="0" collapsed="false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 t="n">
        <v>0.9</v>
      </c>
      <c r="S28" s="147" t="n">
        <v>0.105360515657826</v>
      </c>
    </row>
    <row r="29" customFormat="false" ht="12.8" hidden="false" customHeight="false" outlineLevel="0" collapsed="false">
      <c r="A29" s="147"/>
      <c r="B29" s="148" t="s">
        <v>265</v>
      </c>
      <c r="C29" s="147"/>
      <c r="D29" s="147" t="s">
        <v>266</v>
      </c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 t="n">
        <v>0.95</v>
      </c>
      <c r="S29" s="147" t="n">
        <v>0.0512932943875506</v>
      </c>
    </row>
    <row r="30" customFormat="false" ht="12.8" hidden="false" customHeight="false" outlineLevel="0" collapsed="false">
      <c r="A30" s="147"/>
      <c r="B30" s="148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 t="n">
        <v>1</v>
      </c>
      <c r="S30" s="147" t="n">
        <v>0</v>
      </c>
    </row>
    <row r="31" customFormat="false" ht="12.8" hidden="false" customHeight="false" outlineLevel="0" collapsed="false">
      <c r="A31" s="147"/>
      <c r="B31" s="148"/>
      <c r="C31" s="147"/>
      <c r="D31" s="147" t="s">
        <v>267</v>
      </c>
      <c r="E31" s="147" t="s">
        <v>268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</row>
    <row r="32" customFormat="false" ht="12.8" hidden="false" customHeight="false" outlineLevel="0" collapsed="false">
      <c r="A32" s="147"/>
      <c r="B32" s="148"/>
      <c r="C32" s="147"/>
      <c r="D32" s="147"/>
      <c r="E32" s="147" t="s">
        <v>269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</row>
    <row r="33" customFormat="false" ht="12.8" hidden="false" customHeight="false" outlineLevel="0" collapsed="false">
      <c r="A33" s="147"/>
      <c r="B33" s="148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</row>
    <row r="34" customFormat="false" ht="12.8" hidden="false" customHeight="false" outlineLevel="0" collapsed="false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</row>
    <row r="35" customFormat="false" ht="12.8" hidden="false" customHeight="false" outlineLevel="0" collapsed="false">
      <c r="A35" s="147"/>
      <c r="B35" s="147"/>
      <c r="C35" s="147"/>
      <c r="D35" s="153" t="s">
        <v>270</v>
      </c>
      <c r="E35" s="153" t="s">
        <v>271</v>
      </c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</row>
    <row r="36" customFormat="false" ht="12.8" hidden="false" customHeight="false" outlineLevel="0" collapsed="false">
      <c r="A36" s="147"/>
      <c r="B36" s="147"/>
      <c r="C36" s="147"/>
      <c r="D36" s="154" t="s">
        <v>272</v>
      </c>
      <c r="E36" s="154" t="s">
        <v>94</v>
      </c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</row>
    <row r="37" customFormat="false" ht="12.8" hidden="false" customHeight="false" outlineLevel="0" collapsed="false">
      <c r="A37" s="147"/>
      <c r="B37" s="147"/>
      <c r="C37" s="147"/>
      <c r="D37" s="155" t="n">
        <v>0</v>
      </c>
      <c r="E37" s="156" t="n">
        <v>0</v>
      </c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</row>
    <row r="38" customFormat="false" ht="12.8" hidden="false" customHeight="false" outlineLevel="0" collapsed="false">
      <c r="A38" s="147"/>
      <c r="B38" s="147"/>
      <c r="C38" s="147"/>
      <c r="D38" s="152" t="n">
        <v>1</v>
      </c>
      <c r="E38" s="156" t="n">
        <v>1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</row>
    <row r="39" customFormat="false" ht="12.8" hidden="false" customHeight="false" outlineLevel="0" collapsed="false">
      <c r="A39" s="147"/>
      <c r="B39" s="147"/>
      <c r="C39" s="147"/>
      <c r="D39" s="152" t="n">
        <v>2</v>
      </c>
      <c r="E39" s="156" t="n">
        <v>1.52814569536424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</row>
    <row r="40" customFormat="false" ht="12.8" hidden="false" customHeight="false" outlineLevel="0" collapsed="false">
      <c r="A40" s="147"/>
      <c r="B40" s="147"/>
      <c r="C40" s="147"/>
      <c r="D40" s="152" t="n">
        <v>3</v>
      </c>
      <c r="E40" s="156" t="n">
        <v>1.69370860927152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</row>
    <row r="41" customFormat="false" ht="12.8" hidden="false" customHeight="false" outlineLevel="0" collapsed="false">
      <c r="A41" s="147"/>
      <c r="B41" s="147"/>
      <c r="C41" s="147"/>
      <c r="D41" s="152" t="n">
        <v>4</v>
      </c>
      <c r="E41" s="156" t="n">
        <v>1.98344370860927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</row>
    <row r="42" customFormat="false" ht="12.8" hidden="false" customHeight="false" outlineLevel="0" collapsed="false">
      <c r="A42" s="147"/>
      <c r="B42" s="147"/>
      <c r="C42" s="147"/>
      <c r="D42" s="152" t="n">
        <v>5</v>
      </c>
      <c r="E42" s="156" t="n">
        <v>2.09437086092715</v>
      </c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</row>
    <row r="43" customFormat="false" ht="12.8" hidden="false" customHeight="false" outlineLevel="0" collapsed="false">
      <c r="A43" s="147"/>
      <c r="B43" s="147"/>
      <c r="C43" s="96"/>
      <c r="D43" s="15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</row>
    <row r="44" customFormat="false" ht="12.8" hidden="false" customHeight="false" outlineLevel="0" collapsed="false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</row>
    <row r="45" customFormat="false" ht="12.8" hidden="false" customHeight="false" outlineLevel="0" collapsed="false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</row>
    <row r="46" customFormat="false" ht="12.8" hidden="false" customHeight="false" outlineLevel="0" collapsed="false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</row>
    <row r="47" customFormat="false" ht="12.8" hidden="false" customHeight="false" outlineLevel="0" collapsed="false">
      <c r="A47" s="147"/>
      <c r="B47" s="148" t="s">
        <v>273</v>
      </c>
      <c r="C47" s="147"/>
      <c r="D47" s="147" t="s">
        <v>274</v>
      </c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</row>
    <row r="48" customFormat="false" ht="12.8" hidden="false" customHeight="false" outlineLevel="0" collapsed="false">
      <c r="A48" s="147"/>
      <c r="B48" s="148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</row>
    <row r="49" customFormat="false" ht="12.8" hidden="false" customHeight="false" outlineLevel="0" collapsed="false">
      <c r="A49" s="147"/>
      <c r="B49" s="148"/>
      <c r="C49" s="147"/>
      <c r="D49" s="147" t="s">
        <v>275</v>
      </c>
      <c r="E49" s="147" t="s">
        <v>276</v>
      </c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</row>
    <row r="50" customFormat="false" ht="12.8" hidden="false" customHeight="false" outlineLevel="0" collapsed="false">
      <c r="A50" s="147"/>
      <c r="B50" s="148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</row>
    <row r="51" customFormat="false" ht="12.8" hidden="false" customHeight="false" outlineLevel="0" collapsed="false">
      <c r="A51" s="147"/>
      <c r="B51" s="148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</row>
    <row r="52" customFormat="false" ht="12.8" hidden="false" customHeight="false" outlineLevel="0" collapsed="false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</row>
    <row r="53" customFormat="false" ht="12.8" hidden="false" customHeight="false" outlineLevel="0" collapsed="false">
      <c r="A53" s="147"/>
      <c r="B53" s="153" t="s">
        <v>277</v>
      </c>
      <c r="C53" s="153" t="s">
        <v>278</v>
      </c>
      <c r="D53" s="153" t="s">
        <v>279</v>
      </c>
      <c r="E53" s="153" t="s">
        <v>280</v>
      </c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</row>
    <row r="54" customFormat="false" ht="12.8" hidden="false" customHeight="false" outlineLevel="0" collapsed="false">
      <c r="A54" s="147"/>
      <c r="B54" s="154" t="s">
        <v>281</v>
      </c>
      <c r="C54" s="154" t="s">
        <v>282</v>
      </c>
      <c r="D54" s="154" t="s">
        <v>282</v>
      </c>
      <c r="E54" s="154" t="s">
        <v>76</v>
      </c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</row>
    <row r="55" customFormat="false" ht="12.8" hidden="false" customHeight="false" outlineLevel="0" collapsed="false">
      <c r="A55" s="147"/>
      <c r="B55" s="152" t="n">
        <v>1</v>
      </c>
      <c r="C55" s="151" t="n">
        <v>1</v>
      </c>
      <c r="D55" s="151" t="n">
        <v>1</v>
      </c>
      <c r="E55" s="152" t="n">
        <v>0.111111111111111</v>
      </c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</row>
    <row r="56" customFormat="false" ht="12.8" hidden="false" customHeight="false" outlineLevel="0" collapsed="false">
      <c r="A56" s="147"/>
      <c r="B56" s="152" t="n">
        <v>2</v>
      </c>
      <c r="C56" s="151" t="n">
        <v>2</v>
      </c>
      <c r="D56" s="151" t="n">
        <v>2</v>
      </c>
      <c r="E56" s="152" t="n">
        <v>0.222222222222222</v>
      </c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customFormat="false" ht="12.8" hidden="false" customHeight="false" outlineLevel="0" collapsed="false">
      <c r="A57" s="147"/>
      <c r="B57" s="152" t="n">
        <v>3</v>
      </c>
      <c r="C57" s="151" t="n">
        <v>3</v>
      </c>
      <c r="D57" s="151" t="n">
        <v>4</v>
      </c>
      <c r="E57" s="152" t="n">
        <v>0.333333333333333</v>
      </c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customFormat="false" ht="12.8" hidden="false" customHeight="false" outlineLevel="0" collapsed="false">
      <c r="A58" s="147"/>
      <c r="B58" s="152" t="n">
        <v>4</v>
      </c>
      <c r="C58" s="151" t="n">
        <v>5</v>
      </c>
      <c r="D58" s="151" t="n">
        <v>8</v>
      </c>
      <c r="E58" s="152" t="n">
        <v>0.444444444444444</v>
      </c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customFormat="false" ht="12.8" hidden="false" customHeight="false" outlineLevel="0" collapsed="false">
      <c r="A59" s="147"/>
      <c r="B59" s="152" t="n">
        <v>5</v>
      </c>
      <c r="C59" s="151" t="n">
        <v>9</v>
      </c>
      <c r="D59" s="151" t="n">
        <v>16</v>
      </c>
      <c r="E59" s="152" t="n">
        <v>0.555555555555556</v>
      </c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customFormat="false" ht="12.8" hidden="false" customHeight="false" outlineLevel="0" collapsed="false">
      <c r="A60" s="147"/>
      <c r="B60" s="152" t="n">
        <v>6</v>
      </c>
      <c r="C60" s="151" t="n">
        <v>17</v>
      </c>
      <c r="D60" s="151" t="n">
        <v>27</v>
      </c>
      <c r="E60" s="152" t="n">
        <v>0.666666666666667</v>
      </c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customFormat="false" ht="12.8" hidden="false" customHeight="false" outlineLevel="0" collapsed="false">
      <c r="A61" s="147"/>
      <c r="B61" s="152" t="n">
        <v>7</v>
      </c>
      <c r="C61" s="151" t="n">
        <v>28</v>
      </c>
      <c r="D61" s="151" t="n">
        <v>49</v>
      </c>
      <c r="E61" s="152" t="n">
        <v>0.777777777777778</v>
      </c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customFormat="false" ht="12.8" hidden="false" customHeight="false" outlineLevel="0" collapsed="false">
      <c r="A62" s="147"/>
      <c r="B62" s="152" t="n">
        <v>8</v>
      </c>
      <c r="C62" s="151" t="n">
        <v>50</v>
      </c>
      <c r="D62" s="151" t="n">
        <v>91</v>
      </c>
      <c r="E62" s="152" t="n">
        <v>0.888888888888889</v>
      </c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customFormat="false" ht="12.8" hidden="false" customHeight="false" outlineLevel="0" collapsed="false">
      <c r="A63" s="147"/>
      <c r="B63" s="152" t="n">
        <v>9</v>
      </c>
      <c r="C63" s="151" t="n">
        <v>92</v>
      </c>
      <c r="D63" s="151" t="n">
        <v>259</v>
      </c>
      <c r="E63" s="152" t="n">
        <v>1</v>
      </c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customFormat="false" ht="12.8" hidden="false" customHeight="false" outlineLevel="0" collapsed="false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customFormat="false" ht="12.8" hidden="false" customHeight="false" outlineLevel="0" collapsed="false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7" customFormat="false" ht="12.8" hidden="false" customHeight="false" outlineLevel="0" collapsed="false">
      <c r="B67" s="148" t="s">
        <v>283</v>
      </c>
      <c r="D67" s="0" t="s">
        <v>284</v>
      </c>
    </row>
    <row r="68" customFormat="false" ht="12.8" hidden="false" customHeight="false" outlineLevel="0" collapsed="false">
      <c r="G68" s="0" t="s">
        <v>285</v>
      </c>
    </row>
    <row r="70" customFormat="false" ht="12.8" hidden="false" customHeight="false" outlineLevel="0" collapsed="false">
      <c r="C70" s="0" t="s">
        <v>286</v>
      </c>
      <c r="D70" s="0" t="n">
        <v>25.11</v>
      </c>
    </row>
    <row r="71" customFormat="false" ht="12.8" hidden="false" customHeight="false" outlineLevel="0" collapsed="false">
      <c r="C71" s="0" t="s">
        <v>287</v>
      </c>
      <c r="D71" s="158" t="n">
        <v>15.92</v>
      </c>
    </row>
    <row r="74" customFormat="false" ht="12.8" hidden="false" customHeight="false" outlineLevel="0" collapsed="false">
      <c r="B74" s="148" t="s">
        <v>288</v>
      </c>
      <c r="D74" s="0" t="s">
        <v>289</v>
      </c>
    </row>
    <row r="76" customFormat="false" ht="12.8" hidden="false" customHeight="false" outlineLevel="0" collapsed="false">
      <c r="D76" s="0" t="s">
        <v>290</v>
      </c>
      <c r="E76" s="0" t="s">
        <v>291</v>
      </c>
    </row>
    <row r="77" customFormat="false" ht="12.8" hidden="false" customHeight="false" outlineLevel="0" collapsed="false">
      <c r="C77" s="0" t="s">
        <v>292</v>
      </c>
      <c r="D77" s="0" t="n">
        <v>0.65</v>
      </c>
      <c r="E77" s="0" t="n">
        <v>7</v>
      </c>
    </row>
    <row r="78" customFormat="false" ht="12.8" hidden="false" customHeight="false" outlineLevel="0" collapsed="false">
      <c r="C78" s="0" t="s">
        <v>293</v>
      </c>
      <c r="D78" s="158" t="n">
        <v>0.25</v>
      </c>
      <c r="E78" s="0" t="n">
        <v>14</v>
      </c>
    </row>
    <row r="79" customFormat="false" ht="12.8" hidden="false" customHeight="false" outlineLevel="0" collapsed="false">
      <c r="C79" s="0" t="s">
        <v>294</v>
      </c>
      <c r="D79" s="0" t="n">
        <v>0.1</v>
      </c>
      <c r="E79" s="0" t="n"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E480A"/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6" activeCellId="0" sqref="D16"/>
    </sheetView>
  </sheetViews>
  <sheetFormatPr defaultColWidth="11.625" defaultRowHeight="12.8" zeroHeight="false" outlineLevelRow="0" outlineLevelCol="0"/>
  <sheetData>
    <row r="1" customFormat="false" ht="15" hidden="false" customHeight="false" outlineLevel="0" collapsed="false">
      <c r="A1" s="159" t="s">
        <v>295</v>
      </c>
      <c r="B1" s="159"/>
      <c r="E1" s="160" t="s">
        <v>296</v>
      </c>
      <c r="M1" s="161"/>
      <c r="N1" s="161"/>
    </row>
    <row r="2" customFormat="false" ht="57.45" hidden="false" customHeight="false" outlineLevel="0" collapsed="false">
      <c r="A2" s="162" t="s">
        <v>297</v>
      </c>
      <c r="B2" s="162" t="s">
        <v>298</v>
      </c>
      <c r="C2" s="162" t="s">
        <v>299</v>
      </c>
      <c r="D2" s="162" t="s">
        <v>300</v>
      </c>
      <c r="E2" s="162" t="s">
        <v>301</v>
      </c>
      <c r="F2" s="162" t="s">
        <v>302</v>
      </c>
      <c r="G2" s="162" t="s">
        <v>303</v>
      </c>
      <c r="H2" s="162" t="s">
        <v>304</v>
      </c>
      <c r="I2" s="162" t="s">
        <v>305</v>
      </c>
      <c r="J2" s="162" t="s">
        <v>306</v>
      </c>
      <c r="K2" s="162" t="s">
        <v>307</v>
      </c>
      <c r="L2" s="162" t="s">
        <v>308</v>
      </c>
      <c r="M2" s="163" t="s">
        <v>309</v>
      </c>
      <c r="N2" s="163" t="s">
        <v>310</v>
      </c>
      <c r="O2" s="162" t="s">
        <v>311</v>
      </c>
      <c r="P2" s="162" t="s">
        <v>312</v>
      </c>
    </row>
    <row r="3" customFormat="false" ht="12.8" hidden="false" customHeight="false" outlineLevel="0" collapsed="false">
      <c r="A3" s="164"/>
      <c r="B3" s="164"/>
      <c r="C3" s="164"/>
      <c r="D3" s="164" t="s">
        <v>313</v>
      </c>
      <c r="E3" s="164"/>
      <c r="F3" s="165" t="s">
        <v>314</v>
      </c>
      <c r="G3" s="165"/>
      <c r="H3" s="165"/>
      <c r="I3" s="165" t="s">
        <v>315</v>
      </c>
      <c r="J3" s="165" t="s">
        <v>316</v>
      </c>
      <c r="K3" s="165" t="s">
        <v>317</v>
      </c>
      <c r="L3" s="165" t="s">
        <v>318</v>
      </c>
      <c r="M3" s="165" t="s">
        <v>319</v>
      </c>
      <c r="N3" s="165" t="s">
        <v>320</v>
      </c>
      <c r="O3" s="165" t="s">
        <v>315</v>
      </c>
      <c r="P3" s="165" t="s">
        <v>316</v>
      </c>
    </row>
    <row r="4" customFormat="false" ht="12.8" hidden="false" customHeight="false" outlineLevel="0" collapsed="false">
      <c r="A4" s="166"/>
      <c r="B4" s="166"/>
      <c r="C4" s="166"/>
      <c r="D4" s="166"/>
      <c r="E4" s="167"/>
      <c r="F4" s="166" t="s">
        <v>321</v>
      </c>
      <c r="G4" s="166" t="s">
        <v>322</v>
      </c>
      <c r="H4" s="166" t="s">
        <v>323</v>
      </c>
      <c r="I4" s="166" t="s">
        <v>324</v>
      </c>
      <c r="J4" s="166" t="s">
        <v>323</v>
      </c>
      <c r="K4" s="166" t="s">
        <v>323</v>
      </c>
      <c r="L4" s="166" t="s">
        <v>323</v>
      </c>
      <c r="M4" s="166" t="s">
        <v>325</v>
      </c>
      <c r="N4" s="166" t="s">
        <v>326</v>
      </c>
      <c r="O4" s="166" t="s">
        <v>324</v>
      </c>
      <c r="P4" s="166" t="s">
        <v>323</v>
      </c>
    </row>
    <row r="5" s="170" customFormat="true" ht="12.8" hidden="false" customHeight="false" outlineLevel="0" collapsed="false">
      <c r="A5" s="168"/>
      <c r="B5" s="169" t="s">
        <v>118</v>
      </c>
      <c r="C5" s="168" t="s">
        <v>116</v>
      </c>
      <c r="D5" s="168" t="s">
        <v>327</v>
      </c>
      <c r="E5" s="169" t="s">
        <v>328</v>
      </c>
      <c r="F5" s="169" t="s">
        <v>329</v>
      </c>
      <c r="G5" s="168"/>
      <c r="H5" s="169" t="s">
        <v>330</v>
      </c>
      <c r="I5" s="168"/>
      <c r="J5" s="169" t="s">
        <v>331</v>
      </c>
      <c r="K5" s="169" t="s">
        <v>332</v>
      </c>
      <c r="L5" s="169" t="s">
        <v>333</v>
      </c>
      <c r="M5" s="169" t="s">
        <v>334</v>
      </c>
      <c r="N5" s="169" t="s">
        <v>335</v>
      </c>
      <c r="O5" s="168"/>
      <c r="P5" s="169" t="s">
        <v>336</v>
      </c>
      <c r="AMJ5" s="0"/>
    </row>
    <row r="6" customFormat="false" ht="12.8" hidden="false" customHeight="false" outlineLevel="0" collapsed="false">
      <c r="A6" s="0" t="n">
        <v>1</v>
      </c>
      <c r="B6" s="171" t="n">
        <v>0.5</v>
      </c>
      <c r="C6" s="94" t="s">
        <v>337</v>
      </c>
      <c r="D6" s="172" t="n">
        <f aca="false">FALSE()</f>
        <v>0</v>
      </c>
      <c r="E6" s="94" t="s">
        <v>338</v>
      </c>
      <c r="F6" s="0" t="n">
        <v>2.61</v>
      </c>
      <c r="G6" s="0" t="n">
        <v>40</v>
      </c>
      <c r="H6" s="0" t="n">
        <f aca="false">F6/3600*G6*10^6</f>
        <v>29000</v>
      </c>
      <c r="I6" s="173" t="n">
        <v>0.75</v>
      </c>
      <c r="J6" s="0" t="n">
        <f aca="false">H6*I6</f>
        <v>21750</v>
      </c>
      <c r="K6" s="0" t="n">
        <v>10</v>
      </c>
      <c r="L6" s="0" t="n">
        <v>20</v>
      </c>
      <c r="M6" s="164" t="n">
        <v>125</v>
      </c>
      <c r="N6" s="174" t="n">
        <v>1.5</v>
      </c>
      <c r="O6" s="173" t="n">
        <v>0.75</v>
      </c>
      <c r="P6" s="0" t="n">
        <f aca="false">H6*O6</f>
        <v>21750</v>
      </c>
    </row>
    <row r="7" customFormat="false" ht="12.8" hidden="false" customHeight="false" outlineLevel="0" collapsed="false">
      <c r="A7" s="0" t="n">
        <v>2</v>
      </c>
      <c r="B7" s="171" t="n">
        <v>0</v>
      </c>
      <c r="C7" s="94" t="s">
        <v>339</v>
      </c>
      <c r="D7" s="172" t="n">
        <f aca="false">TRUE()</f>
        <v>1</v>
      </c>
      <c r="E7" s="94" t="s">
        <v>338</v>
      </c>
      <c r="F7" s="0" t="n">
        <v>2.61</v>
      </c>
      <c r="G7" s="0" t="n">
        <v>40</v>
      </c>
      <c r="H7" s="0" t="n">
        <f aca="false">F7/3600*G7*10^6</f>
        <v>29000</v>
      </c>
      <c r="I7" s="173" t="n">
        <v>0.75</v>
      </c>
      <c r="J7" s="0" t="n">
        <f aca="false">H7*I7</f>
        <v>21750</v>
      </c>
      <c r="K7" s="0" t="n">
        <v>10</v>
      </c>
      <c r="L7" s="0" t="n">
        <v>20</v>
      </c>
      <c r="M7" s="164" t="n">
        <v>5</v>
      </c>
      <c r="N7" s="174" t="n">
        <v>0.5</v>
      </c>
      <c r="O7" s="173" t="n">
        <v>0.75</v>
      </c>
      <c r="P7" s="0" t="n">
        <f aca="false">H7*O7</f>
        <v>21750</v>
      </c>
    </row>
    <row r="8" customFormat="false" ht="12.8" hidden="false" customHeight="false" outlineLevel="0" collapsed="false">
      <c r="A8" s="0" t="n">
        <v>3</v>
      </c>
      <c r="B8" s="171" t="n">
        <v>0</v>
      </c>
      <c r="C8" s="94" t="s">
        <v>340</v>
      </c>
      <c r="D8" s="172" t="n">
        <f aca="false">FALSE()</f>
        <v>0</v>
      </c>
      <c r="E8" s="94" t="s">
        <v>338</v>
      </c>
      <c r="F8" s="0" t="n">
        <v>1.64</v>
      </c>
      <c r="G8" s="0" t="n">
        <v>40</v>
      </c>
      <c r="H8" s="0" t="n">
        <f aca="false">F8/3600*G8*10^6</f>
        <v>18222.2222222222</v>
      </c>
      <c r="I8" s="173" t="n">
        <v>0.75</v>
      </c>
      <c r="J8" s="0" t="n">
        <f aca="false">H8*I8</f>
        <v>13666.6666666667</v>
      </c>
      <c r="K8" s="0" t="n">
        <v>10</v>
      </c>
      <c r="L8" s="0" t="n">
        <v>20</v>
      </c>
      <c r="M8" s="164" t="n">
        <v>125</v>
      </c>
      <c r="N8" s="174" t="n">
        <v>1.5</v>
      </c>
      <c r="O8" s="173" t="n">
        <v>0.75</v>
      </c>
      <c r="P8" s="0" t="n">
        <f aca="false">H8*O8</f>
        <v>13666.6666666667</v>
      </c>
    </row>
    <row r="9" customFormat="false" ht="12.8" hidden="false" customHeight="false" outlineLevel="0" collapsed="false">
      <c r="A9" s="0" t="n">
        <v>4</v>
      </c>
      <c r="B9" s="171" t="n">
        <v>0</v>
      </c>
      <c r="C9" s="94" t="s">
        <v>341</v>
      </c>
      <c r="D9" s="172" t="n">
        <f aca="false">FALSE()</f>
        <v>0</v>
      </c>
      <c r="E9" s="94" t="s">
        <v>342</v>
      </c>
      <c r="F9" s="175" t="n">
        <v>0</v>
      </c>
      <c r="G9" s="175" t="n">
        <v>3.6</v>
      </c>
      <c r="H9" s="0" t="n">
        <f aca="false">F9/3600*G9*10^6</f>
        <v>0</v>
      </c>
      <c r="I9" s="173" t="n">
        <v>0</v>
      </c>
      <c r="J9" s="0" t="n">
        <f aca="false">H9*I9</f>
        <v>0</v>
      </c>
      <c r="K9" s="175" t="n">
        <v>0</v>
      </c>
      <c r="L9" s="175" t="n">
        <v>0</v>
      </c>
      <c r="M9" s="164" t="n">
        <v>5</v>
      </c>
      <c r="N9" s="174" t="n">
        <v>0.5</v>
      </c>
      <c r="O9" s="173" t="n">
        <v>0</v>
      </c>
      <c r="P9" s="0" t="n">
        <f aca="false">H9*O9</f>
        <v>0</v>
      </c>
    </row>
    <row r="10" customFormat="false" ht="12.8" hidden="false" customHeight="false" outlineLevel="0" collapsed="false">
      <c r="A10" s="0" t="n">
        <v>5</v>
      </c>
      <c r="B10" s="176" t="n">
        <v>0</v>
      </c>
      <c r="C10" s="94" t="s">
        <v>343</v>
      </c>
      <c r="D10" s="172" t="n">
        <f aca="false">FALSE()</f>
        <v>0</v>
      </c>
      <c r="E10" s="94" t="s">
        <v>342</v>
      </c>
      <c r="F10" s="175" t="n">
        <v>2</v>
      </c>
      <c r="G10" s="175" t="n">
        <v>3.6</v>
      </c>
      <c r="H10" s="0" t="n">
        <f aca="false">F10/3600*G10*10^6</f>
        <v>2000</v>
      </c>
      <c r="I10" s="0" t="n">
        <v>1</v>
      </c>
      <c r="J10" s="0" t="n">
        <f aca="false">H10*I10</f>
        <v>2000</v>
      </c>
      <c r="K10" s="175" t="n">
        <v>0</v>
      </c>
      <c r="L10" s="0" t="n">
        <v>20</v>
      </c>
      <c r="M10" s="164" t="n">
        <v>50</v>
      </c>
      <c r="N10" s="174" t="n">
        <v>0.5</v>
      </c>
      <c r="O10" s="0" t="n">
        <v>1</v>
      </c>
      <c r="P10" s="0" t="n">
        <f aca="false">H10*O10</f>
        <v>2000</v>
      </c>
    </row>
    <row r="11" customFormat="false" ht="12.8" hidden="false" customHeight="false" outlineLevel="0" collapsed="false">
      <c r="A11" s="0" t="n">
        <v>6</v>
      </c>
      <c r="B11" s="176" t="n">
        <v>0.5</v>
      </c>
      <c r="C11" s="94" t="s">
        <v>344</v>
      </c>
      <c r="D11" s="172" t="n">
        <f aca="false">FALSE()</f>
        <v>0</v>
      </c>
      <c r="E11" s="94" t="s">
        <v>342</v>
      </c>
      <c r="F11" s="175" t="n">
        <v>1.5</v>
      </c>
      <c r="G11" s="175" t="n">
        <v>3.6</v>
      </c>
      <c r="H11" s="0" t="n">
        <f aca="false">F11/3600*G11*10^6</f>
        <v>1500</v>
      </c>
      <c r="I11" s="0" t="n">
        <v>2.4</v>
      </c>
      <c r="J11" s="0" t="n">
        <f aca="false">H11*I11</f>
        <v>3600</v>
      </c>
      <c r="K11" s="175" t="n">
        <v>0</v>
      </c>
      <c r="L11" s="0" t="n">
        <v>20</v>
      </c>
      <c r="M11" s="164" t="n">
        <v>50</v>
      </c>
      <c r="N11" s="174" t="n">
        <v>0.5</v>
      </c>
      <c r="O11" s="0" t="n">
        <v>3.95</v>
      </c>
      <c r="P11" s="0" t="n">
        <f aca="false">H11*O11</f>
        <v>5925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E480A"/>
    <pageSetUpPr fitToPage="false"/>
  </sheetPr>
  <dimension ref="A1:T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18" activeCellId="0" sqref="Q18"/>
    </sheetView>
  </sheetViews>
  <sheetFormatPr defaultColWidth="11.625" defaultRowHeight="12.8" zeroHeight="false" outlineLevelRow="0" outlineLevelCol="0"/>
  <cols>
    <col collapsed="false" customWidth="true" hidden="false" outlineLevel="0" max="3" min="3" style="0" width="15.84"/>
  </cols>
  <sheetData>
    <row r="1" customFormat="false" ht="15" hidden="false" customHeight="false" outlineLevel="0" collapsed="false">
      <c r="A1" s="159" t="s">
        <v>345</v>
      </c>
      <c r="B1" s="159"/>
      <c r="C1" s="159"/>
      <c r="E1" s="160" t="s">
        <v>346</v>
      </c>
    </row>
    <row r="2" customFormat="false" ht="169.4" hidden="false" customHeight="false" outlineLevel="0" collapsed="false">
      <c r="A2" s="162" t="s">
        <v>347</v>
      </c>
      <c r="B2" s="162" t="s">
        <v>348</v>
      </c>
      <c r="C2" s="162" t="s">
        <v>349</v>
      </c>
      <c r="D2" s="162" t="s">
        <v>350</v>
      </c>
      <c r="E2" s="162" t="s">
        <v>351</v>
      </c>
      <c r="F2" s="162" t="s">
        <v>352</v>
      </c>
      <c r="G2" s="162" t="s">
        <v>353</v>
      </c>
      <c r="H2" s="162" t="s">
        <v>354</v>
      </c>
      <c r="I2" s="162" t="s">
        <v>355</v>
      </c>
      <c r="J2" s="162" t="s">
        <v>356</v>
      </c>
      <c r="K2" s="162" t="s">
        <v>357</v>
      </c>
      <c r="L2" s="162" t="s">
        <v>358</v>
      </c>
      <c r="M2" s="162" t="s">
        <v>359</v>
      </c>
      <c r="N2" s="162" t="s">
        <v>360</v>
      </c>
      <c r="O2" s="162" t="s">
        <v>361</v>
      </c>
      <c r="P2" s="162" t="s">
        <v>362</v>
      </c>
      <c r="Q2" s="162" t="s">
        <v>363</v>
      </c>
      <c r="R2" s="162" t="s">
        <v>364</v>
      </c>
      <c r="S2" s="162" t="s">
        <v>365</v>
      </c>
      <c r="T2" s="162" t="s">
        <v>366</v>
      </c>
    </row>
    <row r="3" customFormat="false" ht="12.8" hidden="false" customHeight="false" outlineLevel="0" collapsed="false">
      <c r="A3" s="177"/>
      <c r="B3" s="177"/>
      <c r="C3" s="177"/>
      <c r="D3" s="178" t="s">
        <v>367</v>
      </c>
      <c r="E3" s="178" t="s">
        <v>368</v>
      </c>
      <c r="F3" s="178" t="s">
        <v>369</v>
      </c>
      <c r="G3" s="178" t="s">
        <v>370</v>
      </c>
      <c r="H3" s="178" t="s">
        <v>371</v>
      </c>
      <c r="I3" s="178" t="s">
        <v>372</v>
      </c>
      <c r="J3" s="178" t="s">
        <v>373</v>
      </c>
      <c r="K3" s="178" t="s">
        <v>374</v>
      </c>
      <c r="L3" s="178" t="s">
        <v>375</v>
      </c>
      <c r="M3" s="165" t="s">
        <v>376</v>
      </c>
      <c r="N3" s="178" t="s">
        <v>377</v>
      </c>
      <c r="O3" s="178" t="s">
        <v>378</v>
      </c>
      <c r="P3" s="178" t="s">
        <v>379</v>
      </c>
      <c r="Q3" s="178" t="s">
        <v>380</v>
      </c>
      <c r="R3" s="177"/>
      <c r="S3" s="178" t="s">
        <v>378</v>
      </c>
      <c r="T3" s="177"/>
    </row>
    <row r="4" customFormat="false" ht="12.8" hidden="false" customHeight="false" outlineLevel="0" collapsed="false">
      <c r="A4" s="179"/>
      <c r="B4" s="179"/>
      <c r="C4" s="179"/>
      <c r="D4" s="179" t="s">
        <v>381</v>
      </c>
      <c r="E4" s="179" t="s">
        <v>381</v>
      </c>
      <c r="F4" s="179" t="s">
        <v>382</v>
      </c>
      <c r="G4" s="179" t="s">
        <v>382</v>
      </c>
      <c r="H4" s="179" t="s">
        <v>383</v>
      </c>
      <c r="I4" s="179" t="s">
        <v>384</v>
      </c>
      <c r="J4" s="179" t="s">
        <v>383</v>
      </c>
      <c r="K4" s="179" t="s">
        <v>385</v>
      </c>
      <c r="L4" s="179" t="s">
        <v>381</v>
      </c>
      <c r="M4" s="179" t="s">
        <v>323</v>
      </c>
      <c r="N4" s="179" t="s">
        <v>386</v>
      </c>
      <c r="O4" s="179" t="s">
        <v>381</v>
      </c>
      <c r="P4" s="179" t="s">
        <v>387</v>
      </c>
      <c r="Q4" s="179" t="s">
        <v>382</v>
      </c>
      <c r="R4" s="179"/>
      <c r="S4" s="179" t="s">
        <v>381</v>
      </c>
      <c r="T4" s="179"/>
    </row>
    <row r="5" s="170" customFormat="true" ht="12.8" hidden="false" customHeight="false" outlineLevel="0" collapsed="false">
      <c r="A5" s="168"/>
      <c r="B5" s="169" t="s">
        <v>118</v>
      </c>
      <c r="C5" s="180" t="s">
        <v>116</v>
      </c>
      <c r="D5" s="169" t="s">
        <v>388</v>
      </c>
      <c r="E5" s="169" t="s">
        <v>389</v>
      </c>
      <c r="F5" s="169" t="s">
        <v>390</v>
      </c>
      <c r="G5" s="169" t="s">
        <v>391</v>
      </c>
      <c r="H5" s="169" t="s">
        <v>392</v>
      </c>
      <c r="I5" s="168"/>
      <c r="J5" s="169" t="s">
        <v>393</v>
      </c>
      <c r="K5" s="169" t="s">
        <v>394</v>
      </c>
      <c r="L5" s="169" t="s">
        <v>395</v>
      </c>
      <c r="M5" s="168"/>
      <c r="N5" s="169" t="s">
        <v>396</v>
      </c>
      <c r="O5" s="169" t="s">
        <v>397</v>
      </c>
      <c r="P5" s="168"/>
      <c r="Q5" s="169" t="s">
        <v>398</v>
      </c>
      <c r="R5" s="168"/>
      <c r="S5" s="168"/>
      <c r="T5" s="168"/>
    </row>
    <row r="6" customFormat="false" ht="12.8" hidden="false" customHeight="false" outlineLevel="0" collapsed="false">
      <c r="A6" s="0" t="n">
        <v>1</v>
      </c>
      <c r="B6" s="171" t="n">
        <v>0</v>
      </c>
      <c r="C6" s="94" t="s">
        <v>399</v>
      </c>
      <c r="D6" s="181" t="n">
        <v>437.514557432946</v>
      </c>
      <c r="E6" s="181" t="n">
        <v>370.638553933676</v>
      </c>
      <c r="F6" s="181" t="n">
        <v>22638446.3889302</v>
      </c>
      <c r="G6" s="181" t="n">
        <v>1024813.83952572</v>
      </c>
      <c r="H6" s="181" t="n">
        <v>4.16002382044038</v>
      </c>
      <c r="I6" s="0" t="n">
        <v>1</v>
      </c>
      <c r="J6" s="0" t="n">
        <v>136</v>
      </c>
      <c r="K6" s="0" t="n">
        <v>4.2</v>
      </c>
      <c r="L6" s="182" t="n">
        <v>73.6447452458528</v>
      </c>
      <c r="M6" s="0" t="n">
        <f aca="false">(1/(1/D6+1/E6)+L6)*(20--2)</f>
        <v>6034.58895989596</v>
      </c>
      <c r="N6" s="0" t="n">
        <v>50</v>
      </c>
      <c r="O6" s="0" t="n">
        <f aca="false">M6/(N6-20)</f>
        <v>201.152965329865</v>
      </c>
      <c r="P6" s="0" t="n">
        <f aca="false">14*M6/1000</f>
        <v>84.4842454385434</v>
      </c>
      <c r="Q6" s="0" t="n">
        <f aca="false">P6*4200</f>
        <v>354833.830841882</v>
      </c>
      <c r="R6" s="0" t="n">
        <v>0</v>
      </c>
      <c r="S6" s="0" t="n">
        <f aca="false">(1/(1/D6+1/E6)+L6)*(50-25)/(25-R6)</f>
        <v>274.299498177089</v>
      </c>
      <c r="T6" s="0" t="n">
        <f aca="false">S6*(50-25)/(25-R6)*60</f>
        <v>16457.9698906253</v>
      </c>
    </row>
    <row r="7" customFormat="false" ht="12.8" hidden="false" customHeight="false" outlineLevel="0" collapsed="false">
      <c r="A7" s="0" t="n">
        <v>2</v>
      </c>
      <c r="B7" s="171" t="n">
        <v>0</v>
      </c>
      <c r="C7" s="94" t="s">
        <v>400</v>
      </c>
      <c r="D7" s="181" t="n">
        <v>128.707768634182</v>
      </c>
      <c r="E7" s="181" t="n">
        <v>272.232068850149</v>
      </c>
      <c r="F7" s="181" t="n">
        <v>24646439.5911177</v>
      </c>
      <c r="G7" s="181" t="n">
        <v>917297.170672342</v>
      </c>
      <c r="H7" s="181" t="n">
        <v>4.4941882532924</v>
      </c>
      <c r="I7" s="0" t="n">
        <v>0.4</v>
      </c>
      <c r="J7" s="0" t="n">
        <v>136</v>
      </c>
      <c r="K7" s="0" t="n">
        <v>4.2</v>
      </c>
      <c r="L7" s="182" t="n">
        <v>74.4298766184265</v>
      </c>
      <c r="M7" s="0" t="n">
        <f aca="false">(1/(1/D7+1/E7)+L7)*(20--2)</f>
        <v>3560.05098881218</v>
      </c>
      <c r="N7" s="0" t="n">
        <v>50</v>
      </c>
      <c r="O7" s="0" t="n">
        <f aca="false">M7/(N7-20)</f>
        <v>118.668366293739</v>
      </c>
      <c r="P7" s="0" t="n">
        <f aca="false">14*M7/1000</f>
        <v>49.8407138433706</v>
      </c>
      <c r="Q7" s="0" t="n">
        <f aca="false">P7*4200</f>
        <v>209330.998142156</v>
      </c>
      <c r="R7" s="0" t="n">
        <v>0</v>
      </c>
      <c r="S7" s="0" t="n">
        <f aca="false">(1/(1/D7+1/E7)+L7)*(50-25)/(25-R7)</f>
        <v>161.820499491463</v>
      </c>
      <c r="T7" s="0" t="n">
        <f aca="false">S7*(50-25)/(25-R7)*60</f>
        <v>9709.22996948777</v>
      </c>
    </row>
    <row r="8" customFormat="false" ht="12.8" hidden="false" customHeight="false" outlineLevel="0" collapsed="false">
      <c r="A8" s="0" t="n">
        <v>3</v>
      </c>
      <c r="B8" s="171" t="n">
        <v>0</v>
      </c>
      <c r="C8" s="94" t="s">
        <v>401</v>
      </c>
      <c r="D8" s="181" t="n">
        <v>247.598545563978</v>
      </c>
      <c r="E8" s="181" t="n">
        <v>298.909059214319</v>
      </c>
      <c r="F8" s="181" t="n">
        <v>12876155.3843281</v>
      </c>
      <c r="G8" s="181" t="n">
        <v>409007.990211524</v>
      </c>
      <c r="H8" s="181" t="n">
        <v>4.26995602105389</v>
      </c>
      <c r="I8" s="0" t="n">
        <v>1</v>
      </c>
      <c r="J8" s="0" t="n">
        <v>87</v>
      </c>
      <c r="K8" s="0" t="n">
        <v>4.2</v>
      </c>
      <c r="L8" s="182" t="n">
        <v>46.6839723300635</v>
      </c>
      <c r="M8" s="0" t="n">
        <f aca="false">(1/(1/D8+1/E8)+L8)*(20--2)</f>
        <v>4006.34328530937</v>
      </c>
      <c r="N8" s="0" t="n">
        <v>50</v>
      </c>
      <c r="O8" s="0" t="n">
        <f aca="false">M8/(N8-20)</f>
        <v>133.544776176979</v>
      </c>
      <c r="P8" s="0" t="n">
        <f aca="false">14*M8/1000</f>
        <v>56.0888059943312</v>
      </c>
      <c r="Q8" s="0" t="n">
        <f aca="false">P8*4200</f>
        <v>235572.985176191</v>
      </c>
      <c r="R8" s="0" t="n">
        <v>0</v>
      </c>
      <c r="S8" s="0" t="n">
        <f aca="false">(1/(1/D8+1/E8)+L8)*(50-25)/(25-R8)</f>
        <v>182.106512968608</v>
      </c>
      <c r="T8" s="0" t="n">
        <f aca="false">S8*(50-25)/(25-R8)*60</f>
        <v>10926.3907781165</v>
      </c>
    </row>
    <row r="9" customFormat="false" ht="12.8" hidden="false" customHeight="false" outlineLevel="0" collapsed="false">
      <c r="A9" s="0" t="n">
        <v>4</v>
      </c>
      <c r="B9" s="171" t="n">
        <v>1</v>
      </c>
      <c r="C9" s="94" t="s">
        <v>402</v>
      </c>
      <c r="D9" s="181" t="n">
        <v>216.365760825381</v>
      </c>
      <c r="E9" s="181" t="n">
        <v>301.571530530593</v>
      </c>
      <c r="F9" s="181" t="n">
        <v>15647706.9148071</v>
      </c>
      <c r="G9" s="181" t="n">
        <v>530743.762112263</v>
      </c>
      <c r="H9" s="181" t="n">
        <v>5.4558682137324</v>
      </c>
      <c r="I9" s="0" t="n">
        <v>0.4</v>
      </c>
      <c r="J9" s="0" t="n">
        <v>87</v>
      </c>
      <c r="K9" s="0" t="n">
        <v>4.2</v>
      </c>
      <c r="L9" s="182" t="n">
        <v>10.4694892031851</v>
      </c>
      <c r="M9" s="0" t="n">
        <f aca="false">(1/(1/D9+1/E9)+L9)*(20--2)</f>
        <v>3001.88934360802</v>
      </c>
      <c r="N9" s="0" t="n">
        <v>50</v>
      </c>
      <c r="O9" s="0" t="n">
        <f aca="false">M9/(N9-20)</f>
        <v>100.062978120267</v>
      </c>
      <c r="P9" s="0" t="n">
        <f aca="false">14*M9/1000</f>
        <v>42.0264508105123</v>
      </c>
      <c r="Q9" s="0" t="n">
        <f aca="false">P9*4200</f>
        <v>176511.093404152</v>
      </c>
      <c r="R9" s="0" t="n">
        <v>0</v>
      </c>
      <c r="S9" s="0" t="n">
        <f aca="false">(1/(1/D9+1/E9)+L9)*(50-25)/(25-R9)</f>
        <v>136.449515618547</v>
      </c>
      <c r="T9" s="0" t="n">
        <f aca="false">S9*(50-25)/(25-R9)*60</f>
        <v>8186.97093711279</v>
      </c>
    </row>
    <row r="10" customFormat="false" ht="12.8" hidden="false" customHeight="false" outlineLevel="0" collapsed="false">
      <c r="A10" s="0" t="n">
        <v>5</v>
      </c>
      <c r="B10" s="171" t="n">
        <v>0</v>
      </c>
      <c r="C10" s="94" t="s">
        <v>403</v>
      </c>
      <c r="D10" s="181" t="n">
        <v>197.271972208334</v>
      </c>
      <c r="E10" s="181" t="n">
        <v>239.871302585021</v>
      </c>
      <c r="F10" s="181" t="n">
        <v>11863842.6060689</v>
      </c>
      <c r="G10" s="181" t="n">
        <v>467169.879709039</v>
      </c>
      <c r="H10" s="181" t="n">
        <v>2.67504867802906</v>
      </c>
      <c r="I10" s="0" t="n">
        <v>1</v>
      </c>
      <c r="J10" s="0" t="n">
        <v>58</v>
      </c>
      <c r="K10" s="0" t="n">
        <v>4.2</v>
      </c>
      <c r="L10" s="182" t="n">
        <v>10.396222386109</v>
      </c>
      <c r="M10" s="0" t="n">
        <f aca="false">(1/(1/D10+1/E10)+L10)*(20--2)</f>
        <v>2610.1728787702</v>
      </c>
      <c r="N10" s="0" t="n">
        <v>50</v>
      </c>
      <c r="O10" s="0" t="n">
        <f aca="false">M10/(N10-20)</f>
        <v>87.0057626256732</v>
      </c>
      <c r="P10" s="0" t="n">
        <f aca="false">14*M10/1000</f>
        <v>36.5424203027827</v>
      </c>
      <c r="Q10" s="0" t="n">
        <f aca="false">P10*4200</f>
        <v>153478.165271688</v>
      </c>
      <c r="R10" s="0" t="n">
        <v>0</v>
      </c>
      <c r="S10" s="0" t="n">
        <f aca="false">(1/(1/D10+1/E10)+L10)*(50-25)/(25-R10)</f>
        <v>118.644221762282</v>
      </c>
      <c r="T10" s="0" t="n">
        <f aca="false">S10*(50-25)/(25-R10)*60</f>
        <v>7118.6533057369</v>
      </c>
    </row>
    <row r="11" customFormat="false" ht="12.8" hidden="false" customHeight="false" outlineLevel="0" collapsed="false">
      <c r="A11" s="0" t="n">
        <v>6</v>
      </c>
      <c r="B11" s="171" t="n">
        <v>0</v>
      </c>
      <c r="C11" s="94" t="s">
        <v>404</v>
      </c>
      <c r="D11" s="181" t="n">
        <v>144.729282385271</v>
      </c>
      <c r="E11" s="181" t="n">
        <v>205.2181765546</v>
      </c>
      <c r="F11" s="181" t="n">
        <v>13021834.2591086</v>
      </c>
      <c r="G11" s="181" t="n">
        <v>492503.846701277</v>
      </c>
      <c r="H11" s="181" t="n">
        <v>2.90551780890776</v>
      </c>
      <c r="I11" s="0" t="n">
        <v>0.4</v>
      </c>
      <c r="J11" s="0" t="n">
        <v>58</v>
      </c>
      <c r="K11" s="0" t="n">
        <v>4.2</v>
      </c>
      <c r="L11" s="182" t="n">
        <v>10.3905316092903</v>
      </c>
      <c r="M11" s="0" t="n">
        <f aca="false">(1/(1/D11+1/E11)+L11)*(20--2)</f>
        <v>2095.79698768747</v>
      </c>
      <c r="N11" s="0" t="n">
        <v>50</v>
      </c>
      <c r="O11" s="0" t="n">
        <f aca="false">M11/(N11-20)</f>
        <v>69.8598995895823</v>
      </c>
      <c r="P11" s="0" t="n">
        <f aca="false">14*M11/1000</f>
        <v>29.3411578276246</v>
      </c>
      <c r="Q11" s="0" t="n">
        <f aca="false">P11*4200</f>
        <v>123232.862876023</v>
      </c>
      <c r="R11" s="0" t="n">
        <v>0</v>
      </c>
      <c r="S11" s="0" t="n">
        <f aca="false">(1/(1/D11+1/E11)+L11)*(50-25)/(25-R11)</f>
        <v>95.2634994403396</v>
      </c>
      <c r="T11" s="0" t="n">
        <f aca="false">S11*(50-25)/(25-R11)*60</f>
        <v>5715.80996642037</v>
      </c>
    </row>
    <row r="12" customFormat="false" ht="12.8" hidden="false" customHeight="false" outlineLevel="0" collapsed="false">
      <c r="A12" s="0" t="n">
        <v>7</v>
      </c>
      <c r="B12" s="171" t="n">
        <v>0</v>
      </c>
      <c r="C12" s="94" t="s">
        <v>405</v>
      </c>
      <c r="D12" s="181" t="n">
        <v>504.246032480619</v>
      </c>
      <c r="E12" s="181" t="n">
        <v>504.246032480619</v>
      </c>
      <c r="F12" s="181" t="n">
        <v>31683711</v>
      </c>
      <c r="G12" s="181" t="n">
        <f aca="false">F12/25</f>
        <v>1267348.44</v>
      </c>
      <c r="H12" s="181" t="n">
        <v>1.5</v>
      </c>
      <c r="I12" s="0" t="n">
        <v>1</v>
      </c>
      <c r="J12" s="0" t="n">
        <v>71</v>
      </c>
      <c r="K12" s="0" t="n">
        <v>2.4</v>
      </c>
      <c r="L12" s="182" t="n">
        <v>10.3848408324716</v>
      </c>
      <c r="M12" s="0" t="n">
        <f aca="false">(1/(1/D12+1/E12)+L12)*(20--2)</f>
        <v>5775.17285560119</v>
      </c>
      <c r="N12" s="0" t="n">
        <v>50</v>
      </c>
      <c r="O12" s="0" t="n">
        <f aca="false">M12/(20-R12)</f>
        <v>288.758642780059</v>
      </c>
      <c r="P12" s="0" t="n">
        <f aca="false">14*M12/1000</f>
        <v>80.8524199784166</v>
      </c>
      <c r="Q12" s="0" t="n">
        <f aca="false">P12*4200</f>
        <v>339580.16390935</v>
      </c>
      <c r="R12" s="0" t="n">
        <v>0</v>
      </c>
      <c r="S12" s="0" t="n">
        <f aca="false">(1/(1/D12+1/E12)+L12)*(50-25)/(25-R12)</f>
        <v>262.507857072781</v>
      </c>
      <c r="T12" s="0" t="n">
        <f aca="false">S12*(50-25)/(25-R12)*60</f>
        <v>15750.4714243669</v>
      </c>
    </row>
    <row r="13" customFormat="false" ht="12.8" hidden="false" customHeight="false" outlineLevel="0" collapsed="false">
      <c r="A13" s="0" t="n">
        <v>8</v>
      </c>
      <c r="B13" s="171" t="n">
        <v>0</v>
      </c>
      <c r="C13" s="94" t="s">
        <v>406</v>
      </c>
      <c r="D13" s="181" t="n">
        <v>351.489932687962</v>
      </c>
      <c r="E13" s="181" t="n">
        <v>351.489932687962</v>
      </c>
      <c r="F13" s="181" t="n">
        <v>15462038.9719271</v>
      </c>
      <c r="G13" s="181" t="n">
        <f aca="false">F13/25</f>
        <v>618481.558877084</v>
      </c>
      <c r="H13" s="181" t="n">
        <v>1.5</v>
      </c>
      <c r="I13" s="0" t="n">
        <v>1</v>
      </c>
      <c r="J13" s="0" t="n">
        <v>30</v>
      </c>
      <c r="K13" s="0" t="n">
        <v>2.2</v>
      </c>
      <c r="L13" s="182" t="n">
        <v>10.3791500556529</v>
      </c>
      <c r="M13" s="0" t="n">
        <f aca="false">(1/(1/D13+1/E13)+L13)*(20--2)</f>
        <v>4094.73056079195</v>
      </c>
      <c r="N13" s="0" t="n">
        <v>50</v>
      </c>
      <c r="O13" s="0" t="n">
        <f aca="false">M13/(20-R13)</f>
        <v>204.736528039597</v>
      </c>
      <c r="P13" s="0" t="n">
        <f aca="false">14*M13/1000</f>
        <v>57.3262278510872</v>
      </c>
      <c r="Q13" s="0" t="n">
        <f aca="false">P13*4200</f>
        <v>240770.156974566</v>
      </c>
      <c r="R13" s="0" t="n">
        <v>0</v>
      </c>
      <c r="S13" s="0" t="n">
        <f aca="false">(1/(1/D13+1/E13)+L13)*(50-25)/(25-R13)</f>
        <v>186.124116399634</v>
      </c>
      <c r="T13" s="0" t="n">
        <f aca="false">S13*(50-25)/(25-R13)*60</f>
        <v>11167.446983978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L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18.99"/>
    <col collapsed="false" customWidth="true" hidden="false" outlineLevel="0" max="3" min="3" style="0" width="2.77"/>
    <col collapsed="false" customWidth="true" hidden="false" outlineLevel="0" max="4" min="4" style="0" width="17.64"/>
    <col collapsed="false" customWidth="true" hidden="false" outlineLevel="0" max="6" min="6" style="0" width="15"/>
  </cols>
  <sheetData>
    <row r="2" customFormat="false" ht="12.8" hidden="false" customHeight="false" outlineLevel="0" collapsed="false">
      <c r="B2" s="183"/>
      <c r="C2" s="184"/>
      <c r="D2" s="184"/>
      <c r="E2" s="185"/>
      <c r="F2" s="185"/>
      <c r="G2" s="185"/>
      <c r="H2" s="185"/>
      <c r="I2" s="185"/>
      <c r="J2" s="185"/>
      <c r="K2" s="185"/>
      <c r="L2" s="185"/>
    </row>
    <row r="3" customFormat="false" ht="12.8" hidden="false" customHeight="false" outlineLevel="0" collapsed="false">
      <c r="B3" s="185"/>
      <c r="C3" s="184"/>
      <c r="D3" s="185"/>
      <c r="E3" s="185"/>
      <c r="F3" s="185"/>
      <c r="G3" s="185"/>
      <c r="H3" s="185"/>
      <c r="I3" s="185"/>
      <c r="J3" s="185"/>
      <c r="K3" s="185"/>
      <c r="L3" s="185"/>
    </row>
    <row r="4" customFormat="false" ht="12.8" hidden="false" customHeight="false" outlineLevel="0" collapsed="false">
      <c r="B4" s="185"/>
      <c r="C4" s="184"/>
      <c r="D4" s="185"/>
      <c r="E4" s="185"/>
      <c r="F4" s="185"/>
      <c r="G4" s="185"/>
      <c r="H4" s="185"/>
      <c r="I4" s="185"/>
      <c r="J4" s="185"/>
      <c r="K4" s="185"/>
      <c r="L4" s="185"/>
    </row>
    <row r="5" customFormat="false" ht="12.8" hidden="false" customHeight="false" outlineLevel="0" collapsed="false">
      <c r="B5" s="161"/>
      <c r="C5" s="184"/>
      <c r="D5" s="186"/>
      <c r="E5" s="187"/>
      <c r="F5" s="188"/>
      <c r="G5" s="187"/>
      <c r="H5" s="161"/>
      <c r="I5" s="185"/>
      <c r="J5" s="185"/>
      <c r="K5" s="185"/>
      <c r="L5" s="185"/>
    </row>
    <row r="6" customFormat="false" ht="12.8" hidden="false" customHeight="false" outlineLevel="0" collapsed="false">
      <c r="B6" s="161"/>
      <c r="C6" s="184"/>
      <c r="D6" s="186"/>
      <c r="E6" s="187"/>
      <c r="F6" s="188"/>
      <c r="G6" s="187"/>
      <c r="H6" s="161"/>
      <c r="I6" s="185"/>
      <c r="J6" s="185"/>
      <c r="K6" s="185"/>
      <c r="L6" s="185"/>
    </row>
    <row r="7" customFormat="false" ht="12.8" hidden="false" customHeight="false" outlineLevel="0" collapsed="false">
      <c r="B7" s="161"/>
      <c r="C7" s="184"/>
      <c r="D7" s="186"/>
      <c r="E7" s="187"/>
      <c r="F7" s="188"/>
      <c r="G7" s="187"/>
      <c r="H7" s="185"/>
      <c r="I7" s="185"/>
      <c r="J7" s="185"/>
      <c r="K7" s="185"/>
      <c r="L7" s="185"/>
    </row>
    <row r="8" customFormat="false" ht="12.8" hidden="false" customHeight="false" outlineLevel="0" collapsed="false">
      <c r="B8" s="161"/>
      <c r="C8" s="185"/>
      <c r="D8" s="185"/>
      <c r="E8" s="187"/>
      <c r="F8" s="185"/>
      <c r="G8" s="185"/>
      <c r="H8" s="185"/>
      <c r="I8" s="185"/>
      <c r="J8" s="185"/>
      <c r="K8" s="185"/>
      <c r="L8" s="185"/>
    </row>
    <row r="9" customFormat="false" ht="12.8" hidden="false" customHeight="false" outlineLevel="0" collapsed="false">
      <c r="B9" s="161"/>
      <c r="C9" s="185"/>
      <c r="D9" s="185"/>
      <c r="E9" s="185"/>
      <c r="F9" s="189"/>
      <c r="G9" s="185"/>
      <c r="H9" s="185"/>
      <c r="I9" s="185"/>
      <c r="J9" s="185"/>
      <c r="K9" s="185"/>
      <c r="L9" s="185"/>
    </row>
    <row r="10" customFormat="false" ht="12.8" hidden="false" customHeight="false" outlineLevel="0" collapsed="false">
      <c r="B10" s="161"/>
      <c r="C10" s="185"/>
      <c r="D10" s="185"/>
      <c r="E10" s="185"/>
      <c r="F10" s="185"/>
      <c r="G10" s="185"/>
      <c r="H10" s="185"/>
      <c r="I10" s="185"/>
      <c r="J10" s="185"/>
      <c r="K10" s="185"/>
      <c r="L10" s="185"/>
    </row>
    <row r="11" customFormat="false" ht="12.8" hidden="false" customHeight="false" outlineLevel="0" collapsed="false">
      <c r="B11" s="161"/>
      <c r="C11" s="185"/>
      <c r="D11" s="185"/>
      <c r="E11" s="185"/>
      <c r="F11" s="185"/>
      <c r="G11" s="185"/>
      <c r="H11" s="185"/>
      <c r="I11" s="185"/>
      <c r="J11" s="185"/>
      <c r="K11" s="185"/>
      <c r="L11" s="185"/>
    </row>
    <row r="12" customFormat="false" ht="12.8" hidden="false" customHeight="false" outlineLevel="0" collapsed="false">
      <c r="B12" s="161"/>
      <c r="C12" s="185"/>
      <c r="D12" s="185"/>
      <c r="E12" s="185"/>
      <c r="F12" s="185"/>
      <c r="G12" s="185"/>
      <c r="H12" s="185"/>
      <c r="I12" s="185"/>
      <c r="J12" s="185"/>
      <c r="K12" s="185"/>
      <c r="L12" s="185"/>
    </row>
    <row r="15" customFormat="false" ht="12.8" hidden="false" customHeight="false" outlineLevel="0" collapsed="false">
      <c r="B15" s="19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E905"/>
    <pageSetUpPr fitToPage="false"/>
  </sheetPr>
  <dimension ref="A1:H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1.625" defaultRowHeight="12.8" zeroHeight="false" outlineLevelRow="0" outlineLevelCol="0"/>
  <cols>
    <col collapsed="false" customWidth="true" hidden="false" outlineLevel="0" max="8" min="7" style="0" width="16.39"/>
  </cols>
  <sheetData>
    <row r="1" customFormat="false" ht="15" hidden="false" customHeight="false" outlineLevel="0" collapsed="false">
      <c r="A1" s="159" t="s">
        <v>407</v>
      </c>
      <c r="B1" s="159"/>
      <c r="C1" s="159"/>
      <c r="F1" s="160" t="s">
        <v>296</v>
      </c>
    </row>
    <row r="2" customFormat="false" ht="35.05" hidden="false" customHeight="false" outlineLevel="0" collapsed="false">
      <c r="A2" s="162" t="s">
        <v>408</v>
      </c>
      <c r="B2" s="162" t="s">
        <v>409</v>
      </c>
      <c r="C2" s="162" t="s">
        <v>410</v>
      </c>
      <c r="D2" s="162" t="s">
        <v>411</v>
      </c>
      <c r="E2" s="162" t="s">
        <v>412</v>
      </c>
      <c r="F2" s="162" t="s">
        <v>413</v>
      </c>
      <c r="G2" s="162" t="s">
        <v>414</v>
      </c>
      <c r="H2" s="162" t="s">
        <v>415</v>
      </c>
    </row>
    <row r="3" customFormat="false" ht="12.8" hidden="false" customHeight="false" outlineLevel="0" collapsed="false">
      <c r="A3" s="164"/>
      <c r="B3" s="164"/>
      <c r="C3" s="164"/>
      <c r="D3" s="164"/>
      <c r="E3" s="164"/>
      <c r="F3" s="164"/>
      <c r="G3" s="164"/>
      <c r="H3" s="165"/>
    </row>
    <row r="4" customFormat="false" ht="12.8" hidden="false" customHeight="false" outlineLevel="0" collapsed="false">
      <c r="A4" s="166"/>
      <c r="B4" s="166"/>
      <c r="C4" s="166"/>
      <c r="D4" s="166" t="s">
        <v>416</v>
      </c>
      <c r="E4" s="166" t="s">
        <v>417</v>
      </c>
      <c r="F4" s="167" t="s">
        <v>418</v>
      </c>
      <c r="G4" s="167" t="s">
        <v>418</v>
      </c>
      <c r="H4" s="166"/>
    </row>
    <row r="5" customFormat="false" ht="12.8" hidden="false" customHeight="false" outlineLevel="0" collapsed="false">
      <c r="A5" s="0" t="n">
        <v>1</v>
      </c>
      <c r="B5" s="0" t="s">
        <v>419</v>
      </c>
      <c r="C5" s="171" t="n">
        <v>0.25</v>
      </c>
      <c r="D5" s="94" t="n">
        <v>79.2</v>
      </c>
      <c r="E5" s="94" t="n">
        <v>19</v>
      </c>
      <c r="F5" s="94" t="n">
        <v>11</v>
      </c>
      <c r="G5" s="94" t="n">
        <v>225</v>
      </c>
      <c r="H5" s="0" t="s">
        <v>420</v>
      </c>
    </row>
    <row r="6" customFormat="false" ht="12.8" hidden="false" customHeight="false" outlineLevel="0" collapsed="false">
      <c r="A6" s="0" t="n">
        <v>2</v>
      </c>
      <c r="B6" s="0" t="s">
        <v>421</v>
      </c>
      <c r="C6" s="171" t="n">
        <v>0.25</v>
      </c>
      <c r="D6" s="94" t="n">
        <v>45</v>
      </c>
      <c r="E6" s="94" t="n">
        <v>14</v>
      </c>
      <c r="F6" s="94" t="n">
        <v>7.2</v>
      </c>
      <c r="G6" s="94" t="n">
        <v>100</v>
      </c>
      <c r="H6" s="0" t="s">
        <v>422</v>
      </c>
    </row>
    <row r="7" customFormat="false" ht="12.8" hidden="false" customHeight="false" outlineLevel="0" collapsed="false">
      <c r="A7" s="0" t="n">
        <v>3</v>
      </c>
      <c r="B7" s="0" t="s">
        <v>423</v>
      </c>
      <c r="C7" s="171" t="n">
        <v>0.25</v>
      </c>
      <c r="D7" s="94" t="n">
        <v>95</v>
      </c>
      <c r="E7" s="94" t="n">
        <v>24</v>
      </c>
      <c r="F7" s="94" t="n">
        <v>11</v>
      </c>
      <c r="G7" s="94" t="n">
        <v>150</v>
      </c>
      <c r="H7" s="0" t="s">
        <v>424</v>
      </c>
    </row>
    <row r="8" customFormat="false" ht="12.8" hidden="false" customHeight="false" outlineLevel="0" collapsed="false">
      <c r="A8" s="0" t="n">
        <v>4</v>
      </c>
      <c r="B8" s="0" t="s">
        <v>425</v>
      </c>
      <c r="C8" s="171" t="n">
        <v>0.25</v>
      </c>
      <c r="D8" s="94" t="n">
        <v>18.7</v>
      </c>
      <c r="E8" s="0" t="n">
        <v>12</v>
      </c>
      <c r="F8" s="94" t="n">
        <v>3.6</v>
      </c>
      <c r="G8" s="94" t="n">
        <v>40</v>
      </c>
      <c r="H8" s="175" t="s">
        <v>426</v>
      </c>
    </row>
    <row r="9" customFormat="false" ht="12.8" hidden="false" customHeight="false" outlineLevel="0" collapsed="false">
      <c r="D9" s="94"/>
      <c r="F9" s="94"/>
      <c r="G9" s="94"/>
      <c r="H9" s="175"/>
    </row>
    <row r="10" customFormat="false" ht="12.8" hidden="false" customHeight="false" outlineLevel="0" collapsed="false">
      <c r="D10" s="94"/>
      <c r="F10" s="94"/>
      <c r="G10" s="94"/>
      <c r="H10" s="17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6E905"/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1.625" defaultRowHeight="12.8" zeroHeight="false" outlineLevelRow="0" outlineLevelCol="0"/>
  <cols>
    <col collapsed="false" customWidth="true" hidden="false" outlineLevel="0" max="2" min="2" style="0" width="24.73"/>
  </cols>
  <sheetData>
    <row r="1" customFormat="false" ht="15" hidden="false" customHeight="false" outlineLevel="0" collapsed="false">
      <c r="A1" s="159" t="s">
        <v>427</v>
      </c>
      <c r="B1" s="159"/>
      <c r="C1" s="159"/>
      <c r="D1" s="160" t="s">
        <v>296</v>
      </c>
    </row>
    <row r="2" customFormat="false" ht="46.25" hidden="false" customHeight="false" outlineLevel="0" collapsed="false">
      <c r="A2" s="162" t="s">
        <v>408</v>
      </c>
      <c r="B2" s="162" t="s">
        <v>428</v>
      </c>
      <c r="C2" s="162" t="s">
        <v>429</v>
      </c>
      <c r="D2" s="162" t="s">
        <v>430</v>
      </c>
      <c r="E2" s="162"/>
      <c r="F2" s="0" t="s">
        <v>431</v>
      </c>
    </row>
    <row r="3" customFormat="false" ht="12.8" hidden="false" customHeight="false" outlineLevel="0" collapsed="false">
      <c r="A3" s="164"/>
      <c r="B3" s="164"/>
      <c r="C3" s="164"/>
      <c r="D3" s="164"/>
      <c r="E3" s="165"/>
    </row>
    <row r="4" customFormat="false" ht="12.8" hidden="false" customHeight="false" outlineLevel="0" collapsed="false">
      <c r="A4" s="166"/>
      <c r="B4" s="166"/>
      <c r="C4" s="166"/>
      <c r="D4" s="167" t="s">
        <v>418</v>
      </c>
      <c r="E4" s="166"/>
    </row>
    <row r="5" customFormat="false" ht="12.8" hidden="false" customHeight="false" outlineLevel="0" collapsed="false">
      <c r="A5" s="0" t="n">
        <v>1</v>
      </c>
      <c r="B5" s="0" t="s">
        <v>432</v>
      </c>
      <c r="C5" s="171" t="n">
        <v>0.2</v>
      </c>
      <c r="D5" s="94" t="n">
        <v>2.3</v>
      </c>
    </row>
    <row r="6" customFormat="false" ht="12.8" hidden="false" customHeight="false" outlineLevel="0" collapsed="false">
      <c r="A6" s="0" t="n">
        <v>2</v>
      </c>
      <c r="B6" s="0" t="s">
        <v>433</v>
      </c>
      <c r="C6" s="171" t="n">
        <v>0.6</v>
      </c>
      <c r="D6" s="94" t="n">
        <v>7.4</v>
      </c>
    </row>
    <row r="7" customFormat="false" ht="12.8" hidden="false" customHeight="false" outlineLevel="0" collapsed="false">
      <c r="A7" s="0" t="n">
        <v>3</v>
      </c>
      <c r="B7" s="0" t="s">
        <v>434</v>
      </c>
      <c r="C7" s="171" t="n">
        <v>0.2</v>
      </c>
      <c r="D7" s="94" t="n">
        <v>22</v>
      </c>
    </row>
    <row r="8" customFormat="false" ht="12.8" hidden="false" customHeight="false" outlineLevel="0" collapsed="false">
      <c r="C8" s="173"/>
      <c r="D8" s="94"/>
      <c r="E8" s="17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9" activeCellId="0" sqref="C19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C1" s="0" t="s">
        <v>435</v>
      </c>
      <c r="D1" s="0" t="s">
        <v>75</v>
      </c>
    </row>
    <row r="2" customFormat="false" ht="12.8" hidden="false" customHeight="false" outlineLevel="0" collapsed="false">
      <c r="A2" s="0" t="s">
        <v>436</v>
      </c>
      <c r="B2" s="0" t="s">
        <v>437</v>
      </c>
      <c r="C2" s="0" t="s">
        <v>438</v>
      </c>
      <c r="D2" s="0" t="s">
        <v>438</v>
      </c>
    </row>
    <row r="3" customFormat="false" ht="12.8" hidden="false" customHeight="false" outlineLevel="0" collapsed="false">
      <c r="B3" s="0" t="s">
        <v>439</v>
      </c>
      <c r="C3" s="0" t="s">
        <v>438</v>
      </c>
      <c r="D3" s="0" t="s">
        <v>438</v>
      </c>
    </row>
    <row r="4" customFormat="false" ht="12.8" hidden="false" customHeight="false" outlineLevel="0" collapsed="false">
      <c r="B4" s="0" t="s">
        <v>440</v>
      </c>
      <c r="C4" s="0" t="s">
        <v>441</v>
      </c>
      <c r="D4" s="0" t="s">
        <v>438</v>
      </c>
    </row>
    <row r="5" customFormat="false" ht="12.8" hidden="false" customHeight="false" outlineLevel="0" collapsed="false">
      <c r="B5" s="0" t="s">
        <v>442</v>
      </c>
      <c r="C5" s="0" t="s">
        <v>441</v>
      </c>
      <c r="D5" s="0" t="s">
        <v>438</v>
      </c>
    </row>
    <row r="6" customFormat="false" ht="12.8" hidden="false" customHeight="false" outlineLevel="0" collapsed="false">
      <c r="A6" s="0" t="s">
        <v>21</v>
      </c>
      <c r="B6" s="0" t="s">
        <v>443</v>
      </c>
      <c r="C6" s="0" t="s">
        <v>438</v>
      </c>
      <c r="D6" s="0" t="s">
        <v>438</v>
      </c>
    </row>
    <row r="7" customFormat="false" ht="12.8" hidden="false" customHeight="false" outlineLevel="0" collapsed="false">
      <c r="B7" s="0" t="s">
        <v>444</v>
      </c>
      <c r="C7" s="0" t="s">
        <v>445</v>
      </c>
      <c r="D7" s="0" t="s">
        <v>446</v>
      </c>
    </row>
    <row r="8" customFormat="false" ht="12.8" hidden="false" customHeight="false" outlineLevel="0" collapsed="false">
      <c r="B8" s="0" t="s">
        <v>447</v>
      </c>
      <c r="C8" s="0" t="s">
        <v>438</v>
      </c>
      <c r="D8" s="0" t="s">
        <v>448</v>
      </c>
    </row>
    <row r="9" customFormat="false" ht="12.8" hidden="false" customHeight="false" outlineLevel="0" collapsed="false">
      <c r="B9" s="0" t="s">
        <v>449</v>
      </c>
      <c r="C9" s="0" t="s">
        <v>438</v>
      </c>
      <c r="D9" s="0" t="s">
        <v>450</v>
      </c>
    </row>
    <row r="10" customFormat="false" ht="12.8" hidden="false" customHeight="false" outlineLevel="0" collapsed="false">
      <c r="A10" s="0" t="s">
        <v>451</v>
      </c>
      <c r="B10" s="0" t="s">
        <v>452</v>
      </c>
      <c r="C10" s="0" t="s">
        <v>438</v>
      </c>
      <c r="D10" s="0" t="s">
        <v>441</v>
      </c>
    </row>
    <row r="11" customFormat="false" ht="12.8" hidden="false" customHeight="false" outlineLevel="0" collapsed="false">
      <c r="B11" s="0" t="s">
        <v>449</v>
      </c>
      <c r="C11" s="0" t="s">
        <v>438</v>
      </c>
      <c r="D11" s="0" t="s">
        <v>441</v>
      </c>
    </row>
    <row r="12" customFormat="false" ht="12.8" hidden="false" customHeight="false" outlineLevel="0" collapsed="false">
      <c r="A12" s="0" t="s">
        <v>453</v>
      </c>
      <c r="B12" s="0" t="s">
        <v>454</v>
      </c>
      <c r="C12" s="0" t="s">
        <v>438</v>
      </c>
      <c r="D12" s="0" t="s">
        <v>448</v>
      </c>
    </row>
    <row r="13" customFormat="false" ht="12.8" hidden="false" customHeight="false" outlineLevel="0" collapsed="false">
      <c r="B13" s="0" t="s">
        <v>455</v>
      </c>
      <c r="C13" s="0" t="s">
        <v>441</v>
      </c>
      <c r="D13" s="0" t="s">
        <v>438</v>
      </c>
    </row>
    <row r="14" customFormat="false" ht="12.8" hidden="false" customHeight="false" outlineLevel="0" collapsed="false">
      <c r="B14" s="0" t="s">
        <v>456</v>
      </c>
      <c r="C14" s="0" t="s">
        <v>441</v>
      </c>
      <c r="D14" s="0" t="s">
        <v>457</v>
      </c>
    </row>
    <row r="15" customFormat="false" ht="12.8" hidden="false" customHeight="false" outlineLevel="0" collapsed="false">
      <c r="B15" s="0" t="s">
        <v>458</v>
      </c>
      <c r="C15" s="0" t="s">
        <v>438</v>
      </c>
      <c r="D15" s="0" t="s">
        <v>448</v>
      </c>
    </row>
    <row r="16" customFormat="false" ht="12.8" hidden="false" customHeight="false" outlineLevel="0" collapsed="false">
      <c r="A16" s="0" t="s">
        <v>459</v>
      </c>
      <c r="B16" s="0" t="s">
        <v>460</v>
      </c>
      <c r="C16" s="0" t="s">
        <v>441</v>
      </c>
      <c r="D16" s="0" t="s">
        <v>438</v>
      </c>
    </row>
    <row r="17" customFormat="false" ht="12.8" hidden="false" customHeight="false" outlineLevel="0" collapsed="false">
      <c r="B17" s="0" t="s">
        <v>461</v>
      </c>
      <c r="C17" s="0" t="s">
        <v>441</v>
      </c>
      <c r="D17" s="0" t="s">
        <v>441</v>
      </c>
    </row>
    <row r="18" customFormat="false" ht="12.8" hidden="false" customHeight="false" outlineLevel="0" collapsed="false">
      <c r="B18" s="0" t="s">
        <v>449</v>
      </c>
      <c r="C18" s="0" t="s">
        <v>441</v>
      </c>
      <c r="D18" s="0" t="s">
        <v>441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7859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2021-06-16T13:38:34Z</dcterms:modified>
  <cp:revision>55</cp:revision>
  <dc:subject/>
  <dc:title/>
</cp:coreProperties>
</file>